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446" windowWidth="7650" windowHeight="9075" tabRatio="795" activeTab="1"/>
  </bookViews>
  <sheets>
    <sheet name="Toelichting" sheetId="1" r:id="rId1"/>
    <sheet name="Leerlinggegevens" sheetId="2" r:id="rId2"/>
    <sheet name="Hoofdafdeling" sheetId="3" r:id="rId3"/>
    <sheet name="component 1" sheetId="4" r:id="rId4"/>
    <sheet name="component 2" sheetId="5" r:id="rId5"/>
    <sheet name="component 3" sheetId="6" r:id="rId6"/>
    <sheet name="MI school" sheetId="7" r:id="rId7"/>
    <sheet name="tabellen" sheetId="8" r:id="rId8"/>
  </sheets>
  <definedNames>
    <definedName name="_LGF1">'tabellen'!$D$157:$F$169</definedName>
    <definedName name="_LGF2">'tabellen'!$H$157:$J$169</definedName>
    <definedName name="_LGF3">'tabellen'!$D$189:$F$201</definedName>
    <definedName name="aanvullendPvEbad">'tabellen'!$D$108:$L$117</definedName>
    <definedName name="_xlnm.Print_Area" localSheetId="3">'component 1'!$B$2:$M$95</definedName>
    <definedName name="_xlnm.Print_Area" localSheetId="4">'component 2'!$B$2:$M$95</definedName>
    <definedName name="_xlnm.Print_Area" localSheetId="5">'component 3'!$B$2:$M$95</definedName>
    <definedName name="_xlnm.Print_Area" localSheetId="2">'Hoofdafdeling'!$B$2:$M$95</definedName>
    <definedName name="_xlnm.Print_Area" localSheetId="1">'Leerlinggegevens'!$B$2:$R$94</definedName>
    <definedName name="_xlnm.Print_Area" localSheetId="6">'MI school'!$B$2:$O$155</definedName>
    <definedName name="_xlnm.Print_Area" localSheetId="7">'tabellen'!$A$1:$AZ$184</definedName>
    <definedName name="_xlnm.Print_Area" localSheetId="0">'Toelichting'!$B$2:$B$40</definedName>
    <definedName name="groepsafhPvE">'tabellen'!$D$74:$I$88</definedName>
    <definedName name="Groepsgrootte">'tabellen'!$L$74:$N$88</definedName>
    <definedName name="leerlingafhPvE">'tabellen'!$D$95:$I$107</definedName>
    <definedName name="oppervlak">'tabellen'!$D$53:$I$67</definedName>
    <definedName name="PvE_SO">'tabellen'!$D$9:$AU$23</definedName>
    <definedName name="PvE_VSO">'tabellen'!$D$33:$AU$47</definedName>
    <definedName name="schoolbaden">'tabellen'!$D$111:$L$124</definedName>
    <definedName name="schooljaren">'tabellen'!$D$173:$G$184</definedName>
    <definedName name="TAB">'tabellen'!$D$140:$F$152</definedName>
  </definedNames>
  <calcPr fullCalcOnLoad="1"/>
</workbook>
</file>

<file path=xl/comments2.xml><?xml version="1.0" encoding="utf-8"?>
<comments xmlns="http://schemas.openxmlformats.org/spreadsheetml/2006/main">
  <authors>
    <author>Keizer</author>
  </authors>
  <commentList>
    <comment ref="F14" authorId="0">
      <text>
        <r>
          <rPr>
            <sz val="9"/>
            <rFont val="Tahoma"/>
            <family val="2"/>
          </rPr>
          <t>Betreft de factor die bepalend is voor de toepassing van de groeiregeling voor de gehele school.</t>
        </r>
      </text>
    </comment>
  </commentList>
</comments>
</file>

<file path=xl/comments7.xml><?xml version="1.0" encoding="utf-8"?>
<comments xmlns="http://schemas.openxmlformats.org/spreadsheetml/2006/main">
  <authors>
    <author>Goedhart, R.</author>
  </authors>
  <commentList>
    <comment ref="H99" authorId="0">
      <text>
        <r>
          <rPr>
            <sz val="10"/>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rFont val="Tahoma"/>
            <family val="2"/>
          </rPr>
          <t xml:space="preserve">
</t>
        </r>
      </text>
    </comment>
  </commentList>
</comments>
</file>

<file path=xl/comments8.xml><?xml version="1.0" encoding="utf-8"?>
<comments xmlns="http://schemas.openxmlformats.org/spreadsheetml/2006/main">
  <authors>
    <author>Keizer</author>
    <author>B? Keizer</author>
  </authors>
  <commentList>
    <comment ref="G5" authorId="0">
      <text>
        <r>
          <rPr>
            <sz val="8"/>
            <rFont val="Tahoma"/>
            <family val="0"/>
          </rPr>
          <t>LG/MG in combinatie met
schuifdeur (DO, LG, ZMLK, MG)
stoellift (LG, LZ, ZMLK, Cl.4)
extra (LG, MG)</t>
        </r>
      </text>
    </comment>
    <comment ref="D9" authorId="0">
      <text>
        <r>
          <rPr>
            <sz val="9"/>
            <rFont val="Arial"/>
            <family val="2"/>
          </rPr>
          <t xml:space="preserve">
Een onderbouwing van de PvE's ontbreekt.  Het totaalbedrag MI wordt eens in de vijf jaar per instelling bij beschikking vastgesteld.</t>
        </r>
      </text>
    </comment>
    <comment ref="D10" authorId="0">
      <text>
        <r>
          <rPr>
            <sz val="9"/>
            <rFont val="Arial"/>
            <family val="2"/>
          </rPr>
          <t xml:space="preserve">
Een onderbouwing van de PvE's ontbreekt.  Het totaalbedrag MI wordt eens in de vijf jaar per instelling bij beschikking vastgesteld.</t>
        </r>
      </text>
    </comment>
    <comment ref="D21" authorId="0">
      <text>
        <r>
          <rPr>
            <sz val="9"/>
            <rFont val="Arial"/>
            <family val="2"/>
          </rPr>
          <t xml:space="preserve">
Er bestaan geen PvE's groepsafhankelijke vergoeding voor deze soorten MG. Er is geen norm in m2 vastgesteld.</t>
        </r>
      </text>
    </comment>
    <comment ref="D22" authorId="0">
      <text>
        <r>
          <rPr>
            <sz val="9"/>
            <rFont val="Arial"/>
            <family val="2"/>
          </rPr>
          <t xml:space="preserve">
Er bestaan geen PvE's groepsafhankelijke vergoeding voor deze soorten MG. Er is geen norm in m2 vastgesteld.</t>
        </r>
      </text>
    </comment>
    <comment ref="D23" authorId="0">
      <text>
        <r>
          <rPr>
            <sz val="9"/>
            <rFont val="Arial"/>
            <family val="2"/>
          </rPr>
          <t xml:space="preserve">
Er bestaan geen PvE's groepsafhankelijke vergoeding voor deze soorten MG. Er is geen norm in m2 vastgesteld.</t>
        </r>
      </text>
    </comment>
    <comment ref="D45" authorId="0">
      <text>
        <r>
          <rPr>
            <sz val="9"/>
            <rFont val="Arial"/>
            <family val="2"/>
          </rPr>
          <t xml:space="preserve">
Er bestaan geen PvE's groepsafhankelijke vergoeding voor deze soorten MG. Er is geen norm in m2 vastgesteld.</t>
        </r>
      </text>
    </comment>
    <comment ref="D46" authorId="0">
      <text>
        <r>
          <rPr>
            <sz val="9"/>
            <rFont val="Arial"/>
            <family val="2"/>
          </rPr>
          <t xml:space="preserve">
Er bestaan geen PvE's groepsafhankelijke vergoeding voor deze soorten MG. Er is geen norm in m2 vastgesteld.</t>
        </r>
      </text>
    </comment>
    <comment ref="D47" authorId="0">
      <text>
        <r>
          <rPr>
            <sz val="9"/>
            <rFont val="Arial"/>
            <family val="2"/>
          </rPr>
          <t xml:space="preserve">
Er bestaan geen PvE's groepsafhankelijke vergoeding voor deze soorten MG. Er is geen norm in m2 vastgesteld.</t>
        </r>
      </text>
    </comment>
    <comment ref="F139" authorId="0">
      <text>
        <r>
          <rPr>
            <sz val="9"/>
            <rFont val="Tahoma"/>
            <family val="2"/>
          </rPr>
          <t>Zie PvE (V)SO 2011.
Website Cfi sept 2010.</t>
        </r>
      </text>
    </comment>
    <comment ref="F155" authorId="0">
      <text>
        <r>
          <rPr>
            <b/>
            <sz val="9"/>
            <rFont val="Arial"/>
            <family val="2"/>
          </rPr>
          <t>Betreft 10-11</t>
        </r>
      </text>
    </comment>
    <comment ref="D186" authorId="1">
      <text>
        <r>
          <rPr>
            <sz val="8"/>
            <rFont val="Tahoma"/>
            <family val="2"/>
          </rPr>
          <t xml:space="preserve">
Het ministerie heeft besloten de bedragen voor 2010-2011 niet te korten met 13,6% zoals voor cluster 3 en 4 wel bij de andere ambulante begeleiding is gebeurd, omdat de mededeling dan te laat bij de scholen zou komen. Wel is aangekondigd dat de bekostiging volgend jaar wel met 13,6% zal worden gekort en mogelijk meer als de groei van de deelname blijft doorgaan. 
De officiele publicatie hierover is inmiddels verschenen: staatscourant 2010, nr. 14711, d.d. 23 sept. 2010.
 </t>
        </r>
      </text>
    </comment>
    <comment ref="F187" authorId="0">
      <text>
        <r>
          <rPr>
            <sz val="8"/>
            <rFont val="Tahoma"/>
            <family val="2"/>
          </rPr>
          <t xml:space="preserve">
Reg LGF MBO 10-11, 23 sept. 2010. </t>
        </r>
      </text>
    </comment>
  </commentList>
</comments>
</file>

<file path=xl/sharedStrings.xml><?xml version="1.0" encoding="utf-8"?>
<sst xmlns="http://schemas.openxmlformats.org/spreadsheetml/2006/main" count="968" uniqueCount="254">
  <si>
    <t>Onderwijssoort</t>
  </si>
  <si>
    <t xml:space="preserve">per school   </t>
  </si>
  <si>
    <t>SO-schooltype</t>
  </si>
  <si>
    <t xml:space="preserve"> VSO-schooltype</t>
  </si>
  <si>
    <t>vast</t>
  </si>
  <si>
    <t>per groep</t>
  </si>
  <si>
    <t>DO</t>
  </si>
  <si>
    <t>SH</t>
  </si>
  <si>
    <t>ESM</t>
  </si>
  <si>
    <t>LG</t>
  </si>
  <si>
    <t>ZMLK</t>
  </si>
  <si>
    <t>MG (LG-ZMLK)</t>
  </si>
  <si>
    <t>MG (DO-ZMLK)</t>
  </si>
  <si>
    <t>MG (SH-ZMLK)</t>
  </si>
  <si>
    <t>MG (DO-BLND)</t>
  </si>
  <si>
    <t>per leerling</t>
  </si>
  <si>
    <t>Aanvullende programma's van eisen</t>
  </si>
  <si>
    <t>Brancardlift</t>
  </si>
  <si>
    <t>soort bad</t>
  </si>
  <si>
    <t>bedrag per bad</t>
  </si>
  <si>
    <t>Toeslag beweegbare bodem</t>
  </si>
  <si>
    <t>MG</t>
  </si>
  <si>
    <t>onderwijssoort</t>
  </si>
  <si>
    <t>totaal</t>
  </si>
  <si>
    <t>VSO</t>
  </si>
  <si>
    <t>overige uitgaven</t>
  </si>
  <si>
    <t>dienstreizen</t>
  </si>
  <si>
    <t>schoolzwemmen</t>
  </si>
  <si>
    <t>SO</t>
  </si>
  <si>
    <t>OLP</t>
  </si>
  <si>
    <t>meubilair</t>
  </si>
  <si>
    <t>administratie</t>
  </si>
  <si>
    <t>onderhoudsbeheer</t>
  </si>
  <si>
    <t>b. Verwarming</t>
  </si>
  <si>
    <t>a. Medezeggenschap</t>
  </si>
  <si>
    <t>c. WA-verzekering</t>
  </si>
  <si>
    <t>d. Culturele vorming</t>
  </si>
  <si>
    <t>subtotaal</t>
  </si>
  <si>
    <t>a. Administratie</t>
  </si>
  <si>
    <t>b. Onderhoudsbeheer</t>
  </si>
  <si>
    <t>c. Beheer en bestuur</t>
  </si>
  <si>
    <t>Groepsafhankelijke PvE's</t>
  </si>
  <si>
    <t>Leerlingafhankelijke PvE's</t>
  </si>
  <si>
    <t>Administratie, beheer en bestuur</t>
  </si>
  <si>
    <t>beheer en bestuur</t>
  </si>
  <si>
    <t>cluster</t>
  </si>
  <si>
    <t>SZ</t>
  </si>
  <si>
    <t>LZs</t>
  </si>
  <si>
    <t>ZMOK</t>
  </si>
  <si>
    <t>PI</t>
  </si>
  <si>
    <t>LZp</t>
  </si>
  <si>
    <t>BLND</t>
  </si>
  <si>
    <t>OSO</t>
  </si>
  <si>
    <t>gebouwonderhoud</t>
  </si>
  <si>
    <t>electriciteitsverbruik</t>
  </si>
  <si>
    <t>verwarming</t>
  </si>
  <si>
    <t>waterverbruik</t>
  </si>
  <si>
    <t>gebouwafhankelijke programma's van eisen</t>
  </si>
  <si>
    <t>leerlingafhankelijke programma's van eisen</t>
  </si>
  <si>
    <t>medezeggenschap</t>
  </si>
  <si>
    <t>WA-verzekeringen</t>
  </si>
  <si>
    <t>Culturele vorming</t>
  </si>
  <si>
    <t>waarvan BGZ</t>
  </si>
  <si>
    <t>waarvan ICT</t>
  </si>
  <si>
    <t>school</t>
  </si>
  <si>
    <t>bedrag*m2</t>
  </si>
  <si>
    <t>bedrag</t>
  </si>
  <si>
    <t xml:space="preserve">school   </t>
  </si>
  <si>
    <t>ll</t>
  </si>
  <si>
    <t>vervoer schoolzwemmen</t>
  </si>
  <si>
    <t>m3</t>
  </si>
  <si>
    <t>Overige vergoedingsbedragen</t>
  </si>
  <si>
    <t>Vergoeding dienstreizen leerkrachten voor autistische leerlingen</t>
  </si>
  <si>
    <t>op jaarbasis</t>
  </si>
  <si>
    <t>bodem</t>
  </si>
  <si>
    <t>School:</t>
  </si>
  <si>
    <t>Brinnr.:</t>
  </si>
  <si>
    <t>1. Onderhoud</t>
  </si>
  <si>
    <t>2. Energie en water</t>
  </si>
  <si>
    <t>a. Electriciteitsverbruik</t>
  </si>
  <si>
    <t>Middelen</t>
  </si>
  <si>
    <t>f. Dienstreizen</t>
  </si>
  <si>
    <t>a. Gebouw</t>
  </si>
  <si>
    <t>b. Tuin</t>
  </si>
  <si>
    <t>c. Schoonmaak</t>
  </si>
  <si>
    <t>c. Waterverbruik</t>
  </si>
  <si>
    <t>3. Publiekrechtelijke heffingen</t>
  </si>
  <si>
    <t>Totaal conform afrondingswijze van Cfi</t>
  </si>
  <si>
    <t>b. Ouderbijdrage ihk medezeggenschap</t>
  </si>
  <si>
    <t>3.1</t>
  </si>
  <si>
    <t>3.2</t>
  </si>
  <si>
    <t>Overgangsregeling t.b.v. leerlinggebonden financiering</t>
  </si>
  <si>
    <t xml:space="preserve">vastgesteld bedrag </t>
  </si>
  <si>
    <t>3.3</t>
  </si>
  <si>
    <t>factor N voor SO</t>
  </si>
  <si>
    <t>factor N voor VSO</t>
  </si>
  <si>
    <t xml:space="preserve">Groepsgrootte </t>
  </si>
  <si>
    <t>SOVSO</t>
  </si>
  <si>
    <t xml:space="preserve">Genormeerde bruto m² vloeroppervlakte (A) in relatie tot het aantal groepen leerlingen </t>
  </si>
  <si>
    <t>per school</t>
  </si>
  <si>
    <t>onderwijs-soort</t>
  </si>
  <si>
    <t>aantal</t>
  </si>
  <si>
    <t>nee</t>
  </si>
  <si>
    <t>cumi</t>
  </si>
  <si>
    <t>kernonderwijs</t>
  </si>
  <si>
    <t>VT</t>
  </si>
  <si>
    <t>&lt; 8 jaar</t>
  </si>
  <si>
    <t>wv cumi</t>
  </si>
  <si>
    <t>Leerlingaantallen</t>
  </si>
  <si>
    <t>MG?</t>
  </si>
  <si>
    <t>GR GR</t>
  </si>
  <si>
    <t>aantal GR</t>
  </si>
  <si>
    <t>Toeslag gebouwenonderhoud voor LG/MG, schuifdeur en stoellift</t>
  </si>
  <si>
    <t>ja</t>
  </si>
  <si>
    <t xml:space="preserve">e1. Overige uitgaven </t>
  </si>
  <si>
    <t>Waarvan BGZ</t>
  </si>
  <si>
    <t>h. Onderhoud, vervanging en vernieuwing OLP</t>
  </si>
  <si>
    <t>i. Vervanging en aanpassing meubilair</t>
  </si>
  <si>
    <t>g1. Schoolzwemmen</t>
  </si>
  <si>
    <t>g2. Vervoer schoolzwemmen</t>
  </si>
  <si>
    <t>waarvan ICT (incl. kennisnet)</t>
  </si>
  <si>
    <t>A.</t>
  </si>
  <si>
    <t>B.</t>
  </si>
  <si>
    <t>C.</t>
  </si>
  <si>
    <t>D.</t>
  </si>
  <si>
    <t>Toegekend aantal fte op jaarbasis</t>
  </si>
  <si>
    <t>schooljaren</t>
  </si>
  <si>
    <t>06/07</t>
  </si>
  <si>
    <t>07/08</t>
  </si>
  <si>
    <t>08/09</t>
  </si>
  <si>
    <t>09/10</t>
  </si>
  <si>
    <t>10/11</t>
  </si>
  <si>
    <t>11/12</t>
  </si>
  <si>
    <t>12/13</t>
  </si>
  <si>
    <t>13/14</t>
  </si>
  <si>
    <t>14/15</t>
  </si>
  <si>
    <t>15/16</t>
  </si>
  <si>
    <t>16/17</t>
  </si>
  <si>
    <t>hydro-bad</t>
  </si>
  <si>
    <t>watergew</t>
  </si>
  <si>
    <t>Totaal Groeps- en leerlingafhankelijke vergoeding</t>
  </si>
  <si>
    <t>E.</t>
  </si>
  <si>
    <t xml:space="preserve">F. </t>
  </si>
  <si>
    <t>Materiële vergoeding *</t>
  </si>
  <si>
    <t>oso</t>
  </si>
  <si>
    <t>(S)BaO</t>
  </si>
  <si>
    <t>VO/WEB</t>
  </si>
  <si>
    <t>* dienstreizen AB-ers</t>
  </si>
  <si>
    <t>LGF</t>
  </si>
  <si>
    <t>Aantal leerlingen Ambulante begeleiding TAB</t>
  </si>
  <si>
    <t>Aantal leerlingen Ambulante begeleiding rugzak</t>
  </si>
  <si>
    <t>Subtotaal</t>
  </si>
  <si>
    <t>05/06</t>
  </si>
  <si>
    <t xml:space="preserve">Kalenderjaar </t>
  </si>
  <si>
    <t>nvt</t>
  </si>
  <si>
    <t>Relevante N-factor groei:</t>
  </si>
  <si>
    <t>bovenschools</t>
  </si>
  <si>
    <t>Overige overheidsbijdragen - materieel</t>
  </si>
  <si>
    <t>Gemeentelijke bijdragen</t>
  </si>
  <si>
    <t>Overige baten - materieel</t>
  </si>
  <si>
    <t>Ouderbijdragen</t>
  </si>
  <si>
    <t>Verhuur onroerende zaken</t>
  </si>
  <si>
    <t>Schenkingen</t>
  </si>
  <si>
    <t>Sponsoring</t>
  </si>
  <si>
    <t>Van samenwerkingsverband WSNS</t>
  </si>
  <si>
    <t>waterinh. m3</t>
  </si>
  <si>
    <t>Expertisebekostiging MG Artikel VII Wet Regeling LGF</t>
  </si>
  <si>
    <t>Overige subsidies OCW-materieel</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</si>
  <si>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</si>
  <si>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</si>
  <si>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</si>
  <si>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Leerlinggegevens</t>
  </si>
  <si>
    <t xml:space="preserve">De invoer van de leerlinggegevens van de (V)SO-school is complex omdat de samenstelling van de school complex kan zijn. </t>
  </si>
  <si>
    <t>Daarom wordt eerst gevraagd om wat voor soort school het gaat: SO, VSO of SOVSO.</t>
  </si>
  <si>
    <t>Vervolgens het soort onderwijs wat de kern van de school vormt.</t>
  </si>
  <si>
    <t xml:space="preserve">De leerlingen moeten gespecificeerd worden naar diverse categorieën zoals jonger dan 8 jaar, 8 jaar en ouder, cumi-leerlingen, enzovoorts. </t>
  </si>
  <si>
    <t>De baten worden berekend conform de Rijksbijdrage van de laatst bekende gegevens van de Londo-regeling. Daarbij zijn ook alle specifieke regelingen die van toepassing kunnen zijn van de Londo-regeling opgevoerd. Ook de materiële bekostiging van de ambulante begeleiding (TAB en rugzak) wordt hier berekend en met de post Overige subsidies OCW-materieel wordt een compleet overzicht verstrekt van de Rijksbijdrage.</t>
  </si>
  <si>
    <t>Werkblad Tabellen</t>
  </si>
  <si>
    <t>Nadere informatie</t>
  </si>
  <si>
    <t xml:space="preserve">Hebt u vragen of opmerkingen, adviezen enzovoorts over dit instrument, dan zijn we daar nieuwsgierig naar: </t>
  </si>
  <si>
    <t>Vervolgens is er ruimte voor vier componenten</t>
  </si>
  <si>
    <t>Daarnaast kunnen inkomsten worden opgevoerd als overige overheidsbijdragen voor materiële uitgaven en overige baten voor materiële uitgaven.</t>
  </si>
  <si>
    <t>In deze werkbladen worden de gespecificeerde berekeningen gegeven van de materiële bekostiging voor de hoofdvestiging resp. de nevenvestigingen.</t>
  </si>
  <si>
    <t>Werkblad MI school</t>
  </si>
  <si>
    <t>In dit werkblad wordt de MI bekostiging van de hoofd- en nevenvestigingen getotaliseerd.</t>
  </si>
  <si>
    <t>Met de ruimte voor vier afzonderlijke componenten moet het mogelijk zijn om vrijwel elke school voor (V)SO hiermee van dienst te zijn. Daarbij blijven de vier scholen voor visueel gehandicapten buiten beschouwing. Die hebben een specifieke eigen bekostigingsregeling die zeer eenvoudig is.</t>
  </si>
  <si>
    <t>Hoofdafdeling</t>
  </si>
  <si>
    <t>Component 1</t>
  </si>
  <si>
    <t>Component 2</t>
  </si>
  <si>
    <t>Component 3</t>
  </si>
  <si>
    <t>(Het grote aantal tabellen is een indicatie dat het wenselijk is de bekostiging aanzienlijk te vereenvoudigen.)</t>
  </si>
  <si>
    <t>per toegekende fte als aanvullende formatie</t>
  </si>
  <si>
    <t>CHECK</t>
  </si>
  <si>
    <t xml:space="preserve"> = bij rekenkundige benadering</t>
  </si>
  <si>
    <t>VERGOEDING MATERIELE INSTANDHOUDING</t>
  </si>
  <si>
    <t>1. Brancardliften</t>
  </si>
  <si>
    <t>2. Schoolbaden</t>
  </si>
  <si>
    <t>1. Dienstreizen leerkrachten voor autistische leerlingen</t>
  </si>
  <si>
    <t xml:space="preserve">2. Overgangsregeling t.b.v. leerlinggebonden financiering </t>
  </si>
  <si>
    <t>LZs en PI, vastgesteld bedrag 2004</t>
  </si>
  <si>
    <t>kalenderjaar</t>
  </si>
  <si>
    <t>teldatum leerlingen per 1 oktober</t>
  </si>
  <si>
    <t>1 Dienstreizen leerkrachten voor autistische leerlingen</t>
  </si>
  <si>
    <t>2a. aantal m3</t>
  </si>
  <si>
    <t>2b. verstelbare bodem</t>
  </si>
  <si>
    <t>BASISGEGEVENS</t>
  </si>
  <si>
    <t>Leerlingen op residentiele plaatsen</t>
  </si>
  <si>
    <t>De invoer van de leerlinggegevens vergt een prognose voor de jaren daarna. De opgave van 1 oktober 2008 is automatisch de telling van latere teldata, maar die kunnen overschreven worden. U kunt die in overeenstemming brengen met uw verwachting door het geraamde aantal leerlingen in de komende jaren op te geven.</t>
  </si>
  <si>
    <t>De Specialeschool</t>
  </si>
  <si>
    <t>11AA</t>
  </si>
  <si>
    <t>Rijksbijdragen OCW</t>
  </si>
  <si>
    <t>Totaal baten materieel</t>
  </si>
  <si>
    <t>Toeslag gebouwonderhoud LG/MG,  schuifdeur+stoellift</t>
  </si>
  <si>
    <t xml:space="preserve">totaal </t>
  </si>
  <si>
    <t>VERGOEDING MATERIELE INSTANDHOUDING (totaal)</t>
  </si>
  <si>
    <t>Rijksbijdrage OCW</t>
  </si>
  <si>
    <t>Minus: Overdrachten bestuur</t>
  </si>
  <si>
    <t xml:space="preserve">Overdracht naar bestuur </t>
  </si>
  <si>
    <t>Overdracht van bestuur</t>
  </si>
  <si>
    <t>saldo overdrachten</t>
  </si>
  <si>
    <t xml:space="preserve">toeslagen </t>
  </si>
  <si>
    <t>geb.onderh.</t>
  </si>
  <si>
    <t>Tuin-</t>
  </si>
  <si>
    <t>onderhoud</t>
  </si>
  <si>
    <t>schoonmaak</t>
  </si>
  <si>
    <t>publiekr.heffingen</t>
  </si>
  <si>
    <t xml:space="preserve">ouderbijdragen </t>
  </si>
  <si>
    <t>8 jr e.o.</t>
  </si>
  <si>
    <t>teldatum:</t>
  </si>
  <si>
    <t>tot lln excl. resi</t>
  </si>
  <si>
    <t>www.poraad.nl</t>
  </si>
  <si>
    <t>o.b.v. percentage rijksbijdragen OCW</t>
  </si>
  <si>
    <t>per groep is per leerling:</t>
  </si>
  <si>
    <t>Leerlingafhankelijke programma's van eisen 2011</t>
  </si>
  <si>
    <t xml:space="preserve"> 11/12</t>
  </si>
  <si>
    <t>bedrag per m3</t>
  </si>
  <si>
    <t>Groepsafhankelijke programma's van eisen 2011</t>
  </si>
  <si>
    <t>Vergoeding dienstreizen terugplaatsings ambulante begeleiding (TAB) 2011</t>
  </si>
  <si>
    <r>
      <t>Raming</t>
    </r>
    <r>
      <rPr>
        <sz val="10"/>
        <rFont val="Calibri"/>
        <family val="2"/>
      </rPr>
      <t xml:space="preserve"> bedragen </t>
    </r>
  </si>
  <si>
    <t>Toelichting Londo (V)SO 2011                                                                                              Versie:</t>
  </si>
  <si>
    <r>
      <t xml:space="preserve">Het model is beveiligd met het wachtwoord: </t>
    </r>
    <r>
      <rPr>
        <b/>
        <sz val="11"/>
        <rFont val="Arial"/>
        <family val="2"/>
      </rPr>
      <t>poraad</t>
    </r>
    <r>
      <rPr>
        <sz val="11"/>
        <rFont val="Arial"/>
        <family val="2"/>
      </rPr>
      <t xml:space="preserve"> onder Extra/Beveiliging/Blad beveiligen.</t>
    </r>
  </si>
  <si>
    <t>In deze applicatie zijn de bedragen van de vastgestelde PvE's voor 2011 verwerkt.</t>
  </si>
  <si>
    <r>
      <t xml:space="preserve">Bij de </t>
    </r>
    <r>
      <rPr>
        <b/>
        <sz val="11"/>
        <rFont val="Arial"/>
        <family val="2"/>
      </rPr>
      <t>1e component</t>
    </r>
    <r>
      <rPr>
        <sz val="11"/>
        <rFont val="Arial"/>
        <family val="2"/>
      </rPr>
      <t xml:space="preserve"> is het noodzakelijk dat de gegevens van de </t>
    </r>
    <r>
      <rPr>
        <b/>
        <sz val="11"/>
        <rFont val="Arial"/>
        <family val="2"/>
      </rPr>
      <t>kernafdeling</t>
    </r>
    <r>
      <rPr>
        <sz val="11"/>
        <rFont val="Arial"/>
        <family val="2"/>
      </rPr>
      <t xml:space="preserve"> worden opgegeven. Vervolgens de overige componenten waaruit de school bestaat. Daarbij is het noodzakelijk om Verbrede Toelating als een aparte component te beschouwen wat de opgave van leerlingen betreft.</t>
    </r>
  </si>
  <si>
    <t>Werkblad Hoofdvestiging en Nevenvestigingen</t>
  </si>
  <si>
    <t>De MI-bekostiging van de rugzakken is berekend door uit te gaan van de bedragen uit de Regeling personele bekostiging PO 2010-2011. Vervolgens wordt met de systematiek van 7/12e en 5/12e de vergoeding voor het kalenderjaar 2011 berekend.</t>
  </si>
  <si>
    <t>In de tabellen zijn de gegevens opgenomen die betrekking hebben op de onderliggende normeringen voor de bekostiging. De bedragen betreffen de bedragen zoals die voor het kalenderjaar 2011 zijn vastgesteld.</t>
  </si>
  <si>
    <t xml:space="preserve">Bé Keizer, tel.: 06-22939674 of e-mail: be.keizer@wxs.nl </t>
  </si>
  <si>
    <t>Reinier Goedhart, tel.: 06-25341033 of e-mail: r.goedhart@poraad.nl</t>
  </si>
  <si>
    <t>Tabel Bedrag BVE en scholen VSO t.b.v. ambulante begeleiding</t>
  </si>
  <si>
    <t>Voltijds</t>
  </si>
  <si>
    <t>Deeltijds</t>
  </si>
  <si>
    <t>VO</t>
  </si>
  <si>
    <t>WEB                                                                                                            voltijd</t>
  </si>
  <si>
    <t>WEB                                                                                                        deeltijd</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</si>
</sst>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00_-;[Red]&quot;€&quot;\ #,##0.00\-"/>
    <numFmt numFmtId="173" formatCode="_-&quot;€&quot;\ * #,##0_-;_-&quot;€&quot;\ * #,##0\-;_-&quot;€&quot;\ * &quot;-&quot;_-;_-@_-"/>
    <numFmt numFmtId="174" formatCode="_-&quot;€&quot;\ * #,##0.00_-;_-&quot;€&quot;\ * #,##0.00\-;_-&quot;€&quot;\ * &quot;-&quot;??_-;_-@_-"/>
    <numFmt numFmtId="175" formatCode="d/mmm/yyyy"/>
    <numFmt numFmtId="176" formatCode="0.0000"/>
    <numFmt numFmtId="177" formatCode="dd/mmm/yy"/>
    <numFmt numFmtId="178" formatCode="#,##0.000"/>
    <numFmt numFmtId="179" formatCode="0.000"/>
    <numFmt numFmtId="180" formatCode="_-&quot;€&quot;\ * #,##0_-;_-&quot;€&quot;\ * #,##0\-;_-&quot;€&quot;\ * &quot;-&quot;??_-;_-@_-"/>
    <numFmt numFmtId="181" formatCode="[$-413]d/mmm/yy;@"/>
  </numFmts>
  <fonts count="48">
    <font>
      <sz val="10"/>
      <name val="Arial"/>
      <family val="0"/>
    </font>
    <font>
      <sz val="11"/>
      <color indexed="8"/>
      <name val="Calibri"/>
      <family val="2"/>
    </font>
    <font>
      <u val="single"/>
      <sz val="10"/>
      <color indexed="12"/>
      <name val="Arial"/>
      <family val="0"/>
    </font>
    <font>
      <sz val="8"/>
      <name val="Tahoma"/>
      <family val="0"/>
    </font>
    <font>
      <sz val="9"/>
      <name val="Arial"/>
      <family val="2"/>
    </font>
    <font>
      <sz val="9"/>
      <name val="Tahoma"/>
      <family val="2"/>
    </font>
    <font>
      <sz val="10"/>
      <name val="Calibri"/>
      <family val="2"/>
    </font>
    <font>
      <b/>
      <sz val="10"/>
      <name val="Calibri"/>
      <family val="2"/>
    </font>
    <font>
      <sz val="10"/>
      <color indexed="10"/>
      <name val="Calibri"/>
      <family val="2"/>
    </font>
    <font>
      <sz val="14"/>
      <name val="Calibri"/>
      <family val="2"/>
    </font>
    <font>
      <b/>
      <i/>
      <sz val="10"/>
      <name val="Calibri"/>
      <family val="2"/>
    </font>
    <font>
      <b/>
      <sz val="10"/>
      <color indexed="10"/>
      <name val="Calibri"/>
      <family val="2"/>
    </font>
    <font>
      <i/>
      <sz val="10"/>
      <name val="Calibri"/>
      <family val="2"/>
    </font>
    <font>
      <sz val="14"/>
      <color indexed="10"/>
      <name val="Calibri"/>
      <family val="2"/>
    </font>
    <font>
      <b/>
      <sz val="14"/>
      <color indexed="10"/>
      <name val="Calibri"/>
      <family val="2"/>
    </font>
    <font>
      <b/>
      <i/>
      <sz val="10"/>
      <color indexed="10"/>
      <name val="Calibri"/>
      <family val="2"/>
    </font>
    <font>
      <i/>
      <sz val="10"/>
      <color indexed="10"/>
      <name val="Calibri"/>
      <family val="2"/>
    </font>
    <font>
      <b/>
      <sz val="10"/>
      <color indexed="47"/>
      <name val="Calibri"/>
      <family val="2"/>
    </font>
    <font>
      <sz val="10"/>
      <color indexed="47"/>
      <name val="Calibri"/>
      <family val="2"/>
    </font>
    <font>
      <sz val="10"/>
      <name val="Tahoma"/>
      <family val="2"/>
    </font>
    <font>
      <sz val="10"/>
      <color indexed="23"/>
      <name val="Calibri"/>
      <family val="2"/>
    </font>
    <font>
      <sz val="14"/>
      <color indexed="23"/>
      <name val="Calibri"/>
      <family val="2"/>
    </font>
    <font>
      <b/>
      <sz val="10"/>
      <color indexed="23"/>
      <name val="Calibri"/>
      <family val="2"/>
    </font>
    <font>
      <b/>
      <sz val="1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9"/>
      <name val="Arial"/>
      <family val="2"/>
    </font>
    <font>
      <b/>
      <sz val="8"/>
      <name val="Calibri"/>
      <family val="2"/>
    </font>
    <font>
      <b/>
      <sz val="12"/>
      <name val="Arial"/>
      <family val="2"/>
    </font>
    <font>
      <b/>
      <sz val="11"/>
      <name val="Arial"/>
      <family val="2"/>
    </font>
    <font>
      <sz val="11"/>
      <name val="Arial"/>
      <family val="2"/>
    </font>
    <font>
      <u val="single"/>
      <sz val="8.5"/>
      <color indexed="36"/>
      <name val="Arial"/>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color indexed="47"/>
      </right>
      <top/>
      <bottom style="thin">
        <color indexed="47"/>
      </bottom>
    </border>
    <border>
      <left style="thin">
        <color indexed="47"/>
      </left>
      <right style="thin">
        <color indexed="47"/>
      </right>
      <top/>
      <bottom style="thin">
        <color indexed="47"/>
      </bottom>
    </border>
    <border>
      <left style="thin">
        <color indexed="47"/>
      </left>
      <right/>
      <top/>
      <bottom style="thin">
        <color indexed="47"/>
      </bottom>
    </border>
    <border>
      <left/>
      <right style="thin">
        <color indexed="47"/>
      </right>
      <top style="thin">
        <color indexed="47"/>
      </top>
      <bottom style="thin">
        <color indexed="47"/>
      </bottom>
    </border>
    <border>
      <left style="thin">
        <color indexed="47"/>
      </left>
      <right style="thin">
        <color indexed="47"/>
      </right>
      <top style="thin">
        <color indexed="47"/>
      </top>
      <bottom style="thin">
        <color indexed="47"/>
      </bottom>
    </border>
    <border>
      <left style="thin">
        <color indexed="47"/>
      </left>
      <right/>
      <top style="thin">
        <color indexed="47"/>
      </top>
      <bottom style="thin">
        <color indexed="47"/>
      </bottom>
    </border>
    <border>
      <left/>
      <right style="thin">
        <color indexed="47"/>
      </right>
      <top style="thin">
        <color indexed="47"/>
      </top>
      <bottom/>
    </border>
    <border>
      <left style="thin">
        <color indexed="47"/>
      </left>
      <right style="thin">
        <color indexed="47"/>
      </right>
      <top style="thin">
        <color indexed="47"/>
      </top>
      <bottom/>
    </border>
    <border>
      <left style="thin">
        <color indexed="47"/>
      </left>
      <right/>
      <top style="thin">
        <color indexed="47"/>
      </top>
      <bottom/>
    </border>
    <border>
      <left style="thin"/>
      <right/>
      <top/>
      <bottom style="thin"/>
    </border>
    <border>
      <left/>
      <right/>
      <top/>
      <bottom style="thin"/>
    </border>
    <border>
      <left/>
      <right style="thin"/>
      <top/>
      <bottom style="thin"/>
    </border>
    <border>
      <left/>
      <right/>
      <top style="thin">
        <color indexed="47"/>
      </top>
      <bottom style="thin">
        <color indexed="47"/>
      </bottom>
    </border>
    <border>
      <left/>
      <right/>
      <top style="thin">
        <color indexed="47"/>
      </top>
      <bottom/>
    </border>
    <border>
      <left/>
      <right/>
      <top/>
      <bottom style="thin">
        <color indexed="47"/>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31"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174"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cellStyleXfs>
  <cellXfs count="295">
    <xf numFmtId="0" fontId="0" fillId="0" borderId="0" xfId="0" applyAlignment="1">
      <alignment/>
    </xf>
    <xf numFmtId="0" fontId="7" fillId="0" borderId="0" xfId="0" applyFont="1" applyFill="1" applyBorder="1" applyAlignment="1" applyProtection="1">
      <alignment horizontal="left"/>
      <protection/>
    </xf>
    <xf numFmtId="0" fontId="6" fillId="2" borderId="0" xfId="0" applyFont="1" applyFill="1" applyBorder="1" applyAlignment="1" applyProtection="1">
      <alignment/>
      <protection/>
    </xf>
    <xf numFmtId="0" fontId="6" fillId="2" borderId="0" xfId="0" applyFont="1" applyFill="1" applyBorder="1" applyAlignment="1" applyProtection="1">
      <alignment horizontal="left"/>
      <protection/>
    </xf>
    <xf numFmtId="0" fontId="6" fillId="2" borderId="0" xfId="0" applyFont="1" applyFill="1" applyBorder="1" applyAlignment="1" applyProtection="1">
      <alignment horizontal="center"/>
      <protection/>
    </xf>
    <xf numFmtId="0" fontId="13" fillId="2" borderId="0" xfId="0" applyFont="1" applyFill="1" applyBorder="1" applyAlignment="1" applyProtection="1">
      <alignment/>
      <protection/>
    </xf>
    <xf numFmtId="0" fontId="8" fillId="2" borderId="0" xfId="0" applyFont="1" applyFill="1" applyBorder="1" applyAlignment="1" applyProtection="1">
      <alignment/>
      <protection/>
    </xf>
    <xf numFmtId="175" fontId="6" fillId="2" borderId="0" xfId="0" applyNumberFormat="1" applyFont="1" applyFill="1" applyBorder="1" applyAlignment="1" applyProtection="1">
      <alignment horizontal="left"/>
      <protection/>
    </xf>
    <xf numFmtId="0" fontId="7" fillId="2" borderId="0"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7" fillId="2" borderId="0" xfId="0" applyFont="1" applyFill="1" applyBorder="1" applyAlignment="1" applyProtection="1">
      <alignment/>
      <protection/>
    </xf>
    <xf numFmtId="0" fontId="11" fillId="2" borderId="0" xfId="0" applyFont="1" applyFill="1" applyBorder="1" applyAlignment="1" applyProtection="1">
      <alignment horizontal="left"/>
      <protection/>
    </xf>
    <xf numFmtId="0" fontId="11" fillId="2" borderId="0" xfId="0" applyFont="1" applyFill="1" applyBorder="1" applyAlignment="1" applyProtection="1">
      <alignment/>
      <protection/>
    </xf>
    <xf numFmtId="0" fontId="6" fillId="2" borderId="0" xfId="0" applyFont="1" applyFill="1" applyBorder="1" applyAlignment="1" applyProtection="1">
      <alignment/>
      <protection locked="0"/>
    </xf>
    <xf numFmtId="0" fontId="8" fillId="2" borderId="0" xfId="0" applyNumberFormat="1" applyFont="1" applyFill="1" applyBorder="1" applyAlignment="1" applyProtection="1">
      <alignment horizontal="left" vertical="top" wrapText="1"/>
      <protection/>
    </xf>
    <xf numFmtId="0" fontId="8" fillId="2" borderId="0" xfId="0" applyFont="1" applyFill="1" applyBorder="1" applyAlignment="1" applyProtection="1">
      <alignment horizontal="center"/>
      <protection/>
    </xf>
    <xf numFmtId="0" fontId="6" fillId="24" borderId="10" xfId="0" applyFont="1" applyFill="1" applyBorder="1" applyAlignment="1" applyProtection="1">
      <alignment/>
      <protection/>
    </xf>
    <xf numFmtId="0" fontId="6" fillId="24" borderId="11" xfId="0" applyFont="1" applyFill="1" applyBorder="1" applyAlignment="1" applyProtection="1">
      <alignment/>
      <protection/>
    </xf>
    <xf numFmtId="0" fontId="6" fillId="24" borderId="11" xfId="0" applyFont="1" applyFill="1" applyBorder="1" applyAlignment="1" applyProtection="1">
      <alignment horizontal="left"/>
      <protection/>
    </xf>
    <xf numFmtId="0" fontId="6" fillId="24" borderId="11" xfId="0" applyFont="1" applyFill="1" applyBorder="1" applyAlignment="1" applyProtection="1">
      <alignment horizontal="center"/>
      <protection/>
    </xf>
    <xf numFmtId="0" fontId="6" fillId="24" borderId="12" xfId="0" applyFont="1" applyFill="1" applyBorder="1" applyAlignment="1" applyProtection="1">
      <alignment/>
      <protection/>
    </xf>
    <xf numFmtId="0" fontId="6" fillId="24" borderId="13" xfId="0" applyFont="1" applyFill="1" applyBorder="1" applyAlignment="1" applyProtection="1">
      <alignment/>
      <protection/>
    </xf>
    <xf numFmtId="0" fontId="6" fillId="24" borderId="0" xfId="0" applyFont="1" applyFill="1" applyBorder="1" applyAlignment="1" applyProtection="1">
      <alignment/>
      <protection/>
    </xf>
    <xf numFmtId="0" fontId="6" fillId="24" borderId="0" xfId="0" applyFont="1" applyFill="1" applyBorder="1" applyAlignment="1" applyProtection="1">
      <alignment horizontal="left"/>
      <protection/>
    </xf>
    <xf numFmtId="0" fontId="6" fillId="24" borderId="0" xfId="0" applyFont="1" applyFill="1" applyBorder="1" applyAlignment="1" applyProtection="1">
      <alignment horizontal="center"/>
      <protection/>
    </xf>
    <xf numFmtId="0" fontId="6" fillId="24" borderId="14" xfId="0" applyFont="1" applyFill="1" applyBorder="1" applyAlignment="1" applyProtection="1">
      <alignment/>
      <protection/>
    </xf>
    <xf numFmtId="0" fontId="13" fillId="24" borderId="13" xfId="0" applyFont="1" applyFill="1" applyBorder="1" applyAlignment="1" applyProtection="1">
      <alignment/>
      <protection/>
    </xf>
    <xf numFmtId="0" fontId="14" fillId="24" borderId="0" xfId="0" applyFont="1" applyFill="1" applyBorder="1" applyAlignment="1" applyProtection="1">
      <alignment/>
      <protection/>
    </xf>
    <xf numFmtId="0" fontId="13" fillId="24" borderId="0" xfId="0" applyFont="1" applyFill="1" applyBorder="1" applyAlignment="1" applyProtection="1">
      <alignment horizontal="left"/>
      <protection/>
    </xf>
    <xf numFmtId="0" fontId="13" fillId="24" borderId="0" xfId="0" applyFont="1" applyFill="1" applyBorder="1" applyAlignment="1" applyProtection="1">
      <alignment horizontal="center"/>
      <protection/>
    </xf>
    <xf numFmtId="0" fontId="13" fillId="24" borderId="0" xfId="0" applyFont="1" applyFill="1" applyBorder="1" applyAlignment="1" applyProtection="1">
      <alignment/>
      <protection/>
    </xf>
    <xf numFmtId="0" fontId="13" fillId="24" borderId="14" xfId="0" applyFont="1" applyFill="1" applyBorder="1" applyAlignment="1" applyProtection="1">
      <alignment/>
      <protection/>
    </xf>
    <xf numFmtId="0" fontId="9" fillId="24" borderId="0" xfId="0" applyFont="1" applyFill="1" applyBorder="1" applyAlignment="1" applyProtection="1">
      <alignment/>
      <protection/>
    </xf>
    <xf numFmtId="0" fontId="6" fillId="24" borderId="0" xfId="0" applyFont="1" applyFill="1" applyBorder="1" applyAlignment="1" applyProtection="1">
      <alignment horizontal="center"/>
      <protection locked="0"/>
    </xf>
    <xf numFmtId="0" fontId="6" fillId="24" borderId="0" xfId="0" applyFont="1" applyFill="1" applyBorder="1" applyAlignment="1" applyProtection="1">
      <alignment horizontal="left"/>
      <protection locked="0"/>
    </xf>
    <xf numFmtId="175" fontId="6" fillId="24" borderId="0" xfId="0" applyNumberFormat="1" applyFont="1" applyFill="1" applyBorder="1" applyAlignment="1" applyProtection="1">
      <alignment horizontal="left"/>
      <protection/>
    </xf>
    <xf numFmtId="0" fontId="7" fillId="24" borderId="0" xfId="0" applyFont="1" applyFill="1" applyBorder="1" applyAlignment="1" applyProtection="1">
      <alignment horizontal="left"/>
      <protection/>
    </xf>
    <xf numFmtId="0" fontId="10" fillId="24" borderId="0" xfId="0" applyFont="1" applyFill="1" applyBorder="1" applyAlignment="1" applyProtection="1">
      <alignment horizontal="center"/>
      <protection/>
    </xf>
    <xf numFmtId="0" fontId="7" fillId="24" borderId="0" xfId="0" applyFont="1" applyFill="1" applyBorder="1" applyAlignment="1" applyProtection="1">
      <alignment/>
      <protection/>
    </xf>
    <xf numFmtId="0" fontId="7" fillId="24" borderId="0" xfId="0" applyFont="1" applyFill="1" applyBorder="1" applyAlignment="1" applyProtection="1">
      <alignment horizontal="center"/>
      <protection/>
    </xf>
    <xf numFmtId="0" fontId="7" fillId="24" borderId="14" xfId="0" applyFont="1" applyFill="1" applyBorder="1" applyAlignment="1" applyProtection="1">
      <alignment/>
      <protection/>
    </xf>
    <xf numFmtId="0" fontId="6" fillId="24" borderId="14" xfId="0" applyFont="1" applyFill="1" applyBorder="1" applyAlignment="1" applyProtection="1">
      <alignment/>
      <protection locked="0"/>
    </xf>
    <xf numFmtId="0" fontId="6" fillId="7" borderId="0" xfId="0" applyFont="1" applyFill="1" applyBorder="1" applyAlignment="1" applyProtection="1">
      <alignment/>
      <protection/>
    </xf>
    <xf numFmtId="0" fontId="6" fillId="7" borderId="0" xfId="0" applyFont="1" applyFill="1" applyBorder="1" applyAlignment="1" applyProtection="1">
      <alignment horizontal="left"/>
      <protection/>
    </xf>
    <xf numFmtId="0" fontId="6" fillId="7" borderId="0" xfId="0" applyFont="1" applyFill="1" applyBorder="1" applyAlignment="1" applyProtection="1">
      <alignment horizontal="center"/>
      <protection/>
    </xf>
    <xf numFmtId="0" fontId="6" fillId="7" borderId="0" xfId="0" applyFont="1" applyFill="1" applyBorder="1" applyAlignment="1" applyProtection="1">
      <alignment horizontal="center"/>
      <protection locked="0"/>
    </xf>
    <xf numFmtId="0" fontId="6" fillId="7" borderId="0" xfId="0" applyFont="1" applyFill="1" applyBorder="1" applyAlignment="1" applyProtection="1">
      <alignment/>
      <protection locked="0"/>
    </xf>
    <xf numFmtId="0" fontId="6" fillId="7" borderId="0" xfId="0" applyFont="1" applyFill="1" applyBorder="1" applyAlignment="1" applyProtection="1">
      <alignment/>
      <protection/>
    </xf>
    <xf numFmtId="175" fontId="6" fillId="7" borderId="0" xfId="0" applyNumberFormat="1" applyFont="1" applyFill="1" applyBorder="1" applyAlignment="1" applyProtection="1">
      <alignment horizontal="left"/>
      <protection/>
    </xf>
    <xf numFmtId="175" fontId="6" fillId="7" borderId="0" xfId="0" applyNumberFormat="1" applyFont="1" applyFill="1" applyBorder="1" applyAlignment="1" applyProtection="1">
      <alignment horizontal="center"/>
      <protection/>
    </xf>
    <xf numFmtId="0" fontId="6" fillId="7" borderId="15" xfId="0" applyFont="1" applyFill="1" applyBorder="1" applyAlignment="1" applyProtection="1">
      <alignment/>
      <protection/>
    </xf>
    <xf numFmtId="0" fontId="6" fillId="7" borderId="16" xfId="0" applyFont="1" applyFill="1" applyBorder="1" applyAlignment="1" applyProtection="1">
      <alignment horizontal="center"/>
      <protection/>
    </xf>
    <xf numFmtId="0" fontId="6" fillId="7" borderId="16" xfId="0" applyFont="1" applyFill="1" applyBorder="1" applyAlignment="1" applyProtection="1">
      <alignment/>
      <protection/>
    </xf>
    <xf numFmtId="0" fontId="6" fillId="7" borderId="17" xfId="0" applyFont="1" applyFill="1" applyBorder="1" applyAlignment="1" applyProtection="1">
      <alignment/>
      <protection/>
    </xf>
    <xf numFmtId="0" fontId="6" fillId="7" borderId="18" xfId="0" applyFont="1" applyFill="1" applyBorder="1" applyAlignment="1" applyProtection="1">
      <alignment/>
      <protection/>
    </xf>
    <xf numFmtId="0" fontId="6" fillId="7" borderId="19" xfId="0" applyFont="1" applyFill="1" applyBorder="1" applyAlignment="1" applyProtection="1">
      <alignment horizontal="left"/>
      <protection/>
    </xf>
    <xf numFmtId="0" fontId="6" fillId="7" borderId="19" xfId="0" applyFont="1" applyFill="1" applyBorder="1" applyAlignment="1" applyProtection="1">
      <alignment horizontal="center"/>
      <protection/>
    </xf>
    <xf numFmtId="0" fontId="6" fillId="7" borderId="19" xfId="0" applyFont="1" applyFill="1" applyBorder="1" applyAlignment="1" applyProtection="1">
      <alignment/>
      <protection/>
    </xf>
    <xf numFmtId="0" fontId="10" fillId="7" borderId="19" xfId="0" applyFont="1" applyFill="1" applyBorder="1" applyAlignment="1" applyProtection="1">
      <alignment horizontal="center"/>
      <protection/>
    </xf>
    <xf numFmtId="0" fontId="6" fillId="7" borderId="20" xfId="0" applyFont="1" applyFill="1" applyBorder="1" applyAlignment="1" applyProtection="1">
      <alignment/>
      <protection/>
    </xf>
    <xf numFmtId="0" fontId="7" fillId="7" borderId="19" xfId="0" applyFont="1" applyFill="1" applyBorder="1" applyAlignment="1" applyProtection="1">
      <alignment horizontal="left"/>
      <protection/>
    </xf>
    <xf numFmtId="0" fontId="7" fillId="7" borderId="19" xfId="0" applyFont="1" applyFill="1" applyBorder="1" applyAlignment="1" applyProtection="1">
      <alignment/>
      <protection/>
    </xf>
    <xf numFmtId="0" fontId="7" fillId="7" borderId="19" xfId="0" applyFont="1" applyFill="1" applyBorder="1" applyAlignment="1" applyProtection="1">
      <alignment horizontal="center"/>
      <protection/>
    </xf>
    <xf numFmtId="0" fontId="7" fillId="7" borderId="20" xfId="0" applyFont="1" applyFill="1" applyBorder="1" applyAlignment="1" applyProtection="1">
      <alignment/>
      <protection/>
    </xf>
    <xf numFmtId="175" fontId="6" fillId="7" borderId="19" xfId="0" applyNumberFormat="1" applyFont="1" applyFill="1" applyBorder="1" applyAlignment="1" applyProtection="1">
      <alignment horizontal="left"/>
      <protection/>
    </xf>
    <xf numFmtId="0" fontId="6" fillId="24" borderId="19" xfId="0" applyFont="1" applyFill="1" applyBorder="1" applyAlignment="1" applyProtection="1">
      <alignment horizontal="left"/>
      <protection locked="0"/>
    </xf>
    <xf numFmtId="175" fontId="6" fillId="23" borderId="19" xfId="0" applyNumberFormat="1" applyFont="1" applyFill="1" applyBorder="1" applyAlignment="1" applyProtection="1">
      <alignment horizontal="center"/>
      <protection/>
    </xf>
    <xf numFmtId="0" fontId="6" fillId="7" borderId="19" xfId="0" applyFont="1" applyFill="1" applyBorder="1" applyAlignment="1" applyProtection="1">
      <alignment/>
      <protection locked="0"/>
    </xf>
    <xf numFmtId="0" fontId="7" fillId="2" borderId="19" xfId="0" applyFont="1" applyFill="1" applyBorder="1" applyAlignment="1" applyProtection="1">
      <alignment horizontal="center"/>
      <protection/>
    </xf>
    <xf numFmtId="0" fontId="6" fillId="7" borderId="20" xfId="0" applyFont="1" applyFill="1" applyBorder="1" applyAlignment="1" applyProtection="1">
      <alignment/>
      <protection locked="0"/>
    </xf>
    <xf numFmtId="0" fontId="10" fillId="7" borderId="19" xfId="0" applyFont="1" applyFill="1" applyBorder="1" applyAlignment="1" applyProtection="1">
      <alignment/>
      <protection/>
    </xf>
    <xf numFmtId="0" fontId="6" fillId="7" borderId="21" xfId="0" applyFont="1" applyFill="1" applyBorder="1" applyAlignment="1" applyProtection="1">
      <alignment/>
      <protection/>
    </xf>
    <xf numFmtId="0" fontId="7" fillId="7" borderId="22" xfId="0" applyFont="1" applyFill="1" applyBorder="1" applyAlignment="1" applyProtection="1">
      <alignment horizontal="left"/>
      <protection/>
    </xf>
    <xf numFmtId="175" fontId="6" fillId="7" borderId="22" xfId="0" applyNumberFormat="1" applyFont="1" applyFill="1" applyBorder="1" applyAlignment="1" applyProtection="1">
      <alignment horizontal="left"/>
      <protection/>
    </xf>
    <xf numFmtId="0" fontId="6" fillId="7" borderId="22" xfId="0" applyFont="1" applyFill="1" applyBorder="1" applyAlignment="1" applyProtection="1">
      <alignment horizontal="center"/>
      <protection/>
    </xf>
    <xf numFmtId="0" fontId="6" fillId="7" borderId="22" xfId="0" applyFont="1" applyFill="1" applyBorder="1" applyAlignment="1" applyProtection="1">
      <alignment/>
      <protection/>
    </xf>
    <xf numFmtId="0" fontId="6" fillId="7" borderId="23" xfId="0" applyFont="1" applyFill="1" applyBorder="1" applyAlignment="1" applyProtection="1">
      <alignment/>
      <protection/>
    </xf>
    <xf numFmtId="0" fontId="6" fillId="24" borderId="19" xfId="0" applyFont="1" applyFill="1" applyBorder="1" applyAlignment="1" applyProtection="1">
      <alignment/>
      <protection/>
    </xf>
    <xf numFmtId="0" fontId="7" fillId="7" borderId="16" xfId="0" applyFont="1" applyFill="1" applyBorder="1" applyAlignment="1" applyProtection="1">
      <alignment horizontal="left"/>
      <protection/>
    </xf>
    <xf numFmtId="175" fontId="7" fillId="7" borderId="16" xfId="0" applyNumberFormat="1" applyFont="1" applyFill="1" applyBorder="1" applyAlignment="1" applyProtection="1">
      <alignment horizontal="left"/>
      <protection/>
    </xf>
    <xf numFmtId="0" fontId="8" fillId="24" borderId="0" xfId="0" applyFont="1" applyFill="1" applyBorder="1" applyAlignment="1" applyProtection="1">
      <alignment/>
      <protection/>
    </xf>
    <xf numFmtId="0" fontId="8" fillId="24" borderId="0" xfId="0" applyFont="1" applyFill="1" applyBorder="1" applyAlignment="1" applyProtection="1">
      <alignment horizontal="left"/>
      <protection/>
    </xf>
    <xf numFmtId="0" fontId="8" fillId="24" borderId="0" xfId="0" applyFont="1" applyFill="1" applyBorder="1" applyAlignment="1" applyProtection="1">
      <alignment horizontal="center"/>
      <protection/>
    </xf>
    <xf numFmtId="0" fontId="15" fillId="24" borderId="0" xfId="0" applyFont="1" applyFill="1" applyBorder="1" applyAlignment="1" applyProtection="1">
      <alignment horizontal="left"/>
      <protection/>
    </xf>
    <xf numFmtId="0" fontId="15" fillId="24" borderId="0" xfId="0" applyFont="1" applyFill="1" applyBorder="1" applyAlignment="1" applyProtection="1">
      <alignment horizontal="center"/>
      <protection/>
    </xf>
    <xf numFmtId="0" fontId="6" fillId="24" borderId="19" xfId="0" applyFont="1" applyFill="1" applyBorder="1" applyAlignment="1" applyProtection="1">
      <alignment horizontal="center"/>
      <protection locked="0"/>
    </xf>
    <xf numFmtId="0" fontId="6" fillId="23" borderId="0" xfId="0" applyFont="1" applyFill="1" applyBorder="1" applyAlignment="1" applyProtection="1">
      <alignment horizontal="center"/>
      <protection/>
    </xf>
    <xf numFmtId="0" fontId="7" fillId="7" borderId="22" xfId="0" applyFont="1" applyFill="1" applyBorder="1" applyAlignment="1" applyProtection="1">
      <alignment horizontal="center"/>
      <protection/>
    </xf>
    <xf numFmtId="0" fontId="7" fillId="7" borderId="16" xfId="0" applyFont="1" applyFill="1" applyBorder="1" applyAlignment="1" applyProtection="1">
      <alignment horizontal="center"/>
      <protection/>
    </xf>
    <xf numFmtId="0" fontId="12" fillId="2" borderId="0" xfId="0" applyFont="1" applyFill="1" applyBorder="1" applyAlignment="1" applyProtection="1">
      <alignment/>
      <protection/>
    </xf>
    <xf numFmtId="0" fontId="12" fillId="24" borderId="13" xfId="0" applyFont="1" applyFill="1" applyBorder="1" applyAlignment="1" applyProtection="1">
      <alignment/>
      <protection/>
    </xf>
    <xf numFmtId="0" fontId="12" fillId="7" borderId="19" xfId="0" applyFont="1" applyFill="1" applyBorder="1" applyAlignment="1" applyProtection="1">
      <alignment horizontal="center"/>
      <protection/>
    </xf>
    <xf numFmtId="0" fontId="12" fillId="7" borderId="19" xfId="0" applyFont="1" applyFill="1" applyBorder="1" applyAlignment="1" applyProtection="1">
      <alignment/>
      <protection/>
    </xf>
    <xf numFmtId="0" fontId="12" fillId="7" borderId="20" xfId="0" applyFont="1" applyFill="1" applyBorder="1" applyAlignment="1" applyProtection="1">
      <alignment/>
      <protection/>
    </xf>
    <xf numFmtId="0" fontId="12" fillId="24" borderId="14" xfId="0" applyFont="1" applyFill="1" applyBorder="1" applyAlignment="1" applyProtection="1">
      <alignment/>
      <protection/>
    </xf>
    <xf numFmtId="0" fontId="6" fillId="2" borderId="19" xfId="0" applyFont="1" applyFill="1" applyBorder="1" applyAlignment="1" applyProtection="1">
      <alignment horizontal="center"/>
      <protection/>
    </xf>
    <xf numFmtId="0" fontId="6" fillId="25" borderId="24" xfId="0" applyFont="1" applyFill="1" applyBorder="1" applyAlignment="1" applyProtection="1">
      <alignment/>
      <protection/>
    </xf>
    <xf numFmtId="0" fontId="6" fillId="25" borderId="25" xfId="0" applyFont="1" applyFill="1" applyBorder="1" applyAlignment="1" applyProtection="1">
      <alignment/>
      <protection/>
    </xf>
    <xf numFmtId="0" fontId="7" fillId="25" borderId="25" xfId="0" applyFont="1" applyFill="1" applyBorder="1" applyAlignment="1" applyProtection="1">
      <alignment horizontal="left"/>
      <protection/>
    </xf>
    <xf numFmtId="175" fontId="6" fillId="25" borderId="25" xfId="0" applyNumberFormat="1" applyFont="1" applyFill="1" applyBorder="1" applyAlignment="1" applyProtection="1">
      <alignment horizontal="left"/>
      <protection/>
    </xf>
    <xf numFmtId="0" fontId="6" fillId="25" borderId="25" xfId="0" applyFont="1" applyFill="1" applyBorder="1" applyAlignment="1" applyProtection="1">
      <alignment horizontal="center"/>
      <protection/>
    </xf>
    <xf numFmtId="0" fontId="6" fillId="25" borderId="26" xfId="0" applyFont="1" applyFill="1" applyBorder="1" applyAlignment="1" applyProtection="1">
      <alignment/>
      <protection/>
    </xf>
    <xf numFmtId="0" fontId="6" fillId="2" borderId="0" xfId="0" applyFont="1" applyFill="1" applyAlignment="1" applyProtection="1">
      <alignment/>
      <protection/>
    </xf>
    <xf numFmtId="0" fontId="7" fillId="2" borderId="0" xfId="0" applyFont="1" applyFill="1" applyAlignment="1" applyProtection="1">
      <alignment horizontal="center"/>
      <protection/>
    </xf>
    <xf numFmtId="0" fontId="6" fillId="2" borderId="0" xfId="0" applyFont="1" applyFill="1" applyAlignment="1" applyProtection="1">
      <alignment horizontal="center"/>
      <protection/>
    </xf>
    <xf numFmtId="173" fontId="6" fillId="2" borderId="0" xfId="0" applyNumberFormat="1" applyFont="1" applyFill="1" applyAlignment="1" applyProtection="1">
      <alignment horizontal="center"/>
      <protection/>
    </xf>
    <xf numFmtId="0" fontId="13" fillId="2" borderId="0" xfId="0" applyFont="1" applyFill="1" applyAlignment="1" applyProtection="1">
      <alignment/>
      <protection/>
    </xf>
    <xf numFmtId="0" fontId="12" fillId="2" borderId="0" xfId="0" applyFont="1" applyFill="1" applyAlignment="1" applyProtection="1">
      <alignment/>
      <protection/>
    </xf>
    <xf numFmtId="0" fontId="7" fillId="2" borderId="0" xfId="0" applyFont="1" applyFill="1" applyAlignment="1" applyProtection="1">
      <alignment/>
      <protection/>
    </xf>
    <xf numFmtId="0" fontId="7" fillId="24" borderId="11" xfId="0" applyFont="1" applyFill="1" applyBorder="1" applyAlignment="1" applyProtection="1">
      <alignment horizontal="center"/>
      <protection/>
    </xf>
    <xf numFmtId="173" fontId="6" fillId="24" borderId="11" xfId="0" applyNumberFormat="1" applyFont="1" applyFill="1" applyBorder="1" applyAlignment="1" applyProtection="1">
      <alignment horizontal="center"/>
      <protection/>
    </xf>
    <xf numFmtId="173" fontId="6" fillId="24" borderId="0" xfId="0" applyNumberFormat="1" applyFont="1" applyFill="1" applyBorder="1" applyAlignment="1" applyProtection="1">
      <alignment horizontal="center"/>
      <protection/>
    </xf>
    <xf numFmtId="0" fontId="14" fillId="24" borderId="0" xfId="0" applyFont="1" applyFill="1" applyBorder="1" applyAlignment="1" applyProtection="1">
      <alignment horizontal="left"/>
      <protection/>
    </xf>
    <xf numFmtId="173" fontId="13" fillId="24" borderId="0" xfId="0" applyNumberFormat="1" applyFont="1" applyFill="1" applyBorder="1" applyAlignment="1" applyProtection="1">
      <alignment horizontal="center"/>
      <protection/>
    </xf>
    <xf numFmtId="177" fontId="9" fillId="24" borderId="0" xfId="0" applyNumberFormat="1" applyFont="1" applyFill="1" applyBorder="1" applyAlignment="1" applyProtection="1">
      <alignment horizontal="left"/>
      <protection/>
    </xf>
    <xf numFmtId="0" fontId="7" fillId="24" borderId="13" xfId="0" applyFont="1" applyFill="1" applyBorder="1" applyAlignment="1" applyProtection="1">
      <alignment/>
      <protection/>
    </xf>
    <xf numFmtId="0" fontId="7" fillId="7" borderId="15" xfId="0" applyFont="1" applyFill="1" applyBorder="1" applyAlignment="1" applyProtection="1">
      <alignment horizontal="center"/>
      <protection/>
    </xf>
    <xf numFmtId="173" fontId="6" fillId="7" borderId="16" xfId="0" applyNumberFormat="1" applyFont="1" applyFill="1" applyBorder="1" applyAlignment="1" applyProtection="1">
      <alignment horizontal="center"/>
      <protection/>
    </xf>
    <xf numFmtId="0" fontId="7" fillId="7" borderId="18" xfId="0" applyFont="1" applyFill="1" applyBorder="1" applyAlignment="1" applyProtection="1">
      <alignment horizontal="center"/>
      <protection/>
    </xf>
    <xf numFmtId="173" fontId="7" fillId="7" borderId="19" xfId="0" applyNumberFormat="1" applyFont="1" applyFill="1" applyBorder="1" applyAlignment="1" applyProtection="1">
      <alignment horizontal="center"/>
      <protection/>
    </xf>
    <xf numFmtId="173" fontId="6" fillId="7" borderId="19" xfId="0" applyNumberFormat="1" applyFont="1" applyFill="1" applyBorder="1" applyAlignment="1" applyProtection="1">
      <alignment horizontal="center"/>
      <protection/>
    </xf>
    <xf numFmtId="0" fontId="6" fillId="7" borderId="18" xfId="0" applyFont="1" applyFill="1" applyBorder="1" applyAlignment="1" applyProtection="1">
      <alignment horizontal="center"/>
      <protection/>
    </xf>
    <xf numFmtId="0" fontId="10" fillId="7" borderId="18" xfId="0" applyFont="1" applyFill="1" applyBorder="1" applyAlignment="1" applyProtection="1">
      <alignment horizontal="center"/>
      <protection/>
    </xf>
    <xf numFmtId="0" fontId="7" fillId="7" borderId="21" xfId="0" applyFont="1" applyFill="1" applyBorder="1" applyAlignment="1" applyProtection="1">
      <alignment horizontal="center"/>
      <protection/>
    </xf>
    <xf numFmtId="173" fontId="6" fillId="7" borderId="22" xfId="0" applyNumberFormat="1" applyFont="1" applyFill="1" applyBorder="1" applyAlignment="1" applyProtection="1">
      <alignment horizontal="center"/>
      <protection/>
    </xf>
    <xf numFmtId="0" fontId="6" fillId="7" borderId="15" xfId="0" applyFont="1" applyFill="1" applyBorder="1" applyAlignment="1" applyProtection="1">
      <alignment horizontal="center"/>
      <protection/>
    </xf>
    <xf numFmtId="0" fontId="6" fillId="7" borderId="21" xfId="0" applyFont="1" applyFill="1" applyBorder="1" applyAlignment="1" applyProtection="1">
      <alignment horizontal="center"/>
      <protection/>
    </xf>
    <xf numFmtId="0" fontId="7" fillId="25" borderId="25" xfId="0" applyFont="1" applyFill="1" applyBorder="1" applyAlignment="1" applyProtection="1">
      <alignment horizontal="center"/>
      <protection/>
    </xf>
    <xf numFmtId="173" fontId="6" fillId="25" borderId="25" xfId="0" applyNumberFormat="1" applyFont="1" applyFill="1" applyBorder="1" applyAlignment="1" applyProtection="1">
      <alignment horizontal="center"/>
      <protection/>
    </xf>
    <xf numFmtId="0" fontId="7" fillId="7" borderId="16" xfId="0" applyFont="1" applyFill="1" applyBorder="1" applyAlignment="1" applyProtection="1">
      <alignment/>
      <protection/>
    </xf>
    <xf numFmtId="0" fontId="12" fillId="7" borderId="18" xfId="0" applyFont="1" applyFill="1" applyBorder="1" applyAlignment="1" applyProtection="1">
      <alignment horizontal="center"/>
      <protection/>
    </xf>
    <xf numFmtId="0" fontId="12" fillId="7" borderId="19" xfId="0" applyFont="1" applyFill="1" applyBorder="1" applyAlignment="1" applyProtection="1">
      <alignment horizontal="left" indent="2"/>
      <protection/>
    </xf>
    <xf numFmtId="4" fontId="6" fillId="7" borderId="19" xfId="0" applyNumberFormat="1" applyFont="1" applyFill="1" applyBorder="1" applyAlignment="1" applyProtection="1">
      <alignment/>
      <protection/>
    </xf>
    <xf numFmtId="0" fontId="12" fillId="7" borderId="19" xfId="0" applyFont="1" applyFill="1" applyBorder="1" applyAlignment="1" applyProtection="1">
      <alignment horizontal="left"/>
      <protection/>
    </xf>
    <xf numFmtId="0" fontId="11" fillId="24" borderId="0" xfId="0" applyFont="1" applyFill="1" applyBorder="1" applyAlignment="1" applyProtection="1">
      <alignment horizontal="center"/>
      <protection/>
    </xf>
    <xf numFmtId="173" fontId="8" fillId="24" borderId="0" xfId="0" applyNumberFormat="1" applyFont="1" applyFill="1" applyBorder="1" applyAlignment="1" applyProtection="1">
      <alignment horizontal="center"/>
      <protection/>
    </xf>
    <xf numFmtId="0" fontId="11" fillId="24" borderId="0" xfId="0" applyFont="1" applyFill="1" applyBorder="1" applyAlignment="1" applyProtection="1">
      <alignment/>
      <protection/>
    </xf>
    <xf numFmtId="0" fontId="16" fillId="24" borderId="0" xfId="0" applyNumberFormat="1" applyFont="1" applyFill="1" applyBorder="1" applyAlignment="1" applyProtection="1">
      <alignment horizontal="right"/>
      <protection/>
    </xf>
    <xf numFmtId="0" fontId="15" fillId="24" borderId="0" xfId="0" applyNumberFormat="1" applyFont="1" applyFill="1" applyBorder="1" applyAlignment="1" applyProtection="1">
      <alignment horizontal="center"/>
      <protection/>
    </xf>
    <xf numFmtId="0" fontId="16" fillId="24" borderId="0" xfId="0" applyFont="1" applyFill="1" applyBorder="1" applyAlignment="1" applyProtection="1">
      <alignment horizontal="right"/>
      <protection/>
    </xf>
    <xf numFmtId="177" fontId="15" fillId="24" borderId="0" xfId="0" applyNumberFormat="1" applyFont="1" applyFill="1" applyBorder="1" applyAlignment="1" applyProtection="1">
      <alignment horizontal="center"/>
      <protection/>
    </xf>
    <xf numFmtId="0" fontId="7" fillId="23" borderId="19" xfId="0" applyNumberFormat="1" applyFont="1" applyFill="1" applyBorder="1" applyAlignment="1" applyProtection="1">
      <alignment horizontal="center"/>
      <protection/>
    </xf>
    <xf numFmtId="173" fontId="6" fillId="23" borderId="19" xfId="0" applyNumberFormat="1" applyFont="1" applyFill="1" applyBorder="1" applyAlignment="1" applyProtection="1">
      <alignment horizontal="center"/>
      <protection/>
    </xf>
    <xf numFmtId="173" fontId="12" fillId="23" borderId="19" xfId="0" applyNumberFormat="1" applyFont="1" applyFill="1" applyBorder="1" applyAlignment="1" applyProtection="1">
      <alignment horizontal="center"/>
      <protection/>
    </xf>
    <xf numFmtId="173" fontId="7" fillId="2" borderId="19" xfId="0" applyNumberFormat="1" applyFont="1" applyFill="1" applyBorder="1" applyAlignment="1" applyProtection="1">
      <alignment horizontal="center"/>
      <protection/>
    </xf>
    <xf numFmtId="173" fontId="6" fillId="24" borderId="19" xfId="0" applyNumberFormat="1" applyFont="1" applyFill="1" applyBorder="1" applyAlignment="1" applyProtection="1">
      <alignment horizontal="center"/>
      <protection/>
    </xf>
    <xf numFmtId="0" fontId="7" fillId="7" borderId="22" xfId="0" applyFont="1" applyFill="1" applyBorder="1" applyAlignment="1" applyProtection="1">
      <alignment/>
      <protection/>
    </xf>
    <xf numFmtId="0" fontId="11" fillId="7" borderId="19" xfId="0" applyFont="1" applyFill="1" applyBorder="1" applyAlignment="1" applyProtection="1">
      <alignment/>
      <protection/>
    </xf>
    <xf numFmtId="173" fontId="6" fillId="24" borderId="19" xfId="0" applyNumberFormat="1" applyFont="1" applyFill="1" applyBorder="1" applyAlignment="1" applyProtection="1">
      <alignment horizontal="center"/>
      <protection locked="0"/>
    </xf>
    <xf numFmtId="173" fontId="6" fillId="23" borderId="19" xfId="0" applyNumberFormat="1" applyFont="1" applyFill="1" applyBorder="1" applyAlignment="1" applyProtection="1">
      <alignment horizontal="center"/>
      <protection locked="0"/>
    </xf>
    <xf numFmtId="173" fontId="12" fillId="2" borderId="19" xfId="0" applyNumberFormat="1" applyFont="1" applyFill="1" applyBorder="1" applyAlignment="1" applyProtection="1">
      <alignment horizontal="center"/>
      <protection/>
    </xf>
    <xf numFmtId="174" fontId="6" fillId="23" borderId="19" xfId="0" applyNumberFormat="1" applyFont="1" applyFill="1" applyBorder="1" applyAlignment="1" applyProtection="1">
      <alignment horizontal="center"/>
      <protection/>
    </xf>
    <xf numFmtId="173" fontId="17" fillId="7" borderId="19" xfId="0" applyNumberFormat="1" applyFont="1" applyFill="1" applyBorder="1" applyAlignment="1" applyProtection="1">
      <alignment horizontal="center"/>
      <protection/>
    </xf>
    <xf numFmtId="173" fontId="18" fillId="7" borderId="19" xfId="0" applyNumberFormat="1" applyFont="1" applyFill="1" applyBorder="1" applyAlignment="1" applyProtection="1">
      <alignment horizontal="center"/>
      <protection/>
    </xf>
    <xf numFmtId="0" fontId="11" fillId="7" borderId="16" xfId="0" applyFont="1" applyFill="1" applyBorder="1" applyAlignment="1" applyProtection="1">
      <alignment/>
      <protection/>
    </xf>
    <xf numFmtId="173" fontId="7" fillId="7" borderId="16" xfId="0" applyNumberFormat="1" applyFont="1" applyFill="1" applyBorder="1" applyAlignment="1" applyProtection="1">
      <alignment horizontal="center"/>
      <protection/>
    </xf>
    <xf numFmtId="0" fontId="7" fillId="7" borderId="17" xfId="0" applyFont="1" applyFill="1" applyBorder="1" applyAlignment="1" applyProtection="1">
      <alignment/>
      <protection/>
    </xf>
    <xf numFmtId="15" fontId="6" fillId="24" borderId="11" xfId="0" applyNumberFormat="1" applyFont="1" applyFill="1" applyBorder="1" applyAlignment="1" applyProtection="1">
      <alignment horizontal="center"/>
      <protection/>
    </xf>
    <xf numFmtId="15" fontId="6" fillId="24" borderId="0" xfId="0" applyNumberFormat="1" applyFont="1" applyFill="1" applyBorder="1" applyAlignment="1" applyProtection="1">
      <alignment horizontal="center"/>
      <protection/>
    </xf>
    <xf numFmtId="0" fontId="14" fillId="24" borderId="0" xfId="0" applyFont="1" applyFill="1" applyBorder="1" applyAlignment="1" applyProtection="1">
      <alignment horizontal="center"/>
      <protection/>
    </xf>
    <xf numFmtId="0" fontId="9" fillId="24" borderId="0" xfId="0" applyFont="1" applyFill="1" applyBorder="1" applyAlignment="1" applyProtection="1">
      <alignment horizontal="left"/>
      <protection/>
    </xf>
    <xf numFmtId="15" fontId="15" fillId="24" borderId="0" xfId="0" applyNumberFormat="1" applyFont="1" applyFill="1" applyBorder="1" applyAlignment="1" applyProtection="1">
      <alignment horizontal="center"/>
      <protection/>
    </xf>
    <xf numFmtId="0" fontId="10" fillId="7" borderId="16" xfId="0" applyFont="1" applyFill="1" applyBorder="1" applyAlignment="1" applyProtection="1">
      <alignment horizontal="center"/>
      <protection/>
    </xf>
    <xf numFmtId="9" fontId="6" fillId="24" borderId="19" xfId="0" applyNumberFormat="1" applyFont="1" applyFill="1" applyBorder="1" applyAlignment="1" applyProtection="1">
      <alignment horizontal="center"/>
      <protection locked="0"/>
    </xf>
    <xf numFmtId="173" fontId="7" fillId="7" borderId="22" xfId="0" applyNumberFormat="1" applyFont="1" applyFill="1" applyBorder="1" applyAlignment="1" applyProtection="1">
      <alignment horizontal="center"/>
      <protection/>
    </xf>
    <xf numFmtId="3" fontId="6" fillId="23" borderId="19" xfId="0" applyNumberFormat="1" applyFont="1" applyFill="1" applyBorder="1" applyAlignment="1" applyProtection="1">
      <alignment horizontal="center"/>
      <protection/>
    </xf>
    <xf numFmtId="0" fontId="6" fillId="23" borderId="19" xfId="0" applyFont="1" applyFill="1" applyBorder="1" applyAlignment="1" applyProtection="1">
      <alignment horizontal="center"/>
      <protection/>
    </xf>
    <xf numFmtId="3" fontId="6" fillId="7" borderId="16" xfId="0" applyNumberFormat="1" applyFont="1" applyFill="1" applyBorder="1" applyAlignment="1" applyProtection="1">
      <alignment/>
      <protection/>
    </xf>
    <xf numFmtId="180" fontId="6" fillId="7" borderId="16" xfId="0" applyNumberFormat="1" applyFont="1" applyFill="1" applyBorder="1" applyAlignment="1" applyProtection="1">
      <alignment horizontal="center"/>
      <protection/>
    </xf>
    <xf numFmtId="3" fontId="6" fillId="7" borderId="19" xfId="0" applyNumberFormat="1" applyFont="1" applyFill="1" applyBorder="1" applyAlignment="1" applyProtection="1">
      <alignment/>
      <protection/>
    </xf>
    <xf numFmtId="180" fontId="6" fillId="7" borderId="19" xfId="0" applyNumberFormat="1" applyFont="1" applyFill="1" applyBorder="1" applyAlignment="1" applyProtection="1">
      <alignment horizontal="center"/>
      <protection/>
    </xf>
    <xf numFmtId="0" fontId="12" fillId="7" borderId="22" xfId="0" applyFont="1" applyFill="1" applyBorder="1" applyAlignment="1" applyProtection="1">
      <alignment horizontal="left"/>
      <protection/>
    </xf>
    <xf numFmtId="3" fontId="6" fillId="7" borderId="22" xfId="0" applyNumberFormat="1" applyFont="1" applyFill="1" applyBorder="1" applyAlignment="1" applyProtection="1">
      <alignment/>
      <protection/>
    </xf>
    <xf numFmtId="0" fontId="6" fillId="7" borderId="27" xfId="0" applyFont="1" applyFill="1" applyBorder="1" applyAlignment="1" applyProtection="1">
      <alignment/>
      <protection/>
    </xf>
    <xf numFmtId="0" fontId="6" fillId="24" borderId="27" xfId="0" applyFont="1" applyFill="1" applyBorder="1" applyAlignment="1" applyProtection="1">
      <alignment/>
      <protection locked="0"/>
    </xf>
    <xf numFmtId="3" fontId="6" fillId="7" borderId="27" xfId="0" applyNumberFormat="1" applyFont="1" applyFill="1" applyBorder="1" applyAlignment="1" applyProtection="1">
      <alignment/>
      <protection/>
    </xf>
    <xf numFmtId="0" fontId="6" fillId="7" borderId="27" xfId="0" applyFont="1" applyFill="1" applyBorder="1" applyAlignment="1" applyProtection="1">
      <alignment horizontal="center"/>
      <protection/>
    </xf>
    <xf numFmtId="173" fontId="10" fillId="2" borderId="19" xfId="60" applyNumberFormat="1" applyFont="1" applyFill="1" applyBorder="1" applyAlignment="1" applyProtection="1">
      <alignment horizontal="left"/>
      <protection/>
    </xf>
    <xf numFmtId="0" fontId="12" fillId="7" borderId="27" xfId="0" applyFont="1" applyFill="1" applyBorder="1" applyAlignment="1" applyProtection="1">
      <alignment/>
      <protection/>
    </xf>
    <xf numFmtId="0" fontId="6" fillId="24" borderId="28" xfId="0" applyFont="1" applyFill="1" applyBorder="1" applyAlignment="1" applyProtection="1">
      <alignment/>
      <protection locked="0"/>
    </xf>
    <xf numFmtId="180" fontId="10" fillId="2" borderId="19" xfId="0" applyNumberFormat="1" applyFont="1" applyFill="1" applyBorder="1" applyAlignment="1" applyProtection="1">
      <alignment horizontal="center"/>
      <protection/>
    </xf>
    <xf numFmtId="180" fontId="7" fillId="2" borderId="19" xfId="0" applyNumberFormat="1" applyFont="1" applyFill="1" applyBorder="1" applyAlignment="1" applyProtection="1">
      <alignment horizontal="center"/>
      <protection/>
    </xf>
    <xf numFmtId="180" fontId="6" fillId="7" borderId="22" xfId="0" applyNumberFormat="1" applyFont="1" applyFill="1" applyBorder="1" applyAlignment="1" applyProtection="1">
      <alignment horizontal="center"/>
      <protection/>
    </xf>
    <xf numFmtId="180" fontId="6" fillId="7" borderId="17" xfId="0" applyNumberFormat="1" applyFont="1" applyFill="1" applyBorder="1" applyAlignment="1" applyProtection="1">
      <alignment horizontal="center"/>
      <protection/>
    </xf>
    <xf numFmtId="180" fontId="6" fillId="7" borderId="20" xfId="0" applyNumberFormat="1" applyFont="1" applyFill="1" applyBorder="1" applyAlignment="1" applyProtection="1">
      <alignment horizontal="center"/>
      <protection/>
    </xf>
    <xf numFmtId="180" fontId="6" fillId="7" borderId="23" xfId="0" applyNumberFormat="1" applyFont="1" applyFill="1" applyBorder="1" applyAlignment="1" applyProtection="1">
      <alignment horizontal="center"/>
      <protection/>
    </xf>
    <xf numFmtId="9" fontId="12" fillId="23" borderId="19" xfId="57" applyNumberFormat="1" applyFont="1" applyFill="1" applyBorder="1" applyAlignment="1" applyProtection="1">
      <alignment horizontal="center"/>
      <protection/>
    </xf>
    <xf numFmtId="0" fontId="6" fillId="7" borderId="29" xfId="0" applyFont="1" applyFill="1" applyBorder="1" applyAlignment="1" applyProtection="1">
      <alignment/>
      <protection locked="0"/>
    </xf>
    <xf numFmtId="3" fontId="6" fillId="7" borderId="29" xfId="0" applyNumberFormat="1" applyFont="1" applyFill="1" applyBorder="1" applyAlignment="1" applyProtection="1">
      <alignment/>
      <protection locked="0"/>
    </xf>
    <xf numFmtId="0" fontId="6" fillId="7" borderId="27" xfId="0" applyFont="1" applyFill="1" applyBorder="1" applyAlignment="1" applyProtection="1">
      <alignment/>
      <protection locked="0"/>
    </xf>
    <xf numFmtId="3" fontId="6" fillId="7" borderId="27" xfId="0" applyNumberFormat="1" applyFont="1" applyFill="1" applyBorder="1" applyAlignment="1" applyProtection="1">
      <alignment/>
      <protection locked="0"/>
    </xf>
    <xf numFmtId="0" fontId="6" fillId="7" borderId="27" xfId="0" applyFont="1" applyFill="1" applyBorder="1" applyAlignment="1" applyProtection="1">
      <alignment horizontal="center"/>
      <protection locked="0"/>
    </xf>
    <xf numFmtId="0" fontId="6" fillId="7" borderId="28" xfId="0" applyFont="1" applyFill="1" applyBorder="1" applyAlignment="1" applyProtection="1">
      <alignment/>
      <protection locked="0"/>
    </xf>
    <xf numFmtId="3" fontId="6" fillId="7" borderId="28" xfId="0" applyNumberFormat="1" applyFont="1" applyFill="1" applyBorder="1" applyAlignment="1" applyProtection="1">
      <alignment/>
      <protection locked="0"/>
    </xf>
    <xf numFmtId="0" fontId="6" fillId="7" borderId="28" xfId="0" applyFont="1" applyFill="1" applyBorder="1" applyAlignment="1" applyProtection="1">
      <alignment horizontal="center"/>
      <protection locked="0"/>
    </xf>
    <xf numFmtId="0" fontId="6" fillId="0" borderId="0" xfId="0" applyFont="1" applyFill="1" applyBorder="1" applyAlignment="1" applyProtection="1">
      <alignment horizontal="left" vertical="top" wrapText="1"/>
      <protection/>
    </xf>
    <xf numFmtId="4" fontId="6"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4" fontId="6" fillId="0" borderId="0" xfId="0" applyNumberFormat="1" applyFont="1" applyFill="1" applyBorder="1" applyAlignment="1" applyProtection="1">
      <alignment horizontal="left" vertical="top" wrapText="1"/>
      <protection/>
    </xf>
    <xf numFmtId="0" fontId="6" fillId="0" borderId="0" xfId="0" applyNumberFormat="1" applyFont="1" applyBorder="1" applyAlignment="1" applyProtection="1">
      <alignment horizontal="left"/>
      <protection/>
    </xf>
    <xf numFmtId="4" fontId="6" fillId="0" borderId="0" xfId="0" applyNumberFormat="1" applyFont="1" applyBorder="1" applyAlignment="1" applyProtection="1">
      <alignment horizontal="left"/>
      <protection/>
    </xf>
    <xf numFmtId="0" fontId="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6" fillId="0" borderId="0" xfId="0" applyFont="1" applyBorder="1" applyAlignment="1">
      <alignment horizontal="left"/>
    </xf>
    <xf numFmtId="4" fontId="12" fillId="0" borderId="0" xfId="0" applyNumberFormat="1" applyFont="1" applyBorder="1" applyAlignment="1" applyProtection="1">
      <alignment horizontal="left"/>
      <protection/>
    </xf>
    <xf numFmtId="0" fontId="12" fillId="0" borderId="0" xfId="0" applyFont="1" applyBorder="1" applyAlignment="1" applyProtection="1">
      <alignment horizontal="left"/>
      <protection/>
    </xf>
    <xf numFmtId="2" fontId="6" fillId="0" borderId="0" xfId="0" applyNumberFormat="1" applyFont="1" applyBorder="1" applyAlignment="1" applyProtection="1">
      <alignment horizontal="left"/>
      <protection/>
    </xf>
    <xf numFmtId="179" fontId="6" fillId="0" borderId="0" xfId="0" applyNumberFormat="1" applyFont="1" applyBorder="1" applyAlignment="1" applyProtection="1">
      <alignment horizontal="left"/>
      <protection/>
    </xf>
    <xf numFmtId="4" fontId="6" fillId="22" borderId="0" xfId="0" applyNumberFormat="1" applyFont="1" applyFill="1" applyBorder="1" applyAlignment="1" applyProtection="1">
      <alignment horizontal="left"/>
      <protection locked="0"/>
    </xf>
    <xf numFmtId="0" fontId="6" fillId="0" borderId="0" xfId="0" applyNumberFormat="1" applyFont="1" applyBorder="1" applyAlignment="1" applyProtection="1">
      <alignment horizontal="left" vertical="top" wrapText="1"/>
      <protection/>
    </xf>
    <xf numFmtId="178" fontId="6" fillId="0" borderId="0" xfId="0" applyNumberFormat="1" applyFont="1" applyBorder="1" applyAlignment="1" applyProtection="1">
      <alignment horizontal="left"/>
      <protection/>
    </xf>
    <xf numFmtId="0" fontId="6" fillId="22" borderId="0" xfId="0" applyFont="1" applyFill="1" applyBorder="1" applyAlignment="1" applyProtection="1">
      <alignment horizontal="left"/>
      <protection locked="0"/>
    </xf>
    <xf numFmtId="4" fontId="6" fillId="22" borderId="0" xfId="0" applyNumberFormat="1" applyFont="1" applyFill="1" applyBorder="1" applyAlignment="1" applyProtection="1">
      <alignment horizontal="left"/>
      <protection/>
    </xf>
    <xf numFmtId="2" fontId="6" fillId="26" borderId="0" xfId="0" applyNumberFormat="1" applyFont="1" applyFill="1" applyBorder="1" applyAlignment="1" applyProtection="1">
      <alignment horizontal="left" vertical="top" wrapText="1"/>
      <protection/>
    </xf>
    <xf numFmtId="0" fontId="6" fillId="26" borderId="0" xfId="0" applyFont="1" applyFill="1" applyBorder="1" applyAlignment="1" applyProtection="1">
      <alignment horizontal="left"/>
      <protection/>
    </xf>
    <xf numFmtId="0" fontId="7" fillId="0" borderId="0" xfId="0" applyFont="1" applyBorder="1" applyAlignment="1" applyProtection="1">
      <alignment horizontal="left" vertical="top" wrapText="1"/>
      <protection/>
    </xf>
    <xf numFmtId="49" fontId="6" fillId="0" borderId="0" xfId="0" applyNumberFormat="1" applyFont="1" applyBorder="1" applyAlignment="1" applyProtection="1">
      <alignment horizontal="left"/>
      <protection/>
    </xf>
    <xf numFmtId="0" fontId="6" fillId="0" borderId="0" xfId="0" applyFont="1" applyFill="1" applyBorder="1" applyAlignment="1" applyProtection="1">
      <alignment horizontal="left"/>
      <protection/>
    </xf>
    <xf numFmtId="0" fontId="7" fillId="0" borderId="0" xfId="0" applyNumberFormat="1" applyFont="1" applyBorder="1" applyAlignment="1" applyProtection="1">
      <alignment horizontal="left"/>
      <protection/>
    </xf>
    <xf numFmtId="10" fontId="6" fillId="0" borderId="0" xfId="0" applyNumberFormat="1" applyFont="1" applyBorder="1" applyAlignment="1" applyProtection="1">
      <alignment horizontal="left"/>
      <protection/>
    </xf>
    <xf numFmtId="10" fontId="6" fillId="0" borderId="0" xfId="0" applyNumberFormat="1" applyFont="1" applyFill="1" applyBorder="1" applyAlignment="1" applyProtection="1">
      <alignment horizontal="left"/>
      <protection/>
    </xf>
    <xf numFmtId="10" fontId="6" fillId="22" borderId="0" xfId="0" applyNumberFormat="1" applyFont="1" applyFill="1" applyBorder="1" applyAlignment="1" applyProtection="1">
      <alignment horizontal="left"/>
      <protection locked="0"/>
    </xf>
    <xf numFmtId="176" fontId="6" fillId="0" borderId="0" xfId="0" applyNumberFormat="1" applyFont="1" applyBorder="1" applyAlignment="1" applyProtection="1">
      <alignment horizontal="left"/>
      <protection/>
    </xf>
    <xf numFmtId="0" fontId="6" fillId="0" borderId="0" xfId="0" applyFont="1" applyBorder="1" applyAlignment="1" applyProtection="1">
      <alignment horizontal="left" vertical="top"/>
      <protection/>
    </xf>
    <xf numFmtId="16" fontId="7" fillId="0" borderId="0" xfId="0" applyNumberFormat="1" applyFont="1" applyBorder="1" applyAlignment="1" applyProtection="1">
      <alignment horizontal="left"/>
      <protection/>
    </xf>
    <xf numFmtId="14" fontId="6" fillId="0" borderId="0" xfId="0" applyNumberFormat="1" applyFont="1" applyBorder="1" applyAlignment="1" applyProtection="1">
      <alignment horizontal="left"/>
      <protection/>
    </xf>
    <xf numFmtId="175" fontId="12" fillId="7" borderId="19" xfId="0" applyNumberFormat="1" applyFont="1" applyFill="1" applyBorder="1" applyAlignment="1" applyProtection="1">
      <alignment horizontal="left"/>
      <protection/>
    </xf>
    <xf numFmtId="0" fontId="12" fillId="7" borderId="16" xfId="0" applyFont="1" applyFill="1" applyBorder="1" applyAlignment="1" applyProtection="1">
      <alignment horizontal="left"/>
      <protection/>
    </xf>
    <xf numFmtId="0" fontId="15" fillId="7" borderId="16" xfId="0" applyFont="1" applyFill="1" applyBorder="1" applyAlignment="1" applyProtection="1">
      <alignment horizontal="left"/>
      <protection/>
    </xf>
    <xf numFmtId="175" fontId="10" fillId="7" borderId="19" xfId="0" applyNumberFormat="1" applyFont="1" applyFill="1" applyBorder="1" applyAlignment="1" applyProtection="1">
      <alignment horizontal="left"/>
      <protection/>
    </xf>
    <xf numFmtId="0" fontId="13" fillId="2" borderId="0" xfId="0" applyFont="1" applyFill="1" applyBorder="1" applyAlignment="1" applyProtection="1">
      <alignment horizontal="left"/>
      <protection/>
    </xf>
    <xf numFmtId="0" fontId="20" fillId="2" borderId="0" xfId="0" applyFont="1" applyFill="1" applyBorder="1" applyAlignment="1" applyProtection="1">
      <alignment horizontal="left"/>
      <protection/>
    </xf>
    <xf numFmtId="0" fontId="21" fillId="2" borderId="0" xfId="0" applyFont="1" applyFill="1" applyBorder="1" applyAlignment="1" applyProtection="1">
      <alignment horizontal="left"/>
      <protection/>
    </xf>
    <xf numFmtId="0" fontId="22" fillId="2" borderId="0" xfId="0" applyFont="1" applyFill="1" applyBorder="1" applyAlignment="1" applyProtection="1">
      <alignment horizontal="left"/>
      <protection/>
    </xf>
    <xf numFmtId="15" fontId="20" fillId="2" borderId="0" xfId="0" applyNumberFormat="1" applyFont="1" applyFill="1" applyBorder="1" applyAlignment="1" applyProtection="1">
      <alignment horizontal="left"/>
      <protection/>
    </xf>
    <xf numFmtId="49" fontId="7" fillId="0" borderId="0" xfId="0" applyNumberFormat="1" applyFont="1" applyBorder="1" applyAlignment="1" applyProtection="1">
      <alignment horizontal="left"/>
      <protection/>
    </xf>
    <xf numFmtId="0" fontId="23" fillId="25" borderId="25" xfId="0" applyFont="1" applyFill="1" applyBorder="1" applyAlignment="1" applyProtection="1">
      <alignment horizontal="center"/>
      <protection/>
    </xf>
    <xf numFmtId="0" fontId="23" fillId="25" borderId="25" xfId="0" applyFont="1" applyFill="1" applyBorder="1" applyAlignment="1" applyProtection="1">
      <alignment horizontal="right"/>
      <protection/>
    </xf>
    <xf numFmtId="0" fontId="15" fillId="0" borderId="0" xfId="0" applyFont="1" applyBorder="1" applyAlignment="1" applyProtection="1">
      <alignment horizontal="left"/>
      <protection/>
    </xf>
    <xf numFmtId="0" fontId="6" fillId="7" borderId="27" xfId="0" applyFont="1" applyFill="1" applyBorder="1" applyAlignment="1" applyProtection="1">
      <alignment horizontal="left"/>
      <protection/>
    </xf>
    <xf numFmtId="0" fontId="15" fillId="24" borderId="0" xfId="0" applyFont="1" applyFill="1" applyBorder="1" applyAlignment="1" applyProtection="1">
      <alignment horizontal="center"/>
      <protection/>
    </xf>
    <xf numFmtId="0" fontId="0" fillId="0" borderId="0" xfId="0" applyAlignment="1">
      <alignment/>
    </xf>
    <xf numFmtId="4" fontId="6" fillId="0" borderId="0" xfId="0" applyNumberFormat="1"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0" xfId="0" applyFont="1" applyBorder="1" applyAlignment="1" applyProtection="1">
      <alignment horizontal="left"/>
      <protection/>
    </xf>
    <xf numFmtId="0" fontId="6" fillId="0" borderId="0" xfId="0" applyFont="1" applyBorder="1" applyAlignment="1" applyProtection="1">
      <alignment horizontal="left" vertical="top" wrapText="1"/>
      <protection/>
    </xf>
    <xf numFmtId="3" fontId="40" fillId="22" borderId="30" xfId="0" applyNumberFormat="1" applyFont="1" applyFill="1" applyBorder="1" applyAlignment="1" applyProtection="1">
      <alignment horizontal="left" vertical="top" wrapText="1"/>
      <protection locked="0"/>
    </xf>
    <xf numFmtId="4" fontId="6" fillId="22" borderId="30" xfId="0" applyNumberFormat="1" applyFont="1" applyFill="1" applyBorder="1" applyAlignment="1" applyProtection="1">
      <alignment horizontal="left"/>
      <protection locked="0"/>
    </xf>
    <xf numFmtId="0" fontId="6" fillId="0" borderId="30" xfId="0" applyFont="1" applyFill="1" applyBorder="1" applyAlignment="1" applyProtection="1">
      <alignment horizontal="left"/>
      <protection/>
    </xf>
    <xf numFmtId="3" fontId="40" fillId="22" borderId="31" xfId="0" applyNumberFormat="1" applyFont="1" applyFill="1" applyBorder="1" applyAlignment="1" applyProtection="1">
      <alignment horizontal="left" vertical="top" wrapText="1"/>
      <protection locked="0"/>
    </xf>
    <xf numFmtId="0" fontId="6" fillId="0" borderId="30" xfId="0" applyNumberFormat="1" applyFont="1" applyFill="1" applyBorder="1" applyAlignment="1" applyProtection="1">
      <alignment horizontal="left"/>
      <protection/>
    </xf>
    <xf numFmtId="4" fontId="6" fillId="22" borderId="32" xfId="0" applyNumberFormat="1" applyFont="1" applyFill="1" applyBorder="1" applyAlignment="1" applyProtection="1">
      <alignment horizontal="left"/>
      <protection locked="0"/>
    </xf>
    <xf numFmtId="4" fontId="40" fillId="0" borderId="0" xfId="0" applyNumberFormat="1" applyFont="1" applyFill="1" applyBorder="1" applyAlignment="1" applyProtection="1">
      <alignment horizontal="left" vertical="top" wrapText="1"/>
      <protection/>
    </xf>
    <xf numFmtId="0" fontId="6" fillId="0" borderId="31" xfId="0" applyNumberFormat="1" applyFont="1" applyFill="1" applyBorder="1" applyAlignment="1" applyProtection="1">
      <alignment horizontal="left"/>
      <protection/>
    </xf>
    <xf numFmtId="4" fontId="6" fillId="22" borderId="31" xfId="0" applyNumberFormat="1" applyFont="1" applyFill="1" applyBorder="1" applyAlignment="1" applyProtection="1">
      <alignment horizontal="left"/>
      <protection locked="0"/>
    </xf>
    <xf numFmtId="0" fontId="6" fillId="0" borderId="0" xfId="0" applyNumberFormat="1" applyFont="1" applyFill="1" applyBorder="1" applyAlignment="1" applyProtection="1">
      <alignment horizontal="left"/>
      <protection/>
    </xf>
    <xf numFmtId="9" fontId="6" fillId="22" borderId="0" xfId="0" applyNumberFormat="1" applyFont="1" applyFill="1" applyBorder="1" applyAlignment="1" applyProtection="1">
      <alignment horizontal="left"/>
      <protection locked="0"/>
    </xf>
    <xf numFmtId="4" fontId="6" fillId="22" borderId="0" xfId="0" applyNumberFormat="1" applyFont="1" applyFill="1" applyAlignment="1" applyProtection="1">
      <alignment horizontal="left"/>
      <protection/>
    </xf>
    <xf numFmtId="4" fontId="6" fillId="22" borderId="0" xfId="0" applyNumberFormat="1" applyFont="1" applyFill="1" applyAlignment="1" applyProtection="1">
      <alignment horizontal="left"/>
      <protection locked="0"/>
    </xf>
    <xf numFmtId="178" fontId="6" fillId="22" borderId="0" xfId="0" applyNumberFormat="1" applyFont="1" applyFill="1" applyAlignment="1" applyProtection="1">
      <alignment horizontal="left"/>
      <protection locked="0"/>
    </xf>
    <xf numFmtId="4" fontId="6" fillId="0" borderId="0" xfId="0" applyNumberFormat="1" applyFont="1" applyFill="1" applyAlignment="1" applyProtection="1">
      <alignment horizontal="left"/>
      <protection/>
    </xf>
    <xf numFmtId="0" fontId="11" fillId="0" borderId="0" xfId="0" applyFont="1" applyBorder="1" applyAlignment="1" applyProtection="1">
      <alignment horizontal="left"/>
      <protection/>
    </xf>
    <xf numFmtId="0" fontId="11" fillId="0" borderId="0" xfId="0" applyFont="1" applyBorder="1" applyAlignment="1" applyProtection="1">
      <alignment horizontal="left"/>
      <protection/>
    </xf>
    <xf numFmtId="0" fontId="6" fillId="0" borderId="0" xfId="0" applyFont="1" applyAlignment="1" applyProtection="1">
      <alignment/>
      <protection/>
    </xf>
    <xf numFmtId="0" fontId="6" fillId="0" borderId="0" xfId="0" applyFont="1" applyFill="1" applyAlignment="1" applyProtection="1">
      <alignment/>
      <protection/>
    </xf>
    <xf numFmtId="0" fontId="42" fillId="0" borderId="33" xfId="0" applyFont="1" applyFill="1" applyBorder="1" applyAlignment="1" applyProtection="1">
      <alignment horizontal="center" vertical="top" wrapText="1"/>
      <protection/>
    </xf>
    <xf numFmtId="0" fontId="6" fillId="0" borderId="33" xfId="0" applyFont="1" applyFill="1" applyBorder="1" applyAlignment="1" applyProtection="1">
      <alignment/>
      <protection/>
    </xf>
    <xf numFmtId="0" fontId="7" fillId="0" borderId="33" xfId="0" applyFont="1" applyFill="1" applyBorder="1" applyAlignment="1" applyProtection="1">
      <alignment/>
      <protection/>
    </xf>
    <xf numFmtId="4" fontId="6" fillId="0" borderId="33" xfId="0" applyNumberFormat="1" applyFont="1" applyFill="1" applyBorder="1" applyAlignment="1" applyProtection="1">
      <alignment/>
      <protection/>
    </xf>
    <xf numFmtId="4" fontId="6" fillId="0" borderId="33" xfId="0" applyNumberFormat="1" applyFont="1" applyFill="1" applyBorder="1" applyAlignment="1" applyProtection="1">
      <alignment horizontal="center"/>
      <protection/>
    </xf>
    <xf numFmtId="0" fontId="6" fillId="0" borderId="33" xfId="0" applyFont="1" applyFill="1" applyBorder="1" applyAlignment="1" applyProtection="1" quotePrefix="1">
      <alignment horizontal="left"/>
      <protection/>
    </xf>
    <xf numFmtId="4" fontId="6" fillId="0" borderId="0" xfId="0" applyNumberFormat="1" applyFont="1" applyBorder="1" applyAlignment="1" applyProtection="1">
      <alignment horizontal="right"/>
      <protection/>
    </xf>
    <xf numFmtId="0" fontId="6" fillId="0" borderId="0" xfId="0" applyFont="1" applyBorder="1" applyAlignment="1" applyProtection="1">
      <alignment horizontal="right"/>
      <protection/>
    </xf>
    <xf numFmtId="4" fontId="7" fillId="22" borderId="0" xfId="0" applyNumberFormat="1" applyFont="1" applyFill="1" applyAlignment="1" applyProtection="1">
      <alignment/>
      <protection locked="0"/>
    </xf>
    <xf numFmtId="178" fontId="6" fillId="22"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vertical="top" wrapText="1"/>
      <protection/>
    </xf>
    <xf numFmtId="4" fontId="6" fillId="22" borderId="33" xfId="0" applyNumberFormat="1" applyFont="1" applyFill="1" applyBorder="1" applyAlignment="1" applyProtection="1">
      <alignment horizontal="left"/>
      <protection locked="0"/>
    </xf>
    <xf numFmtId="4" fontId="6" fillId="22" borderId="33" xfId="0" applyNumberFormat="1" applyFont="1" applyFill="1" applyBorder="1" applyAlignment="1" applyProtection="1">
      <alignment horizontal="left" vertical="top" wrapText="1"/>
      <protection locked="0"/>
    </xf>
    <xf numFmtId="4" fontId="40" fillId="22" borderId="33" xfId="0" applyNumberFormat="1" applyFont="1" applyFill="1" applyBorder="1" applyAlignment="1" applyProtection="1">
      <alignment horizontal="left" vertical="top" wrapText="1"/>
      <protection locked="0"/>
    </xf>
    <xf numFmtId="0" fontId="7" fillId="22" borderId="0" xfId="0" applyFont="1" applyFill="1" applyAlignment="1" applyProtection="1">
      <alignment horizontal="left"/>
      <protection locked="0"/>
    </xf>
    <xf numFmtId="0" fontId="0" fillId="24" borderId="0" xfId="0" applyFill="1" applyAlignment="1">
      <alignment/>
    </xf>
    <xf numFmtId="0" fontId="43" fillId="24" borderId="0" xfId="0" applyFont="1" applyFill="1" applyAlignment="1">
      <alignment horizontal="left" wrapText="1"/>
    </xf>
    <xf numFmtId="0" fontId="44" fillId="24" borderId="0" xfId="0" applyFont="1" applyFill="1" applyAlignment="1">
      <alignment horizontal="left"/>
    </xf>
    <xf numFmtId="181" fontId="43" fillId="24" borderId="0" xfId="0" applyNumberFormat="1" applyFont="1" applyFill="1" applyAlignment="1">
      <alignment wrapText="1"/>
    </xf>
    <xf numFmtId="0" fontId="44" fillId="24" borderId="0" xfId="0" applyFont="1" applyFill="1" applyAlignment="1">
      <alignment wrapText="1"/>
    </xf>
    <xf numFmtId="0" fontId="45" fillId="24" borderId="0" xfId="0" applyFont="1" applyFill="1" applyAlignment="1">
      <alignment wrapText="1"/>
    </xf>
    <xf numFmtId="0" fontId="2" fillId="24" borderId="0" xfId="49" applyFill="1" applyAlignment="1">
      <alignment wrapText="1"/>
    </xf>
    <xf numFmtId="0" fontId="0" fillId="24" borderId="0" xfId="0" applyFill="1" applyAlignment="1">
      <alignment wrapText="1"/>
    </xf>
    <xf numFmtId="0" fontId="7" fillId="0" borderId="0" xfId="0" applyNumberFormat="1" applyFont="1" applyFill="1" applyBorder="1" applyAlignment="1" applyProtection="1">
      <alignment horizontal="left"/>
      <protection/>
    </xf>
    <xf numFmtId="0" fontId="6" fillId="0" borderId="0" xfId="0" applyFont="1" applyAlignment="1" applyProtection="1">
      <alignment horizontal="left"/>
      <protection/>
    </xf>
    <xf numFmtId="0" fontId="6" fillId="0" borderId="0" xfId="0" applyFont="1" applyFill="1" applyBorder="1" applyAlignment="1" applyProtection="1">
      <alignment horizontal="left" vertical="center"/>
      <protection/>
    </xf>
    <xf numFmtId="174" fontId="6" fillId="22" borderId="0" xfId="0" applyNumberFormat="1" applyFont="1" applyFill="1" applyBorder="1" applyAlignment="1" applyProtection="1">
      <alignment horizontal="left"/>
      <protection locked="0"/>
    </xf>
    <xf numFmtId="4" fontId="6" fillId="22" borderId="32" xfId="0" applyNumberFormat="1" applyFont="1" applyFill="1" applyBorder="1" applyAlignment="1" applyProtection="1">
      <alignment/>
      <protection/>
    </xf>
    <xf numFmtId="4" fontId="6" fillId="22" borderId="33" xfId="0" applyNumberFormat="1" applyFont="1" applyFill="1" applyBorder="1" applyAlignment="1" applyProtection="1">
      <alignment/>
      <protection/>
    </xf>
    <xf numFmtId="1" fontId="6" fillId="22" borderId="33" xfId="0" applyNumberFormat="1"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Comma" xfId="51"/>
    <cellStyle name="Comma [0]"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6010275</xdr:colOff>
      <xdr:row>4</xdr:row>
      <xdr:rowOff>114300</xdr:rowOff>
    </xdr:from>
    <xdr:to>
      <xdr:col>1</xdr:col>
      <xdr:colOff>7829550</xdr:colOff>
      <xdr:row>7</xdr:row>
      <xdr:rowOff>133350</xdr:rowOff>
    </xdr:to>
    <xdr:pic>
      <xdr:nvPicPr>
        <xdr:cNvPr id="1" name="Picture 9"/>
        <xdr:cNvPicPr preferRelativeResize="1">
          <a:picLocks noChangeAspect="1"/>
        </xdr:cNvPicPr>
      </xdr:nvPicPr>
      <xdr:blipFill>
        <a:blip r:embed="rId1"/>
        <a:stretch>
          <a:fillRect/>
        </a:stretch>
      </xdr:blipFill>
      <xdr:spPr>
        <a:xfrm>
          <a:off x="6296025" y="866775"/>
          <a:ext cx="18192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828675</xdr:colOff>
      <xdr:row>2</xdr:row>
      <xdr:rowOff>9525</xdr:rowOff>
    </xdr:from>
    <xdr:to>
      <xdr:col>16</xdr:col>
      <xdr:colOff>161925</xdr:colOff>
      <xdr:row>3</xdr:row>
      <xdr:rowOff>171450</xdr:rowOff>
    </xdr:to>
    <xdr:pic>
      <xdr:nvPicPr>
        <xdr:cNvPr id="1" name="Picture 9"/>
        <xdr:cNvPicPr preferRelativeResize="1">
          <a:picLocks noChangeAspect="1"/>
        </xdr:cNvPicPr>
      </xdr:nvPicPr>
      <xdr:blipFill>
        <a:blip r:embed="rId1"/>
        <a:stretch>
          <a:fillRect/>
        </a:stretch>
      </xdr:blipFill>
      <xdr:spPr>
        <a:xfrm>
          <a:off x="8829675" y="333375"/>
          <a:ext cx="10287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2</xdr:row>
      <xdr:rowOff>9525</xdr:rowOff>
    </xdr:from>
    <xdr:to>
      <xdr:col>12</xdr:col>
      <xdr:colOff>19050</xdr:colOff>
      <xdr:row>3</xdr:row>
      <xdr:rowOff>171450</xdr:rowOff>
    </xdr:to>
    <xdr:pic>
      <xdr:nvPicPr>
        <xdr:cNvPr id="1" name="Picture 9"/>
        <xdr:cNvPicPr preferRelativeResize="1">
          <a:picLocks noChangeAspect="1"/>
        </xdr:cNvPicPr>
      </xdr:nvPicPr>
      <xdr:blipFill>
        <a:blip r:embed="rId1"/>
        <a:stretch>
          <a:fillRect/>
        </a:stretch>
      </xdr:blipFill>
      <xdr:spPr>
        <a:xfrm>
          <a:off x="8220075" y="333375"/>
          <a:ext cx="104775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2</xdr:row>
      <xdr:rowOff>0</xdr:rowOff>
    </xdr:from>
    <xdr:to>
      <xdr:col>12</xdr:col>
      <xdr:colOff>19050</xdr:colOff>
      <xdr:row>3</xdr:row>
      <xdr:rowOff>152400</xdr:rowOff>
    </xdr:to>
    <xdr:pic>
      <xdr:nvPicPr>
        <xdr:cNvPr id="1" name="Picture 9"/>
        <xdr:cNvPicPr preferRelativeResize="1">
          <a:picLocks noChangeAspect="1"/>
        </xdr:cNvPicPr>
      </xdr:nvPicPr>
      <xdr:blipFill>
        <a:blip r:embed="rId1"/>
        <a:stretch>
          <a:fillRect/>
        </a:stretch>
      </xdr:blipFill>
      <xdr:spPr>
        <a:xfrm>
          <a:off x="8220075" y="323850"/>
          <a:ext cx="10477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1</xdr:row>
      <xdr:rowOff>152400</xdr:rowOff>
    </xdr:from>
    <xdr:to>
      <xdr:col>12</xdr:col>
      <xdr:colOff>9525</xdr:colOff>
      <xdr:row>3</xdr:row>
      <xdr:rowOff>152400</xdr:rowOff>
    </xdr:to>
    <xdr:pic>
      <xdr:nvPicPr>
        <xdr:cNvPr id="1" name="Picture 9"/>
        <xdr:cNvPicPr preferRelativeResize="1">
          <a:picLocks noChangeAspect="1"/>
        </xdr:cNvPicPr>
      </xdr:nvPicPr>
      <xdr:blipFill>
        <a:blip r:embed="rId1"/>
        <a:stretch>
          <a:fillRect/>
        </a:stretch>
      </xdr:blipFill>
      <xdr:spPr>
        <a:xfrm>
          <a:off x="8210550" y="314325"/>
          <a:ext cx="104775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2</xdr:row>
      <xdr:rowOff>0</xdr:rowOff>
    </xdr:from>
    <xdr:to>
      <xdr:col>11</xdr:col>
      <xdr:colOff>171450</xdr:colOff>
      <xdr:row>3</xdr:row>
      <xdr:rowOff>152400</xdr:rowOff>
    </xdr:to>
    <xdr:pic>
      <xdr:nvPicPr>
        <xdr:cNvPr id="1" name="Picture 9"/>
        <xdr:cNvPicPr preferRelativeResize="1">
          <a:picLocks noChangeAspect="1"/>
        </xdr:cNvPicPr>
      </xdr:nvPicPr>
      <xdr:blipFill>
        <a:blip r:embed="rId1"/>
        <a:stretch>
          <a:fillRect/>
        </a:stretch>
      </xdr:blipFill>
      <xdr:spPr>
        <a:xfrm>
          <a:off x="8201025" y="323850"/>
          <a:ext cx="103822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xdr:row>
      <xdr:rowOff>133350</xdr:rowOff>
    </xdr:from>
    <xdr:to>
      <xdr:col>14</xdr:col>
      <xdr:colOff>0</xdr:colOff>
      <xdr:row>3</xdr:row>
      <xdr:rowOff>133350</xdr:rowOff>
    </xdr:to>
    <xdr:pic>
      <xdr:nvPicPr>
        <xdr:cNvPr id="1" name="Picture 9"/>
        <xdr:cNvPicPr preferRelativeResize="1">
          <a:picLocks noChangeAspect="1"/>
        </xdr:cNvPicPr>
      </xdr:nvPicPr>
      <xdr:blipFill>
        <a:blip r:embed="rId1"/>
        <a:stretch>
          <a:fillRect/>
        </a:stretch>
      </xdr:blipFill>
      <xdr:spPr>
        <a:xfrm>
          <a:off x="8572500" y="295275"/>
          <a:ext cx="10287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keizer@wxs.nl" TargetMode="External" /><Relationship Id="rId2" Type="http://schemas.openxmlformats.org/officeDocument/2006/relationships/hyperlink" Target="mailto:r.goedhart@poraad.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D40"/>
  <sheetViews>
    <sheetView zoomScale="85" zoomScaleNormal="85" zoomScalePageLayoutView="0" workbookViewId="0" topLeftCell="A1">
      <selection activeCell="A1" sqref="A1"/>
    </sheetView>
  </sheetViews>
  <sheetFormatPr defaultColWidth="9.140625" defaultRowHeight="12.75"/>
  <cols>
    <col min="1" max="1" width="4.28125" style="280" customWidth="1"/>
    <col min="2" max="2" width="119.140625" style="287" customWidth="1"/>
    <col min="3" max="16384" width="9.140625" style="280" customWidth="1"/>
  </cols>
  <sheetData>
    <row r="2" spans="2:4" ht="15.75">
      <c r="B2" s="281" t="s">
        <v>239</v>
      </c>
      <c r="D2" s="282"/>
    </row>
    <row r="3" ht="15.75">
      <c r="B3" s="283">
        <v>40449</v>
      </c>
    </row>
    <row r="4" ht="15">
      <c r="B4" s="284" t="s">
        <v>168</v>
      </c>
    </row>
    <row r="5" ht="15">
      <c r="B5" s="285" t="s">
        <v>240</v>
      </c>
    </row>
    <row r="6" ht="14.25">
      <c r="B6" s="285" t="s">
        <v>169</v>
      </c>
    </row>
    <row r="7" ht="14.25">
      <c r="B7" s="285"/>
    </row>
    <row r="8" ht="14.25">
      <c r="B8" s="285" t="s">
        <v>241</v>
      </c>
    </row>
    <row r="9" ht="14.25">
      <c r="B9" s="285"/>
    </row>
    <row r="10" ht="28.5">
      <c r="B10" s="285" t="s">
        <v>170</v>
      </c>
    </row>
    <row r="11" ht="14.25">
      <c r="B11" s="285"/>
    </row>
    <row r="12" ht="15">
      <c r="B12" s="284" t="s">
        <v>171</v>
      </c>
    </row>
    <row r="13" ht="28.5">
      <c r="B13" s="285" t="s">
        <v>172</v>
      </c>
    </row>
    <row r="14" ht="14.25">
      <c r="B14" s="285" t="s">
        <v>173</v>
      </c>
    </row>
    <row r="15" ht="14.25">
      <c r="B15" s="285" t="s">
        <v>174</v>
      </c>
    </row>
    <row r="16" ht="14.25" customHeight="1">
      <c r="B16" s="285" t="s">
        <v>180</v>
      </c>
    </row>
    <row r="17" ht="42.75" customHeight="1">
      <c r="B17" s="285" t="s">
        <v>242</v>
      </c>
    </row>
    <row r="18" ht="49.5" customHeight="1">
      <c r="B18" s="285" t="s">
        <v>185</v>
      </c>
    </row>
    <row r="19" ht="57.75" customHeight="1">
      <c r="B19" s="285" t="s">
        <v>207</v>
      </c>
    </row>
    <row r="20" ht="31.5" customHeight="1">
      <c r="B20" s="285" t="s">
        <v>175</v>
      </c>
    </row>
    <row r="21" ht="14.25">
      <c r="B21" s="285"/>
    </row>
    <row r="22" ht="15">
      <c r="B22" s="284" t="s">
        <v>243</v>
      </c>
    </row>
    <row r="23" ht="29.25" customHeight="1">
      <c r="B23" s="285" t="s">
        <v>182</v>
      </c>
    </row>
    <row r="24" ht="72.75" customHeight="1">
      <c r="B24" s="285" t="s">
        <v>176</v>
      </c>
    </row>
    <row r="25" ht="50.25" customHeight="1">
      <c r="B25" s="285" t="s">
        <v>244</v>
      </c>
    </row>
    <row r="26" ht="39" customHeight="1">
      <c r="B26" s="285" t="s">
        <v>181</v>
      </c>
    </row>
    <row r="27" ht="14.25">
      <c r="B27" s="285"/>
    </row>
    <row r="28" ht="15">
      <c r="B28" s="284" t="s">
        <v>183</v>
      </c>
    </row>
    <row r="29" ht="14.25">
      <c r="B29" s="285" t="s">
        <v>184</v>
      </c>
    </row>
    <row r="30" ht="14.25">
      <c r="B30" s="285"/>
    </row>
    <row r="31" ht="15">
      <c r="B31" s="284" t="s">
        <v>177</v>
      </c>
    </row>
    <row r="32" ht="36" customHeight="1">
      <c r="B32" s="285" t="s">
        <v>245</v>
      </c>
    </row>
    <row r="33" ht="28.5" customHeight="1">
      <c r="B33" s="285" t="s">
        <v>190</v>
      </c>
    </row>
    <row r="34" ht="14.25">
      <c r="B34" s="285"/>
    </row>
    <row r="35" ht="14.25">
      <c r="B35" s="285"/>
    </row>
    <row r="36" ht="15">
      <c r="B36" s="284" t="s">
        <v>178</v>
      </c>
    </row>
    <row r="37" ht="14.25">
      <c r="B37" s="285" t="s">
        <v>179</v>
      </c>
    </row>
    <row r="38" ht="12.75">
      <c r="B38" s="286" t="s">
        <v>246</v>
      </c>
    </row>
    <row r="39" ht="12.75">
      <c r="B39" s="286" t="s">
        <v>247</v>
      </c>
    </row>
    <row r="40" ht="14.25">
      <c r="B40" s="285"/>
    </row>
  </sheetData>
  <sheetProtection password="DFB1" sheet="1" objects="1" scenarios="1"/>
  <hyperlinks>
    <hyperlink ref="B38" r:id="rId1" display="Bé Keizer, tel.: 06-22939674 of e-mail: be.keizer@wxs.nl "/>
    <hyperlink ref="B39" r:id="rId2" display="Reinier Goedhart, tel.: 06-25341033 of e-mail: r.goedhart@poraad.nl"/>
  </hyperlinks>
  <printOptions/>
  <pageMargins left="0.75" right="0.75" top="1" bottom="1" header="0.5" footer="0.5"/>
  <pageSetup horizontalDpi="600" verticalDpi="600" orientation="portrait" paperSize="9" scale="78" r:id="rId4"/>
  <headerFooter alignWithMargins="0">
    <oddHeader>&amp;L&amp;"Arial,Vet"&amp;F&amp;R&amp;"Arial,Vet"&amp;A</oddHeader>
    <oddFooter>&amp;L&amp;"Arial,Vet"goedhart / keizer&amp;C&amp;"Arial,Vet"&amp;D&amp;R&amp;"Arial,Vet"pagina &amp;P</oddFooter>
  </headerFooter>
  <drawing r:id="rId3"/>
</worksheet>
</file>

<file path=xl/worksheets/sheet2.xml><?xml version="1.0" encoding="utf-8"?>
<worksheet xmlns="http://schemas.openxmlformats.org/spreadsheetml/2006/main" xmlns:r="http://schemas.openxmlformats.org/officeDocument/2006/relationships">
  <dimension ref="B2:AT161"/>
  <sheetViews>
    <sheetView tabSelected="1" zoomScale="85" zoomScaleNormal="85" zoomScaleSheetLayoutView="85" zoomScalePageLayoutView="0" workbookViewId="0" topLeftCell="A1">
      <selection activeCell="B2" sqref="B2"/>
    </sheetView>
  </sheetViews>
  <sheetFormatPr defaultColWidth="9.140625" defaultRowHeight="12.75"/>
  <cols>
    <col min="1" max="1" width="3.7109375" style="2" customWidth="1"/>
    <col min="2" max="3" width="2.7109375" style="2" customWidth="1"/>
    <col min="4" max="4" width="4.7109375" style="3" customWidth="1"/>
    <col min="5" max="5" width="12.7109375" style="3" customWidth="1"/>
    <col min="6" max="7" width="12.7109375" style="4" customWidth="1"/>
    <col min="8" max="8" width="2.7109375" style="2" customWidth="1"/>
    <col min="9" max="12" width="12.7109375" style="4" customWidth="1"/>
    <col min="13" max="13" width="1.7109375" style="2" customWidth="1"/>
    <col min="14" max="16" width="12.7109375" style="4" customWidth="1"/>
    <col min="17" max="18" width="2.57421875" style="2" customWidth="1"/>
    <col min="19" max="19" width="8.7109375" style="2" customWidth="1"/>
    <col min="20" max="28" width="8.7109375" style="3" customWidth="1"/>
    <col min="29" max="34" width="8.7109375" style="231" customWidth="1"/>
    <col min="35" max="35" width="8.7109375" style="3" customWidth="1"/>
    <col min="36" max="37" width="8.7109375" style="2" customWidth="1"/>
    <col min="38" max="47" width="9.140625" style="2" customWidth="1"/>
    <col min="48" max="48" width="11.57421875" style="2" bestFit="1" customWidth="1"/>
    <col min="49" max="16384" width="9.140625" style="2" customWidth="1"/>
  </cols>
  <sheetData>
    <row r="1" ht="12.75"/>
    <row r="2" spans="2:18" ht="12.75">
      <c r="B2" s="16"/>
      <c r="C2" s="17"/>
      <c r="D2" s="18"/>
      <c r="E2" s="18"/>
      <c r="F2" s="19"/>
      <c r="G2" s="19"/>
      <c r="H2" s="17"/>
      <c r="I2" s="19"/>
      <c r="J2" s="19"/>
      <c r="K2" s="19"/>
      <c r="L2" s="19"/>
      <c r="M2" s="17"/>
      <c r="N2" s="19"/>
      <c r="O2" s="19"/>
      <c r="P2" s="19"/>
      <c r="Q2" s="17"/>
      <c r="R2" s="20"/>
    </row>
    <row r="3" spans="2:18" ht="12.75">
      <c r="B3" s="21"/>
      <c r="C3" s="22"/>
      <c r="D3" s="23"/>
      <c r="E3" s="23"/>
      <c r="F3" s="24"/>
      <c r="G3" s="24"/>
      <c r="H3" s="22"/>
      <c r="I3" s="24"/>
      <c r="J3" s="24"/>
      <c r="K3" s="24"/>
      <c r="L3" s="24"/>
      <c r="M3" s="22"/>
      <c r="N3" s="24"/>
      <c r="O3" s="24"/>
      <c r="P3" s="24"/>
      <c r="Q3" s="22"/>
      <c r="R3" s="25"/>
    </row>
    <row r="4" spans="2:35" s="5" customFormat="1" ht="18.75">
      <c r="B4" s="26"/>
      <c r="C4" s="27" t="s">
        <v>205</v>
      </c>
      <c r="D4" s="28"/>
      <c r="E4" s="28"/>
      <c r="F4" s="29"/>
      <c r="G4" s="29"/>
      <c r="H4" s="30"/>
      <c r="I4" s="29"/>
      <c r="J4" s="29"/>
      <c r="K4" s="29"/>
      <c r="L4" s="29"/>
      <c r="M4" s="30"/>
      <c r="N4" s="29"/>
      <c r="O4" s="29"/>
      <c r="P4" s="29"/>
      <c r="Q4" s="30"/>
      <c r="R4" s="31"/>
      <c r="T4" s="230"/>
      <c r="U4" s="230"/>
      <c r="V4" s="230"/>
      <c r="W4" s="230"/>
      <c r="X4" s="230"/>
      <c r="Y4" s="230"/>
      <c r="Z4" s="230"/>
      <c r="AA4" s="230"/>
      <c r="AB4" s="230"/>
      <c r="AC4" s="232"/>
      <c r="AD4" s="232"/>
      <c r="AE4" s="232"/>
      <c r="AF4" s="232"/>
      <c r="AG4" s="232"/>
      <c r="AH4" s="232"/>
      <c r="AI4" s="230"/>
    </row>
    <row r="5" spans="2:35" s="5" customFormat="1" ht="18.75">
      <c r="B5" s="26"/>
      <c r="C5" s="32" t="str">
        <f>I9</f>
        <v>De Specialeschool</v>
      </c>
      <c r="D5" s="28"/>
      <c r="E5" s="28"/>
      <c r="F5" s="29"/>
      <c r="G5" s="29"/>
      <c r="H5" s="30"/>
      <c r="I5" s="29"/>
      <c r="J5" s="29"/>
      <c r="K5" s="29"/>
      <c r="L5" s="29"/>
      <c r="M5" s="30"/>
      <c r="N5" s="29"/>
      <c r="O5" s="29"/>
      <c r="P5" s="29"/>
      <c r="Q5" s="30"/>
      <c r="R5" s="31"/>
      <c r="T5" s="230"/>
      <c r="U5" s="230"/>
      <c r="V5" s="230"/>
      <c r="W5" s="230"/>
      <c r="X5" s="230"/>
      <c r="Y5" s="230"/>
      <c r="Z5" s="230"/>
      <c r="AA5" s="230"/>
      <c r="AB5" s="230"/>
      <c r="AC5" s="232"/>
      <c r="AD5" s="232"/>
      <c r="AE5" s="232"/>
      <c r="AF5" s="232"/>
      <c r="AG5" s="232"/>
      <c r="AH5" s="232"/>
      <c r="AI5" s="230"/>
    </row>
    <row r="6" spans="2:18" ht="12.75">
      <c r="B6" s="21"/>
      <c r="C6" s="22"/>
      <c r="D6" s="23"/>
      <c r="E6" s="23"/>
      <c r="F6" s="24"/>
      <c r="G6" s="24"/>
      <c r="H6" s="22"/>
      <c r="I6" s="24"/>
      <c r="J6" s="24"/>
      <c r="K6" s="24"/>
      <c r="L6" s="24"/>
      <c r="M6" s="22"/>
      <c r="N6" s="24"/>
      <c r="O6" s="24"/>
      <c r="P6" s="24"/>
      <c r="Q6" s="22"/>
      <c r="R6" s="25"/>
    </row>
    <row r="7" spans="2:18" ht="12.75">
      <c r="B7" s="21"/>
      <c r="C7" s="22"/>
      <c r="D7" s="23"/>
      <c r="E7" s="23"/>
      <c r="F7" s="24"/>
      <c r="G7" s="24"/>
      <c r="H7" s="22"/>
      <c r="I7" s="24"/>
      <c r="J7" s="24"/>
      <c r="K7" s="24"/>
      <c r="L7" s="24"/>
      <c r="M7" s="22"/>
      <c r="N7" s="24"/>
      <c r="O7" s="24"/>
      <c r="P7" s="24"/>
      <c r="Q7" s="22"/>
      <c r="R7" s="25"/>
    </row>
    <row r="8" spans="2:18" ht="12.75">
      <c r="B8" s="21"/>
      <c r="C8" s="42"/>
      <c r="D8" s="43"/>
      <c r="E8" s="43"/>
      <c r="F8" s="44"/>
      <c r="G8" s="44"/>
      <c r="H8" s="42"/>
      <c r="I8" s="44"/>
      <c r="J8" s="44"/>
      <c r="K8" s="44"/>
      <c r="L8" s="44"/>
      <c r="M8" s="42"/>
      <c r="N8" s="44"/>
      <c r="O8" s="44"/>
      <c r="P8" s="44"/>
      <c r="Q8" s="42"/>
      <c r="R8" s="25"/>
    </row>
    <row r="9" spans="2:18" ht="12.75">
      <c r="B9" s="21"/>
      <c r="C9" s="42"/>
      <c r="D9" s="43" t="s">
        <v>75</v>
      </c>
      <c r="E9" s="43"/>
      <c r="F9" s="44"/>
      <c r="G9" s="45"/>
      <c r="H9" s="46"/>
      <c r="I9" s="34" t="s">
        <v>208</v>
      </c>
      <c r="J9" s="24"/>
      <c r="K9" s="24"/>
      <c r="L9" s="44"/>
      <c r="M9" s="46"/>
      <c r="N9" s="44"/>
      <c r="O9" s="44"/>
      <c r="P9" s="44"/>
      <c r="Q9" s="42"/>
      <c r="R9" s="25"/>
    </row>
    <row r="10" spans="2:18" ht="12.75">
      <c r="B10" s="21"/>
      <c r="C10" s="42"/>
      <c r="D10" s="43" t="s">
        <v>76</v>
      </c>
      <c r="E10" s="43"/>
      <c r="F10" s="44"/>
      <c r="G10" s="44"/>
      <c r="H10" s="47"/>
      <c r="I10" s="34" t="s">
        <v>209</v>
      </c>
      <c r="J10" s="24"/>
      <c r="K10" s="24"/>
      <c r="L10" s="44"/>
      <c r="M10" s="47"/>
      <c r="N10" s="44"/>
      <c r="O10" s="44"/>
      <c r="P10" s="44"/>
      <c r="Q10" s="42"/>
      <c r="R10" s="25"/>
    </row>
    <row r="11" spans="2:18" ht="12.75">
      <c r="B11" s="21"/>
      <c r="C11" s="42"/>
      <c r="D11" s="43"/>
      <c r="E11" s="43"/>
      <c r="F11" s="44"/>
      <c r="G11" s="44"/>
      <c r="H11" s="42"/>
      <c r="I11" s="43"/>
      <c r="J11" s="44"/>
      <c r="K11" s="44"/>
      <c r="L11" s="44"/>
      <c r="M11" s="42"/>
      <c r="N11" s="44"/>
      <c r="O11" s="44"/>
      <c r="P11" s="44"/>
      <c r="Q11" s="42"/>
      <c r="R11" s="25"/>
    </row>
    <row r="12" spans="2:18" ht="12.75">
      <c r="B12" s="21"/>
      <c r="C12" s="42"/>
      <c r="D12" s="43" t="s">
        <v>75</v>
      </c>
      <c r="E12" s="43"/>
      <c r="F12" s="44"/>
      <c r="G12" s="44"/>
      <c r="H12" s="42"/>
      <c r="I12" s="33" t="s">
        <v>97</v>
      </c>
      <c r="J12" s="44"/>
      <c r="K12" s="44"/>
      <c r="L12" s="44"/>
      <c r="M12" s="42"/>
      <c r="N12" s="44"/>
      <c r="O12" s="44"/>
      <c r="P12" s="44"/>
      <c r="Q12" s="42"/>
      <c r="R12" s="25"/>
    </row>
    <row r="13" spans="2:18" ht="12.75">
      <c r="B13" s="21"/>
      <c r="C13" s="42"/>
      <c r="D13" s="48" t="s">
        <v>104</v>
      </c>
      <c r="E13" s="43"/>
      <c r="F13" s="44"/>
      <c r="G13" s="44"/>
      <c r="H13" s="42"/>
      <c r="I13" s="33" t="s">
        <v>10</v>
      </c>
      <c r="J13" s="44"/>
      <c r="K13" s="44"/>
      <c r="L13" s="44"/>
      <c r="M13" s="42"/>
      <c r="N13" s="44"/>
      <c r="O13" s="44"/>
      <c r="P13" s="44"/>
      <c r="Q13" s="42"/>
      <c r="R13" s="25"/>
    </row>
    <row r="14" spans="2:18" ht="12.75">
      <c r="B14" s="21"/>
      <c r="C14" s="42"/>
      <c r="D14" s="48" t="s">
        <v>155</v>
      </c>
      <c r="E14" s="43"/>
      <c r="F14" s="49"/>
      <c r="G14" s="44"/>
      <c r="H14" s="42"/>
      <c r="I14" s="86">
        <f>IF(I12=G100,E100,IF(I12=G101,F100,F100))</f>
        <v>7</v>
      </c>
      <c r="J14" s="44"/>
      <c r="K14" s="44"/>
      <c r="L14" s="44"/>
      <c r="M14" s="42"/>
      <c r="N14" s="44"/>
      <c r="O14" s="44"/>
      <c r="P14" s="44"/>
      <c r="Q14" s="42"/>
      <c r="R14" s="25"/>
    </row>
    <row r="15" spans="2:18" ht="12.75">
      <c r="B15" s="21"/>
      <c r="C15" s="42"/>
      <c r="D15" s="43"/>
      <c r="E15" s="43"/>
      <c r="F15" s="44"/>
      <c r="G15" s="44"/>
      <c r="H15" s="42"/>
      <c r="I15" s="44"/>
      <c r="J15" s="44"/>
      <c r="K15" s="44"/>
      <c r="L15" s="44"/>
      <c r="M15" s="42"/>
      <c r="N15" s="44"/>
      <c r="O15" s="44"/>
      <c r="P15" s="44"/>
      <c r="Q15" s="42"/>
      <c r="R15" s="25"/>
    </row>
    <row r="16" spans="2:46" ht="12.75">
      <c r="B16" s="21"/>
      <c r="C16" s="22"/>
      <c r="D16" s="23"/>
      <c r="E16" s="23"/>
      <c r="F16" s="24"/>
      <c r="G16" s="24"/>
      <c r="H16" s="22"/>
      <c r="I16" s="24"/>
      <c r="J16" s="24"/>
      <c r="K16" s="24"/>
      <c r="L16" s="24"/>
      <c r="M16" s="22"/>
      <c r="N16" s="24"/>
      <c r="O16" s="24"/>
      <c r="P16" s="24"/>
      <c r="Q16" s="22"/>
      <c r="R16" s="25"/>
      <c r="AI16" s="9"/>
      <c r="AJ16" s="6"/>
      <c r="AK16" s="6"/>
      <c r="AL16" s="6"/>
      <c r="AM16" s="6"/>
      <c r="AN16" s="6"/>
      <c r="AO16" s="6"/>
      <c r="AP16" s="6"/>
      <c r="AQ16" s="6"/>
      <c r="AR16" s="6"/>
      <c r="AS16" s="6"/>
      <c r="AT16" s="6"/>
    </row>
    <row r="17" spans="2:46" ht="12.75">
      <c r="B17" s="21"/>
      <c r="C17" s="22"/>
      <c r="D17" s="23"/>
      <c r="E17" s="23"/>
      <c r="F17" s="24"/>
      <c r="G17" s="24"/>
      <c r="H17" s="22"/>
      <c r="I17" s="24"/>
      <c r="J17" s="24"/>
      <c r="K17" s="24"/>
      <c r="L17" s="24"/>
      <c r="M17" s="22"/>
      <c r="N17" s="24"/>
      <c r="O17" s="24"/>
      <c r="P17" s="24"/>
      <c r="Q17" s="22"/>
      <c r="R17" s="25"/>
      <c r="AI17" s="9"/>
      <c r="AJ17" s="6"/>
      <c r="AK17" s="6"/>
      <c r="AL17" s="6"/>
      <c r="AM17" s="6"/>
      <c r="AN17" s="6"/>
      <c r="AO17" s="6"/>
      <c r="AP17" s="6"/>
      <c r="AQ17" s="6"/>
      <c r="AR17" s="6"/>
      <c r="AS17" s="6"/>
      <c r="AT17" s="6"/>
    </row>
    <row r="18" spans="2:46" ht="12.75">
      <c r="B18" s="21"/>
      <c r="C18" s="80"/>
      <c r="D18" s="81"/>
      <c r="E18" s="81"/>
      <c r="F18" s="82"/>
      <c r="G18" s="82"/>
      <c r="H18" s="80"/>
      <c r="I18" s="240" t="s">
        <v>108</v>
      </c>
      <c r="J18" s="241"/>
      <c r="K18" s="241"/>
      <c r="L18" s="241"/>
      <c r="M18" s="80"/>
      <c r="N18" s="83"/>
      <c r="O18" s="84" t="s">
        <v>206</v>
      </c>
      <c r="P18" s="84"/>
      <c r="Q18" s="80"/>
      <c r="R18" s="25"/>
      <c r="AI18" s="9"/>
      <c r="AJ18" s="6"/>
      <c r="AK18" s="6"/>
      <c r="AL18" s="6"/>
      <c r="AM18" s="6"/>
      <c r="AN18" s="6"/>
      <c r="AO18" s="6"/>
      <c r="AP18" s="6"/>
      <c r="AQ18" s="6"/>
      <c r="AR18" s="6"/>
      <c r="AS18" s="6"/>
      <c r="AT18" s="6"/>
    </row>
    <row r="19" spans="2:46" ht="12.75">
      <c r="B19" s="21"/>
      <c r="C19" s="80"/>
      <c r="D19" s="81"/>
      <c r="E19" s="81"/>
      <c r="F19" s="82"/>
      <c r="G19" s="82"/>
      <c r="H19" s="80"/>
      <c r="I19" s="84" t="s">
        <v>106</v>
      </c>
      <c r="J19" s="84" t="s">
        <v>227</v>
      </c>
      <c r="K19" s="84" t="s">
        <v>23</v>
      </c>
      <c r="L19" s="84" t="s">
        <v>107</v>
      </c>
      <c r="M19" s="80"/>
      <c r="N19" s="84" t="s">
        <v>101</v>
      </c>
      <c r="O19" s="84" t="s">
        <v>106</v>
      </c>
      <c r="P19" s="84" t="s">
        <v>103</v>
      </c>
      <c r="Q19" s="80"/>
      <c r="R19" s="25"/>
      <c r="AI19" s="9"/>
      <c r="AJ19" s="6"/>
      <c r="AK19" s="6"/>
      <c r="AL19" s="6"/>
      <c r="AM19" s="6"/>
      <c r="AN19" s="6"/>
      <c r="AO19" s="6"/>
      <c r="AP19" s="6"/>
      <c r="AQ19" s="6"/>
      <c r="AR19" s="6"/>
      <c r="AS19" s="6"/>
      <c r="AT19" s="6"/>
    </row>
    <row r="20" spans="2:46" ht="12.75">
      <c r="B20" s="21"/>
      <c r="C20" s="80"/>
      <c r="D20" s="81"/>
      <c r="E20" s="81"/>
      <c r="F20" s="82"/>
      <c r="G20" s="82"/>
      <c r="H20" s="80"/>
      <c r="I20" s="82"/>
      <c r="J20" s="82"/>
      <c r="K20" s="82"/>
      <c r="L20" s="82"/>
      <c r="M20" s="80"/>
      <c r="N20" s="82"/>
      <c r="O20" s="82"/>
      <c r="P20" s="82"/>
      <c r="Q20" s="80"/>
      <c r="R20" s="25"/>
      <c r="AI20" s="9"/>
      <c r="AJ20" s="6"/>
      <c r="AK20" s="6"/>
      <c r="AL20" s="6"/>
      <c r="AM20" s="6"/>
      <c r="AN20" s="6"/>
      <c r="AO20" s="6"/>
      <c r="AP20" s="6"/>
      <c r="AQ20" s="6"/>
      <c r="AR20" s="6"/>
      <c r="AS20" s="6"/>
      <c r="AT20" s="6"/>
    </row>
    <row r="21" spans="2:41" ht="12.75">
      <c r="B21" s="21"/>
      <c r="C21" s="50"/>
      <c r="D21" s="78"/>
      <c r="E21" s="79"/>
      <c r="F21" s="51"/>
      <c r="G21" s="51"/>
      <c r="H21" s="52"/>
      <c r="I21" s="51"/>
      <c r="J21" s="51"/>
      <c r="K21" s="51"/>
      <c r="L21" s="51"/>
      <c r="M21" s="52"/>
      <c r="N21" s="51"/>
      <c r="O21" s="51"/>
      <c r="P21" s="51"/>
      <c r="Q21" s="53"/>
      <c r="R21" s="25"/>
      <c r="AI21" s="9"/>
      <c r="AJ21" s="6"/>
      <c r="AK21" s="6"/>
      <c r="AL21" s="6"/>
      <c r="AM21" s="6"/>
      <c r="AN21" s="6"/>
      <c r="AO21" s="6"/>
    </row>
    <row r="22" spans="2:41" ht="12.75">
      <c r="B22" s="21"/>
      <c r="C22" s="50"/>
      <c r="D22" s="227" t="s">
        <v>200</v>
      </c>
      <c r="E22" s="79"/>
      <c r="F22" s="228">
        <f>Hoofdafdeling!H8</f>
        <v>2011</v>
      </c>
      <c r="G22" s="51"/>
      <c r="H22" s="52"/>
      <c r="I22" s="51"/>
      <c r="J22" s="51"/>
      <c r="K22" s="51"/>
      <c r="L22" s="51"/>
      <c r="M22" s="52"/>
      <c r="N22" s="51"/>
      <c r="O22" s="51"/>
      <c r="P22" s="51"/>
      <c r="Q22" s="53"/>
      <c r="R22" s="25"/>
      <c r="AI22" s="9"/>
      <c r="AJ22" s="6"/>
      <c r="AK22" s="6"/>
      <c r="AL22" s="6"/>
      <c r="AM22" s="6"/>
      <c r="AN22" s="6"/>
      <c r="AO22" s="6"/>
    </row>
    <row r="23" spans="2:41" ht="12.75" customHeight="1">
      <c r="B23" s="21"/>
      <c r="C23" s="54"/>
      <c r="D23" s="133" t="s">
        <v>228</v>
      </c>
      <c r="E23" s="133"/>
      <c r="F23" s="229">
        <f>VLOOKUP(tabellen!$B$2-1,schooljaren,3,FALSE)</f>
        <v>40452</v>
      </c>
      <c r="G23" s="91"/>
      <c r="H23" s="61"/>
      <c r="I23" s="60"/>
      <c r="J23" s="62"/>
      <c r="K23" s="62"/>
      <c r="L23" s="62"/>
      <c r="M23" s="61"/>
      <c r="N23" s="62"/>
      <c r="O23" s="62"/>
      <c r="P23" s="62"/>
      <c r="Q23" s="63"/>
      <c r="R23" s="40"/>
      <c r="S23" s="10"/>
      <c r="T23" s="8"/>
      <c r="U23" s="8"/>
      <c r="V23" s="8"/>
      <c r="W23" s="8"/>
      <c r="X23" s="8"/>
      <c r="Y23" s="8"/>
      <c r="Z23" s="8"/>
      <c r="AA23" s="8"/>
      <c r="AB23" s="8"/>
      <c r="AH23" s="233"/>
      <c r="AI23" s="9"/>
      <c r="AJ23" s="6"/>
      <c r="AK23" s="12"/>
      <c r="AL23" s="6"/>
      <c r="AM23" s="6"/>
      <c r="AN23" s="6"/>
      <c r="AO23" s="6"/>
    </row>
    <row r="24" spans="2:41" ht="12.75">
      <c r="B24" s="21"/>
      <c r="C24" s="54"/>
      <c r="D24" s="133" t="s">
        <v>22</v>
      </c>
      <c r="E24" s="226"/>
      <c r="F24" s="91" t="s">
        <v>21</v>
      </c>
      <c r="G24" s="91" t="s">
        <v>105</v>
      </c>
      <c r="H24" s="61"/>
      <c r="I24" s="62"/>
      <c r="J24" s="62"/>
      <c r="K24" s="62"/>
      <c r="L24" s="62"/>
      <c r="M24" s="61"/>
      <c r="N24" s="62"/>
      <c r="O24" s="62"/>
      <c r="P24" s="62"/>
      <c r="Q24" s="63"/>
      <c r="R24" s="40"/>
      <c r="S24" s="10"/>
      <c r="T24" s="8"/>
      <c r="U24" s="8"/>
      <c r="V24" s="8"/>
      <c r="W24" s="8"/>
      <c r="X24" s="8"/>
      <c r="Y24" s="8"/>
      <c r="Z24" s="8"/>
      <c r="AA24" s="8"/>
      <c r="AB24" s="8"/>
      <c r="AD24" s="233" t="s">
        <v>109</v>
      </c>
      <c r="AE24" s="233" t="s">
        <v>110</v>
      </c>
      <c r="AF24" s="233" t="s">
        <v>111</v>
      </c>
      <c r="AH24" s="233" t="s">
        <v>229</v>
      </c>
      <c r="AI24" s="11"/>
      <c r="AJ24" s="12"/>
      <c r="AK24" s="12"/>
      <c r="AL24" s="12"/>
      <c r="AM24" s="6"/>
      <c r="AN24" s="6"/>
      <c r="AO24" s="6"/>
    </row>
    <row r="25" spans="2:41" ht="12.75">
      <c r="B25" s="21"/>
      <c r="C25" s="54"/>
      <c r="D25" s="65" t="s">
        <v>28</v>
      </c>
      <c r="E25" s="65" t="s">
        <v>10</v>
      </c>
      <c r="F25" s="66" t="str">
        <f>IF(MID(E25,1,2)="MG","ja","nee")</f>
        <v>nee</v>
      </c>
      <c r="G25" s="85" t="s">
        <v>102</v>
      </c>
      <c r="H25" s="67"/>
      <c r="I25" s="85">
        <v>35</v>
      </c>
      <c r="J25" s="85">
        <v>65</v>
      </c>
      <c r="K25" s="95">
        <f>SUM(I25:J25)+N25</f>
        <v>100</v>
      </c>
      <c r="L25" s="85">
        <v>0</v>
      </c>
      <c r="M25" s="67"/>
      <c r="N25" s="85">
        <v>0</v>
      </c>
      <c r="O25" s="85">
        <v>0</v>
      </c>
      <c r="P25" s="85">
        <v>0</v>
      </c>
      <c r="Q25" s="69"/>
      <c r="R25" s="41"/>
      <c r="S25" s="13"/>
      <c r="AC25" s="231">
        <f>IF((K$36-K$29)&gt;I$14/2,K32,K25)</f>
        <v>100</v>
      </c>
      <c r="AD25" s="231">
        <f>IF(OR(F25="ja",F26="ja",F27="ja",F28="ja"),1,0)</f>
        <v>0</v>
      </c>
      <c r="AE25" s="231">
        <f>IF(D25=0,0,VLOOKUP(E25,Groepsgrootte,IF(D25="SO",2,3),FALSE))</f>
        <v>12</v>
      </c>
      <c r="AF25" s="231">
        <f>IF(AE25=0,0,ROUNDUP(IF(D25="SO",(K25+IF(AND(G26="ja",D26="SO"),K26,0)+IF(AND(G27="ja",D27="SO"),K27,0)+IF(AND(G28="ja",D28="SO"),K28,0)),(K25+IF(AND(G26="ja",D26="VSO"),K26,0)+IF(AND(G27="ja",D27="VSO"),K27,0)+IF(AND(G28="ja",D28="VSO"),K28,0)))/AE25,0))</f>
        <v>9</v>
      </c>
      <c r="AH25" s="231">
        <f>+K25-N25</f>
        <v>100</v>
      </c>
      <c r="AI25" s="9"/>
      <c r="AJ25" s="6"/>
      <c r="AK25" s="6"/>
      <c r="AL25" s="6"/>
      <c r="AM25" s="6"/>
      <c r="AN25" s="6"/>
      <c r="AO25" s="6"/>
    </row>
    <row r="26" spans="2:41" ht="12.75">
      <c r="B26" s="21"/>
      <c r="C26" s="54"/>
      <c r="D26" s="65" t="s">
        <v>24</v>
      </c>
      <c r="E26" s="65" t="s">
        <v>10</v>
      </c>
      <c r="F26" s="66" t="str">
        <f>IF(G26="ja","nee",IF(MID(E26,1,2)="MG","ja","nee"))</f>
        <v>nee</v>
      </c>
      <c r="G26" s="85" t="s">
        <v>102</v>
      </c>
      <c r="H26" s="67"/>
      <c r="I26" s="85">
        <v>0</v>
      </c>
      <c r="J26" s="85">
        <v>10</v>
      </c>
      <c r="K26" s="95">
        <f>SUM(I26:J26)+N26</f>
        <v>10</v>
      </c>
      <c r="L26" s="85">
        <v>0</v>
      </c>
      <c r="M26" s="67"/>
      <c r="N26" s="85">
        <v>0</v>
      </c>
      <c r="O26" s="85">
        <v>0</v>
      </c>
      <c r="P26" s="85">
        <v>0</v>
      </c>
      <c r="Q26" s="69"/>
      <c r="R26" s="41"/>
      <c r="S26" s="13"/>
      <c r="AC26" s="231">
        <f>IF((K$36-K$29)&gt;I$14/2,K33,K26)</f>
        <v>10</v>
      </c>
      <c r="AE26" s="231">
        <f>IF(D26=0,0,VLOOKUP(E26,Groepsgrootte,IF(D26="SO",2,3),FALSE))</f>
        <v>7</v>
      </c>
      <c r="AF26" s="231">
        <f>IF(AE26=0,0,ROUNDUP(IF(G26="ja",0,IF(D26="SO",K26,(K26+IF(AND(G27="ja",D27="VSO"),K27,0)+IF(AND(G28="ja",D28="VSO"),K28,0))))/AE26,0))</f>
        <v>2</v>
      </c>
      <c r="AH26" s="231">
        <f>+K26-N26</f>
        <v>10</v>
      </c>
      <c r="AI26" s="9"/>
      <c r="AJ26" s="6"/>
      <c r="AK26" s="6"/>
      <c r="AL26" s="6"/>
      <c r="AM26" s="6"/>
      <c r="AN26" s="6"/>
      <c r="AO26" s="6"/>
    </row>
    <row r="27" spans="2:41" ht="12" customHeight="1">
      <c r="B27" s="21"/>
      <c r="C27" s="54"/>
      <c r="D27" s="65"/>
      <c r="E27" s="65"/>
      <c r="F27" s="66" t="str">
        <f>IF(G27="ja","nee",IF(MID(E27,1,2)="MG","ja","nee"))</f>
        <v>nee</v>
      </c>
      <c r="G27" s="85" t="s">
        <v>102</v>
      </c>
      <c r="H27" s="67"/>
      <c r="I27" s="85">
        <v>0</v>
      </c>
      <c r="J27" s="85">
        <v>0</v>
      </c>
      <c r="K27" s="95">
        <f>SUM(I27:J27)+N27</f>
        <v>0</v>
      </c>
      <c r="L27" s="85">
        <v>0</v>
      </c>
      <c r="M27" s="67"/>
      <c r="N27" s="85">
        <v>0</v>
      </c>
      <c r="O27" s="85">
        <v>0</v>
      </c>
      <c r="P27" s="85">
        <v>0</v>
      </c>
      <c r="Q27" s="69"/>
      <c r="R27" s="41"/>
      <c r="S27" s="13"/>
      <c r="AC27" s="231">
        <f>IF((K$36-K$29)&gt;I$14/2,K34,K27)</f>
        <v>0</v>
      </c>
      <c r="AE27" s="231">
        <f>IF(D27=0,0,VLOOKUP(E27,Groepsgrootte,IF(D27="SO",2,3),FALSE))</f>
        <v>0</v>
      </c>
      <c r="AF27" s="231">
        <f>IF(AE27=0,0,ROUNDUP(IF(G27="ja",0,IF(D27="SO",K27,(K27+IF(AND(G28="ja",D28="VSO",D26="SO"),K28,0))))/AE27,0))</f>
        <v>0</v>
      </c>
      <c r="AH27" s="231">
        <f>+K27-N27</f>
        <v>0</v>
      </c>
      <c r="AI27" s="9"/>
      <c r="AJ27" s="6"/>
      <c r="AK27" s="6"/>
      <c r="AL27" s="6"/>
      <c r="AM27" s="6"/>
      <c r="AN27" s="6"/>
      <c r="AO27" s="6"/>
    </row>
    <row r="28" spans="2:41" ht="12.75">
      <c r="B28" s="21"/>
      <c r="C28" s="54"/>
      <c r="D28" s="65"/>
      <c r="E28" s="65"/>
      <c r="F28" s="66" t="str">
        <f>IF(G28="ja","nee",IF(MID(E28,1,2)="MG","ja","nee"))</f>
        <v>nee</v>
      </c>
      <c r="G28" s="85" t="s">
        <v>102</v>
      </c>
      <c r="H28" s="67"/>
      <c r="I28" s="85">
        <v>0</v>
      </c>
      <c r="J28" s="85">
        <v>0</v>
      </c>
      <c r="K28" s="95">
        <f>SUM(I28:J28)+N28</f>
        <v>0</v>
      </c>
      <c r="L28" s="85">
        <v>0</v>
      </c>
      <c r="M28" s="67"/>
      <c r="N28" s="85">
        <v>0</v>
      </c>
      <c r="O28" s="85">
        <v>0</v>
      </c>
      <c r="P28" s="85">
        <v>0</v>
      </c>
      <c r="Q28" s="69"/>
      <c r="R28" s="41"/>
      <c r="S28" s="13"/>
      <c r="AC28" s="231">
        <f>IF((K$36-K$29)&gt;I$14/2,K35,K28)</f>
        <v>0</v>
      </c>
      <c r="AE28" s="231">
        <f>IF(D28=0,0,VLOOKUP(E28,Groepsgrootte,IF(D28="SO",2,3),FALSE))</f>
        <v>0</v>
      </c>
      <c r="AF28" s="231">
        <f>IF(G28="ja",0,IF(AE28=0,0,ROUNDUP(K28/AE28,0)))</f>
        <v>0</v>
      </c>
      <c r="AH28" s="231">
        <f>+K28-N28</f>
        <v>0</v>
      </c>
      <c r="AI28" s="9"/>
      <c r="AJ28" s="6"/>
      <c r="AK28" s="6"/>
      <c r="AL28" s="6"/>
      <c r="AM28" s="6"/>
      <c r="AN28" s="6"/>
      <c r="AO28" s="6"/>
    </row>
    <row r="29" spans="2:41" ht="12.75" customHeight="1">
      <c r="B29" s="21"/>
      <c r="C29" s="54"/>
      <c r="D29" s="60"/>
      <c r="E29" s="64"/>
      <c r="F29" s="56"/>
      <c r="G29" s="56"/>
      <c r="H29" s="57"/>
      <c r="I29" s="68">
        <f>SUM(I25:I28)</f>
        <v>35</v>
      </c>
      <c r="J29" s="68">
        <f aca="true" t="shared" si="0" ref="J29:P29">SUM(J25:J28)</f>
        <v>75</v>
      </c>
      <c r="K29" s="68">
        <f t="shared" si="0"/>
        <v>110</v>
      </c>
      <c r="L29" s="68">
        <f t="shared" si="0"/>
        <v>0</v>
      </c>
      <c r="M29" s="61"/>
      <c r="N29" s="68">
        <f t="shared" si="0"/>
        <v>0</v>
      </c>
      <c r="O29" s="68">
        <f t="shared" si="0"/>
        <v>0</v>
      </c>
      <c r="P29" s="68">
        <f t="shared" si="0"/>
        <v>0</v>
      </c>
      <c r="Q29" s="59"/>
      <c r="R29" s="25"/>
      <c r="AI29" s="9"/>
      <c r="AJ29" s="6"/>
      <c r="AK29" s="6"/>
      <c r="AL29" s="6"/>
      <c r="AM29" s="6"/>
      <c r="AN29" s="6"/>
      <c r="AO29" s="6"/>
    </row>
    <row r="30" spans="2:41" ht="12.75" customHeight="1">
      <c r="B30" s="21"/>
      <c r="C30" s="54"/>
      <c r="D30" s="133" t="s">
        <v>228</v>
      </c>
      <c r="E30" s="55"/>
      <c r="F30" s="229">
        <f>VLOOKUP(tabellen!$B$2-1,schooljaren,4,FALSE)</f>
        <v>40559</v>
      </c>
      <c r="G30" s="91"/>
      <c r="H30" s="61"/>
      <c r="I30" s="60"/>
      <c r="J30" s="62"/>
      <c r="K30" s="62"/>
      <c r="L30" s="62"/>
      <c r="M30" s="61"/>
      <c r="N30" s="62"/>
      <c r="O30" s="62"/>
      <c r="P30" s="62"/>
      <c r="Q30" s="63"/>
      <c r="R30" s="40"/>
      <c r="S30" s="10"/>
      <c r="T30" s="8"/>
      <c r="U30" s="8"/>
      <c r="V30" s="8"/>
      <c r="W30" s="8"/>
      <c r="X30" s="8"/>
      <c r="Y30" s="8"/>
      <c r="Z30" s="8"/>
      <c r="AA30" s="8"/>
      <c r="AB30" s="8"/>
      <c r="AI30" s="9"/>
      <c r="AJ30" s="6"/>
      <c r="AK30" s="6"/>
      <c r="AL30" s="6"/>
      <c r="AM30" s="6"/>
      <c r="AN30" s="6"/>
      <c r="AO30" s="6"/>
    </row>
    <row r="31" spans="2:41" ht="12.75" customHeight="1">
      <c r="B31" s="21"/>
      <c r="C31" s="54"/>
      <c r="D31" s="133" t="s">
        <v>22</v>
      </c>
      <c r="E31" s="64"/>
      <c r="F31" s="91" t="s">
        <v>21</v>
      </c>
      <c r="G31" s="91" t="s">
        <v>105</v>
      </c>
      <c r="H31" s="61"/>
      <c r="I31" s="62"/>
      <c r="J31" s="62"/>
      <c r="K31" s="62"/>
      <c r="L31" s="62"/>
      <c r="M31" s="61"/>
      <c r="N31" s="62"/>
      <c r="O31" s="62"/>
      <c r="P31" s="62"/>
      <c r="Q31" s="63"/>
      <c r="R31" s="40"/>
      <c r="S31" s="10"/>
      <c r="T31" s="8"/>
      <c r="U31" s="8"/>
      <c r="V31" s="8"/>
      <c r="W31" s="8"/>
      <c r="X31" s="8"/>
      <c r="Y31" s="8"/>
      <c r="Z31" s="8"/>
      <c r="AA31" s="8"/>
      <c r="AB31" s="8"/>
      <c r="AI31" s="9"/>
      <c r="AJ31" s="6"/>
      <c r="AK31" s="6"/>
      <c r="AL31" s="6"/>
      <c r="AM31" s="6"/>
      <c r="AN31" s="6"/>
      <c r="AO31" s="6"/>
    </row>
    <row r="32" spans="2:41" ht="12.75">
      <c r="B32" s="21"/>
      <c r="C32" s="54"/>
      <c r="D32" s="65" t="str">
        <f>+D25</f>
        <v>SO</v>
      </c>
      <c r="E32" s="65" t="str">
        <f>E25</f>
        <v>ZMLK</v>
      </c>
      <c r="F32" s="66" t="str">
        <f aca="true" t="shared" si="1" ref="F32:I35">+F25</f>
        <v>nee</v>
      </c>
      <c r="G32" s="85" t="str">
        <f t="shared" si="1"/>
        <v>nee</v>
      </c>
      <c r="H32" s="67"/>
      <c r="I32" s="85">
        <f>+I25</f>
        <v>35</v>
      </c>
      <c r="J32" s="85">
        <f>+J25</f>
        <v>65</v>
      </c>
      <c r="K32" s="95">
        <f>SUM(I32:J32)+N32</f>
        <v>100</v>
      </c>
      <c r="L32" s="85">
        <f>+L25</f>
        <v>0</v>
      </c>
      <c r="M32" s="67"/>
      <c r="N32" s="85">
        <f>+N25</f>
        <v>0</v>
      </c>
      <c r="O32" s="85">
        <f>+O25</f>
        <v>0</v>
      </c>
      <c r="P32" s="85">
        <f>+P25</f>
        <v>0</v>
      </c>
      <c r="Q32" s="69"/>
      <c r="R32" s="41"/>
      <c r="S32" s="13"/>
      <c r="AE32" s="231">
        <f>IF(D32=0,0,VLOOKUP(E32,Groepsgrootte,IF(D32="SO",2,3),FALSE))</f>
        <v>12</v>
      </c>
      <c r="AF32" s="231">
        <f>IF(AE32=0,0,ROUNDUP(IF(D32="SO",(K32+IF(AND(G33="ja",D33="SO"),K33,0)+IF(AND(G34="ja",D34="SO"),K34,0)+IF(AND(G35="ja",D35="SO"),K35,0)),(K32+IF(AND(G33="ja",D33="VSO"),K33,0)+IF(AND(G34="ja",D34="VSO"),K34,0)+IF(AND(G35="ja",D35="VSO"),K35,0)))/AE32,0))</f>
        <v>9</v>
      </c>
      <c r="AH32" s="231">
        <f>+K32-N32</f>
        <v>100</v>
      </c>
      <c r="AI32" s="9"/>
      <c r="AJ32" s="6"/>
      <c r="AK32" s="6"/>
      <c r="AL32" s="6"/>
      <c r="AM32" s="6"/>
      <c r="AN32" s="6"/>
      <c r="AO32" s="6"/>
    </row>
    <row r="33" spans="2:41" ht="12.75">
      <c r="B33" s="21"/>
      <c r="C33" s="54"/>
      <c r="D33" s="65" t="str">
        <f>+D26</f>
        <v>VSO</v>
      </c>
      <c r="E33" s="65" t="str">
        <f>E26</f>
        <v>ZMLK</v>
      </c>
      <c r="F33" s="66" t="str">
        <f t="shared" si="1"/>
        <v>nee</v>
      </c>
      <c r="G33" s="85" t="str">
        <f t="shared" si="1"/>
        <v>nee</v>
      </c>
      <c r="H33" s="67"/>
      <c r="I33" s="85">
        <f t="shared" si="1"/>
        <v>0</v>
      </c>
      <c r="J33" s="85">
        <f>+J26</f>
        <v>10</v>
      </c>
      <c r="K33" s="95">
        <f>SUM(I33:J33)+N33</f>
        <v>10</v>
      </c>
      <c r="L33" s="85">
        <f aca="true" t="shared" si="2" ref="L33:P35">+L26</f>
        <v>0</v>
      </c>
      <c r="M33" s="67"/>
      <c r="N33" s="85">
        <f t="shared" si="2"/>
        <v>0</v>
      </c>
      <c r="O33" s="85">
        <f t="shared" si="2"/>
        <v>0</v>
      </c>
      <c r="P33" s="85">
        <f t="shared" si="2"/>
        <v>0</v>
      </c>
      <c r="Q33" s="69"/>
      <c r="R33" s="41"/>
      <c r="S33" s="13"/>
      <c r="AE33" s="231">
        <f>IF(D33=0,0,VLOOKUP(E33,Groepsgrootte,IF(D33="SO",2,3),FALSE))</f>
        <v>7</v>
      </c>
      <c r="AF33" s="231">
        <f>IF(AE33=0,0,ROUNDUP(IF(G33="ja",0,IF(D33="SO",K33,(K33+IF(AND(G34="ja",D34="VSO"),K34,0)+IF(AND(G35="ja",D35="VSO"),K35,0))))/AE33,0))</f>
        <v>2</v>
      </c>
      <c r="AH33" s="231">
        <f>+K33-N33</f>
        <v>10</v>
      </c>
      <c r="AI33" s="9"/>
      <c r="AJ33" s="6"/>
      <c r="AK33" s="6"/>
      <c r="AL33" s="6"/>
      <c r="AM33" s="6"/>
      <c r="AN33" s="6"/>
      <c r="AO33" s="6"/>
    </row>
    <row r="34" spans="2:41" ht="12.75">
      <c r="B34" s="21"/>
      <c r="C34" s="54"/>
      <c r="D34" s="65">
        <f>+D27</f>
        <v>0</v>
      </c>
      <c r="E34" s="65">
        <f>E27</f>
        <v>0</v>
      </c>
      <c r="F34" s="66" t="str">
        <f t="shared" si="1"/>
        <v>nee</v>
      </c>
      <c r="G34" s="85" t="str">
        <f t="shared" si="1"/>
        <v>nee</v>
      </c>
      <c r="H34" s="67"/>
      <c r="I34" s="85">
        <f t="shared" si="1"/>
        <v>0</v>
      </c>
      <c r="J34" s="85">
        <f>+J27</f>
        <v>0</v>
      </c>
      <c r="K34" s="95">
        <f>SUM(I34:J34)+N34</f>
        <v>0</v>
      </c>
      <c r="L34" s="85">
        <f t="shared" si="2"/>
        <v>0</v>
      </c>
      <c r="M34" s="67"/>
      <c r="N34" s="85">
        <f t="shared" si="2"/>
        <v>0</v>
      </c>
      <c r="O34" s="85">
        <f t="shared" si="2"/>
        <v>0</v>
      </c>
      <c r="P34" s="85">
        <f t="shared" si="2"/>
        <v>0</v>
      </c>
      <c r="Q34" s="69"/>
      <c r="R34" s="41"/>
      <c r="S34" s="13"/>
      <c r="AE34" s="231">
        <f>IF(D34=0,0,VLOOKUP(E34,Groepsgrootte,IF(D34="SO",2,3),FALSE))</f>
        <v>0</v>
      </c>
      <c r="AF34" s="231">
        <f>IF(AE34=0,0,ROUNDUP(IF(G34="ja",0,IF(D34="SO",K34,(K34+IF(AND(G35="ja",D35="VSO",D33="SO"),K35,0))))/AE34,0))</f>
        <v>0</v>
      </c>
      <c r="AH34" s="231">
        <f>+K34-N34</f>
        <v>0</v>
      </c>
      <c r="AI34" s="9"/>
      <c r="AJ34" s="6"/>
      <c r="AK34" s="6"/>
      <c r="AL34" s="6"/>
      <c r="AM34" s="6"/>
      <c r="AN34" s="6"/>
      <c r="AO34" s="6"/>
    </row>
    <row r="35" spans="2:41" ht="12.75">
      <c r="B35" s="21"/>
      <c r="C35" s="54"/>
      <c r="D35" s="65">
        <f>+D28</f>
        <v>0</v>
      </c>
      <c r="E35" s="65">
        <f>E28</f>
        <v>0</v>
      </c>
      <c r="F35" s="66" t="str">
        <f t="shared" si="1"/>
        <v>nee</v>
      </c>
      <c r="G35" s="85" t="str">
        <f t="shared" si="1"/>
        <v>nee</v>
      </c>
      <c r="H35" s="67"/>
      <c r="I35" s="85">
        <f t="shared" si="1"/>
        <v>0</v>
      </c>
      <c r="J35" s="85">
        <f>+J28</f>
        <v>0</v>
      </c>
      <c r="K35" s="95">
        <f>SUM(I35:J35)+N35</f>
        <v>0</v>
      </c>
      <c r="L35" s="85">
        <f t="shared" si="2"/>
        <v>0</v>
      </c>
      <c r="M35" s="67"/>
      <c r="N35" s="85">
        <f t="shared" si="2"/>
        <v>0</v>
      </c>
      <c r="O35" s="85">
        <f t="shared" si="2"/>
        <v>0</v>
      </c>
      <c r="P35" s="85">
        <f t="shared" si="2"/>
        <v>0</v>
      </c>
      <c r="Q35" s="69"/>
      <c r="R35" s="41"/>
      <c r="S35" s="13"/>
      <c r="AE35" s="231">
        <f>IF(D35=0,0,VLOOKUP(E35,Groepsgrootte,IF(D35="SO",2,3),FALSE))</f>
        <v>0</v>
      </c>
      <c r="AF35" s="231">
        <f>IF(G35="ja",0,IF(AE35=0,0,ROUNDUP(K35/AE35,0)))</f>
        <v>0</v>
      </c>
      <c r="AH35" s="231">
        <f>+K35-N35</f>
        <v>0</v>
      </c>
      <c r="AI35" s="9"/>
      <c r="AJ35" s="6"/>
      <c r="AK35" s="6"/>
      <c r="AL35" s="6"/>
      <c r="AM35" s="6"/>
      <c r="AN35" s="6"/>
      <c r="AO35" s="6"/>
    </row>
    <row r="36" spans="2:41" ht="12.75">
      <c r="B36" s="21"/>
      <c r="C36" s="54"/>
      <c r="D36" s="60"/>
      <c r="E36" s="64"/>
      <c r="F36" s="56"/>
      <c r="G36" s="56"/>
      <c r="H36" s="57"/>
      <c r="I36" s="68">
        <f>SUM(I32:I35)</f>
        <v>35</v>
      </c>
      <c r="J36" s="68">
        <f>SUM(J32:J35)</f>
        <v>75</v>
      </c>
      <c r="K36" s="68">
        <f>SUM(K32:K35)</f>
        <v>110</v>
      </c>
      <c r="L36" s="68">
        <f>SUM(L32:L35)</f>
        <v>0</v>
      </c>
      <c r="M36" s="61"/>
      <c r="N36" s="68">
        <f>SUM(N32:N35)</f>
        <v>0</v>
      </c>
      <c r="O36" s="68">
        <f>SUM(O32:O35)</f>
        <v>0</v>
      </c>
      <c r="P36" s="68">
        <f>SUM(P32:P35)</f>
        <v>0</v>
      </c>
      <c r="Q36" s="59"/>
      <c r="R36" s="25"/>
      <c r="AI36" s="9"/>
      <c r="AJ36" s="6"/>
      <c r="AK36" s="6"/>
      <c r="AL36" s="6"/>
      <c r="AM36" s="6"/>
      <c r="AN36" s="6"/>
      <c r="AO36" s="6"/>
    </row>
    <row r="37" spans="2:41" ht="12.75">
      <c r="B37" s="21"/>
      <c r="C37" s="71"/>
      <c r="D37" s="72"/>
      <c r="E37" s="73"/>
      <c r="F37" s="74"/>
      <c r="G37" s="74"/>
      <c r="H37" s="75"/>
      <c r="I37" s="74"/>
      <c r="J37" s="74"/>
      <c r="K37" s="87"/>
      <c r="L37" s="74"/>
      <c r="M37" s="75"/>
      <c r="N37" s="74"/>
      <c r="O37" s="74"/>
      <c r="P37" s="74"/>
      <c r="Q37" s="76"/>
      <c r="R37" s="25"/>
      <c r="AC37" s="231">
        <f>IF((K36-K29)&gt;I14/2,K36,K29)</f>
        <v>110</v>
      </c>
      <c r="AD37" s="234">
        <f>IF((K36-K29)&gt;I14/2,F30,F23)</f>
        <v>40452</v>
      </c>
      <c r="AI37" s="9"/>
      <c r="AJ37" s="6"/>
      <c r="AK37" s="6"/>
      <c r="AL37" s="6"/>
      <c r="AM37" s="6"/>
      <c r="AN37" s="6"/>
      <c r="AO37" s="6"/>
    </row>
    <row r="38" spans="2:41" ht="12.75">
      <c r="B38" s="21"/>
      <c r="C38" s="22"/>
      <c r="D38" s="36"/>
      <c r="E38" s="35"/>
      <c r="F38" s="24"/>
      <c r="G38" s="24"/>
      <c r="H38" s="22"/>
      <c r="I38" s="24"/>
      <c r="J38" s="24"/>
      <c r="K38" s="39"/>
      <c r="L38" s="24"/>
      <c r="M38" s="22"/>
      <c r="N38" s="24"/>
      <c r="O38" s="24"/>
      <c r="P38" s="24"/>
      <c r="Q38" s="22"/>
      <c r="R38" s="25"/>
      <c r="AD38" s="234"/>
      <c r="AI38" s="9"/>
      <c r="AJ38" s="6"/>
      <c r="AK38" s="6"/>
      <c r="AL38" s="6"/>
      <c r="AM38" s="6"/>
      <c r="AN38" s="6"/>
      <c r="AO38" s="6"/>
    </row>
    <row r="39" spans="2:41" ht="12.75">
      <c r="B39" s="21"/>
      <c r="C39" s="50"/>
      <c r="D39" s="78"/>
      <c r="E39" s="79"/>
      <c r="F39" s="51"/>
      <c r="G39" s="51"/>
      <c r="H39" s="52"/>
      <c r="I39" s="51"/>
      <c r="J39" s="51"/>
      <c r="K39" s="51"/>
      <c r="L39" s="51"/>
      <c r="M39" s="52"/>
      <c r="N39" s="51"/>
      <c r="O39" s="51"/>
      <c r="P39" s="51"/>
      <c r="Q39" s="53"/>
      <c r="R39" s="25"/>
      <c r="AD39" s="234"/>
      <c r="AI39" s="9"/>
      <c r="AJ39" s="6"/>
      <c r="AK39" s="6"/>
      <c r="AL39" s="6"/>
      <c r="AM39" s="6"/>
      <c r="AN39" s="6"/>
      <c r="AO39" s="6"/>
    </row>
    <row r="40" spans="2:41" ht="12.75">
      <c r="B40" s="21"/>
      <c r="C40" s="50"/>
      <c r="D40" s="227" t="s">
        <v>200</v>
      </c>
      <c r="E40" s="79"/>
      <c r="F40" s="228">
        <f>Hoofdafdeling!I8</f>
        <v>2012</v>
      </c>
      <c r="G40" s="51"/>
      <c r="H40" s="52"/>
      <c r="I40" s="51"/>
      <c r="J40" s="51"/>
      <c r="K40" s="51"/>
      <c r="L40" s="51"/>
      <c r="M40" s="52"/>
      <c r="N40" s="51"/>
      <c r="O40" s="51"/>
      <c r="P40" s="51"/>
      <c r="Q40" s="53"/>
      <c r="R40" s="25"/>
      <c r="AD40" s="234"/>
      <c r="AI40" s="9"/>
      <c r="AJ40" s="6"/>
      <c r="AK40" s="6"/>
      <c r="AL40" s="6"/>
      <c r="AM40" s="6"/>
      <c r="AN40" s="6"/>
      <c r="AO40" s="6"/>
    </row>
    <row r="41" spans="2:41" ht="12.75">
      <c r="B41" s="21"/>
      <c r="C41" s="54"/>
      <c r="D41" s="133" t="s">
        <v>228</v>
      </c>
      <c r="E41" s="133"/>
      <c r="F41" s="229">
        <f>VLOOKUP(tabellen!$B$2,schooljaren,3,FALSE)</f>
        <v>40817</v>
      </c>
      <c r="G41" s="91"/>
      <c r="H41" s="61"/>
      <c r="I41" s="60"/>
      <c r="J41" s="62"/>
      <c r="K41" s="62"/>
      <c r="L41" s="62"/>
      <c r="M41" s="61"/>
      <c r="N41" s="62"/>
      <c r="O41" s="62"/>
      <c r="P41" s="62"/>
      <c r="Q41" s="63"/>
      <c r="R41" s="40"/>
      <c r="S41" s="10"/>
      <c r="T41" s="8"/>
      <c r="U41" s="8"/>
      <c r="V41" s="8"/>
      <c r="W41" s="8"/>
      <c r="X41" s="8"/>
      <c r="Y41" s="8"/>
      <c r="Z41" s="8"/>
      <c r="AA41" s="8"/>
      <c r="AB41" s="8"/>
      <c r="AI41" s="9"/>
      <c r="AJ41" s="6"/>
      <c r="AK41" s="6"/>
      <c r="AL41" s="6"/>
      <c r="AM41" s="6"/>
      <c r="AN41" s="6"/>
      <c r="AO41" s="6"/>
    </row>
    <row r="42" spans="2:41" ht="12.75">
      <c r="B42" s="21"/>
      <c r="C42" s="54"/>
      <c r="D42" s="133" t="s">
        <v>22</v>
      </c>
      <c r="E42" s="226"/>
      <c r="F42" s="91" t="s">
        <v>21</v>
      </c>
      <c r="G42" s="91" t="s">
        <v>105</v>
      </c>
      <c r="H42" s="61"/>
      <c r="I42" s="62"/>
      <c r="J42" s="62"/>
      <c r="K42" s="62"/>
      <c r="L42" s="62"/>
      <c r="M42" s="61"/>
      <c r="N42" s="62"/>
      <c r="O42" s="62"/>
      <c r="P42" s="62"/>
      <c r="Q42" s="63"/>
      <c r="R42" s="40"/>
      <c r="S42" s="10"/>
      <c r="T42" s="8"/>
      <c r="U42" s="8"/>
      <c r="V42" s="8"/>
      <c r="W42" s="8"/>
      <c r="X42" s="8"/>
      <c r="Y42" s="8"/>
      <c r="Z42" s="8"/>
      <c r="AA42" s="8"/>
      <c r="AB42" s="8"/>
      <c r="AI42" s="9"/>
      <c r="AJ42" s="6"/>
      <c r="AK42" s="6"/>
      <c r="AL42" s="6"/>
      <c r="AM42" s="6"/>
      <c r="AN42" s="6"/>
      <c r="AO42" s="6"/>
    </row>
    <row r="43" spans="2:41" ht="12.75">
      <c r="B43" s="21"/>
      <c r="C43" s="54"/>
      <c r="D43" s="65" t="str">
        <f>+D25</f>
        <v>SO</v>
      </c>
      <c r="E43" s="65" t="str">
        <f>E25</f>
        <v>ZMLK</v>
      </c>
      <c r="F43" s="66" t="str">
        <f aca="true" t="shared" si="3" ref="F43:G46">+F25</f>
        <v>nee</v>
      </c>
      <c r="G43" s="85" t="str">
        <f t="shared" si="3"/>
        <v>nee</v>
      </c>
      <c r="H43" s="67"/>
      <c r="I43" s="85">
        <f aca="true" t="shared" si="4" ref="I43:J46">I25</f>
        <v>35</v>
      </c>
      <c r="J43" s="85">
        <f t="shared" si="4"/>
        <v>65</v>
      </c>
      <c r="K43" s="95">
        <f>SUM(I43:J43)+N43</f>
        <v>100</v>
      </c>
      <c r="L43" s="85">
        <f>L25</f>
        <v>0</v>
      </c>
      <c r="M43" s="67"/>
      <c r="N43" s="85">
        <f aca="true" t="shared" si="5" ref="N43:P44">+N32</f>
        <v>0</v>
      </c>
      <c r="O43" s="85">
        <f t="shared" si="5"/>
        <v>0</v>
      </c>
      <c r="P43" s="85">
        <f t="shared" si="5"/>
        <v>0</v>
      </c>
      <c r="Q43" s="69"/>
      <c r="R43" s="41"/>
      <c r="S43" s="13"/>
      <c r="AC43" s="231">
        <f>IF((K$54-K$47)&gt;I$14/2,K50,K43)</f>
        <v>100</v>
      </c>
      <c r="AE43" s="231">
        <f>IF(D43=0,0,VLOOKUP(E43,Groepsgrootte,IF(D43="SO",2,3),FALSE))</f>
        <v>12</v>
      </c>
      <c r="AF43" s="231">
        <f>IF(AE43=0,0,ROUNDUP(IF(D43="SO",(K43+IF(AND(G44="ja",D44="SO"),K44,0)+IF(AND(G45="ja",D45="SO"),K45,0)+IF(AND(G46="ja",D46="SO"),K46,0)),(K43+IF(AND(G44="ja",D44="VSO"),K44,0)+IF(AND(G45="ja",D45="VSO"),K45,0)+IF(AND(G46="ja",D46="VSO"),K46,0)))/AE43,0))</f>
        <v>9</v>
      </c>
      <c r="AH43" s="231">
        <f>+K43-N43</f>
        <v>100</v>
      </c>
      <c r="AI43" s="9"/>
      <c r="AJ43" s="6"/>
      <c r="AK43" s="6"/>
      <c r="AL43" s="6"/>
      <c r="AM43" s="6"/>
      <c r="AN43" s="6"/>
      <c r="AO43" s="6"/>
    </row>
    <row r="44" spans="2:41" ht="12.75">
      <c r="B44" s="21"/>
      <c r="C44" s="54"/>
      <c r="D44" s="65" t="str">
        <f>+D26</f>
        <v>VSO</v>
      </c>
      <c r="E44" s="65" t="str">
        <f>E26</f>
        <v>ZMLK</v>
      </c>
      <c r="F44" s="66" t="str">
        <f t="shared" si="3"/>
        <v>nee</v>
      </c>
      <c r="G44" s="85" t="str">
        <f t="shared" si="3"/>
        <v>nee</v>
      </c>
      <c r="H44" s="67"/>
      <c r="I44" s="85">
        <f t="shared" si="4"/>
        <v>0</v>
      </c>
      <c r="J44" s="85">
        <f t="shared" si="4"/>
        <v>10</v>
      </c>
      <c r="K44" s="95">
        <f>SUM(I44:J44)+N44</f>
        <v>10</v>
      </c>
      <c r="L44" s="85">
        <f>L26</f>
        <v>0</v>
      </c>
      <c r="M44" s="67"/>
      <c r="N44" s="85">
        <f t="shared" si="5"/>
        <v>0</v>
      </c>
      <c r="O44" s="85">
        <f t="shared" si="5"/>
        <v>0</v>
      </c>
      <c r="P44" s="85">
        <f t="shared" si="5"/>
        <v>0</v>
      </c>
      <c r="Q44" s="69"/>
      <c r="R44" s="41"/>
      <c r="S44" s="13"/>
      <c r="AC44" s="231">
        <f>IF((K$54-K$47)&gt;I$14/2,K51,K44)</f>
        <v>10</v>
      </c>
      <c r="AE44" s="231">
        <f>IF(D44=0,0,VLOOKUP(E44,Groepsgrootte,IF(D44="SO",2,3),FALSE))</f>
        <v>7</v>
      </c>
      <c r="AF44" s="231">
        <f>IF(AE44=0,0,ROUNDUP(IF(G44="ja",0,IF(D44="SO",K44,(K44+IF(AND(G45="ja",D45="VSO"),K45,0)+IF(AND(G46="ja",D46="VSO"),K46,0))))/AE44,0))</f>
        <v>2</v>
      </c>
      <c r="AH44" s="231">
        <f>+K44-N44</f>
        <v>10</v>
      </c>
      <c r="AI44" s="9"/>
      <c r="AJ44" s="6"/>
      <c r="AK44" s="6"/>
      <c r="AL44" s="6"/>
      <c r="AM44" s="6"/>
      <c r="AN44" s="6"/>
      <c r="AO44" s="6"/>
    </row>
    <row r="45" spans="2:41" ht="12" customHeight="1">
      <c r="B45" s="21"/>
      <c r="C45" s="54"/>
      <c r="D45" s="65">
        <f>+D27</f>
        <v>0</v>
      </c>
      <c r="E45" s="65">
        <f>E27</f>
        <v>0</v>
      </c>
      <c r="F45" s="66" t="str">
        <f t="shared" si="3"/>
        <v>nee</v>
      </c>
      <c r="G45" s="85" t="str">
        <f t="shared" si="3"/>
        <v>nee</v>
      </c>
      <c r="H45" s="67"/>
      <c r="I45" s="85">
        <f t="shared" si="4"/>
        <v>0</v>
      </c>
      <c r="J45" s="85">
        <f t="shared" si="4"/>
        <v>0</v>
      </c>
      <c r="K45" s="95">
        <f>SUM(I45:J45)+N45</f>
        <v>0</v>
      </c>
      <c r="L45" s="85">
        <f>L27</f>
        <v>0</v>
      </c>
      <c r="M45" s="67"/>
      <c r="N45" s="85">
        <f aca="true" t="shared" si="6" ref="N45:P46">+N34</f>
        <v>0</v>
      </c>
      <c r="O45" s="85">
        <f t="shared" si="6"/>
        <v>0</v>
      </c>
      <c r="P45" s="85">
        <f t="shared" si="6"/>
        <v>0</v>
      </c>
      <c r="Q45" s="69"/>
      <c r="R45" s="41"/>
      <c r="S45" s="13"/>
      <c r="AC45" s="231">
        <f>IF((K$54-K$47)&gt;I$14/2,K52,K45)</f>
        <v>0</v>
      </c>
      <c r="AE45" s="231">
        <f>IF(D45=0,0,VLOOKUP(E45,Groepsgrootte,IF(D45="SO",2,3),FALSE))</f>
        <v>0</v>
      </c>
      <c r="AF45" s="231">
        <f>IF(AE45=0,0,ROUNDUP(IF(G45="ja",0,IF(D45="SO",K45,(K45+IF(AND(G46="ja",D46="VSO",D44="SO"),K46,0))))/AE45,0))</f>
        <v>0</v>
      </c>
      <c r="AH45" s="231">
        <f>+K45-N45</f>
        <v>0</v>
      </c>
      <c r="AI45" s="9"/>
      <c r="AJ45" s="6"/>
      <c r="AK45" s="6"/>
      <c r="AL45" s="6"/>
      <c r="AM45" s="6"/>
      <c r="AN45" s="6"/>
      <c r="AO45" s="6"/>
    </row>
    <row r="46" spans="2:41" ht="12.75">
      <c r="B46" s="21"/>
      <c r="C46" s="54"/>
      <c r="D46" s="65">
        <f>+D28</f>
        <v>0</v>
      </c>
      <c r="E46" s="65">
        <f>E28</f>
        <v>0</v>
      </c>
      <c r="F46" s="66" t="str">
        <f t="shared" si="3"/>
        <v>nee</v>
      </c>
      <c r="G46" s="85" t="str">
        <f t="shared" si="3"/>
        <v>nee</v>
      </c>
      <c r="H46" s="67"/>
      <c r="I46" s="85">
        <f t="shared" si="4"/>
        <v>0</v>
      </c>
      <c r="J46" s="85">
        <f t="shared" si="4"/>
        <v>0</v>
      </c>
      <c r="K46" s="95">
        <f>SUM(I46:J46)+N46</f>
        <v>0</v>
      </c>
      <c r="L46" s="85">
        <f>L28</f>
        <v>0</v>
      </c>
      <c r="M46" s="67"/>
      <c r="N46" s="85">
        <f t="shared" si="6"/>
        <v>0</v>
      </c>
      <c r="O46" s="85">
        <f t="shared" si="6"/>
        <v>0</v>
      </c>
      <c r="P46" s="85">
        <f t="shared" si="6"/>
        <v>0</v>
      </c>
      <c r="Q46" s="69"/>
      <c r="R46" s="41"/>
      <c r="S46" s="13"/>
      <c r="AC46" s="231">
        <f>IF((K$54-K$47)&gt;I$14/2,K53,K46)</f>
        <v>0</v>
      </c>
      <c r="AE46" s="231">
        <f>IF(D46=0,0,VLOOKUP(E46,Groepsgrootte,IF(D46="SO",2,3),FALSE))</f>
        <v>0</v>
      </c>
      <c r="AF46" s="231">
        <f>IF(G46="ja",0,IF(AE46=0,0,ROUNDUP(K46/AE46,0)))</f>
        <v>0</v>
      </c>
      <c r="AH46" s="231">
        <f>+K46-N46</f>
        <v>0</v>
      </c>
      <c r="AI46" s="9"/>
      <c r="AJ46" s="6"/>
      <c r="AK46" s="6"/>
      <c r="AL46" s="6"/>
      <c r="AM46" s="6"/>
      <c r="AN46" s="6"/>
      <c r="AO46" s="6"/>
    </row>
    <row r="47" spans="2:41" ht="12" customHeight="1">
      <c r="B47" s="21"/>
      <c r="C47" s="54"/>
      <c r="D47" s="60"/>
      <c r="E47" s="64"/>
      <c r="F47" s="56"/>
      <c r="G47" s="56"/>
      <c r="H47" s="57"/>
      <c r="I47" s="68">
        <f>SUM(I43:I46)</f>
        <v>35</v>
      </c>
      <c r="J47" s="68">
        <f>SUM(J43:J46)</f>
        <v>75</v>
      </c>
      <c r="K47" s="68">
        <f>SUM(K43:K46)</f>
        <v>110</v>
      </c>
      <c r="L47" s="68">
        <f>SUM(L43:L46)</f>
        <v>0</v>
      </c>
      <c r="M47" s="61"/>
      <c r="N47" s="68">
        <f>SUM(N43:N46)</f>
        <v>0</v>
      </c>
      <c r="O47" s="68">
        <f>SUM(O43:O46)</f>
        <v>0</v>
      </c>
      <c r="P47" s="68">
        <f>SUM(P43:P46)</f>
        <v>0</v>
      </c>
      <c r="Q47" s="59"/>
      <c r="R47" s="25"/>
      <c r="AI47" s="9"/>
      <c r="AJ47" s="6"/>
      <c r="AK47" s="6"/>
      <c r="AL47" s="6"/>
      <c r="AM47" s="6"/>
      <c r="AN47" s="6"/>
      <c r="AO47" s="6"/>
    </row>
    <row r="48" spans="2:41" ht="12" customHeight="1">
      <c r="B48" s="21"/>
      <c r="C48" s="54"/>
      <c r="D48" s="133" t="s">
        <v>228</v>
      </c>
      <c r="E48" s="55"/>
      <c r="F48" s="229">
        <f>VLOOKUP(tabellen!$B$2,schooljaren,4,FALSE)</f>
        <v>40924</v>
      </c>
      <c r="G48" s="91"/>
      <c r="H48" s="61"/>
      <c r="I48" s="60"/>
      <c r="J48" s="62"/>
      <c r="K48" s="62"/>
      <c r="L48" s="62"/>
      <c r="M48" s="61"/>
      <c r="N48" s="62"/>
      <c r="O48" s="62"/>
      <c r="P48" s="62"/>
      <c r="Q48" s="63"/>
      <c r="R48" s="40"/>
      <c r="S48" s="10"/>
      <c r="T48" s="8"/>
      <c r="U48" s="8"/>
      <c r="V48" s="8"/>
      <c r="W48" s="8"/>
      <c r="X48" s="8"/>
      <c r="Y48" s="8"/>
      <c r="Z48" s="8"/>
      <c r="AA48" s="8"/>
      <c r="AB48" s="8"/>
      <c r="AI48" s="9"/>
      <c r="AJ48" s="6"/>
      <c r="AK48" s="6"/>
      <c r="AL48" s="6"/>
      <c r="AM48" s="6"/>
      <c r="AN48" s="6"/>
      <c r="AO48" s="6"/>
    </row>
    <row r="49" spans="2:41" ht="12" customHeight="1">
      <c r="B49" s="21"/>
      <c r="C49" s="54"/>
      <c r="D49" s="133" t="s">
        <v>22</v>
      </c>
      <c r="E49" s="64"/>
      <c r="F49" s="91" t="s">
        <v>21</v>
      </c>
      <c r="G49" s="91" t="s">
        <v>105</v>
      </c>
      <c r="H49" s="61"/>
      <c r="I49" s="62"/>
      <c r="J49" s="62"/>
      <c r="K49" s="62"/>
      <c r="L49" s="62"/>
      <c r="M49" s="61"/>
      <c r="N49" s="62"/>
      <c r="O49" s="62"/>
      <c r="P49" s="62"/>
      <c r="Q49" s="63"/>
      <c r="R49" s="40"/>
      <c r="S49" s="10"/>
      <c r="T49" s="8"/>
      <c r="U49" s="8"/>
      <c r="V49" s="8"/>
      <c r="W49" s="8"/>
      <c r="X49" s="8"/>
      <c r="Y49" s="8"/>
      <c r="Z49" s="8"/>
      <c r="AA49" s="8"/>
      <c r="AB49" s="8"/>
      <c r="AI49" s="9"/>
      <c r="AJ49" s="6"/>
      <c r="AK49" s="6"/>
      <c r="AL49" s="6"/>
      <c r="AM49" s="6"/>
      <c r="AN49" s="6"/>
      <c r="AO49" s="6"/>
    </row>
    <row r="50" spans="2:41" ht="12.75">
      <c r="B50" s="21"/>
      <c r="C50" s="54"/>
      <c r="D50" s="65" t="str">
        <f aca="true" t="shared" si="7" ref="D50:G53">+D32</f>
        <v>SO</v>
      </c>
      <c r="E50" s="65" t="str">
        <f>E43</f>
        <v>ZMLK</v>
      </c>
      <c r="F50" s="66" t="str">
        <f t="shared" si="7"/>
        <v>nee</v>
      </c>
      <c r="G50" s="85" t="str">
        <f t="shared" si="7"/>
        <v>nee</v>
      </c>
      <c r="H50" s="67"/>
      <c r="I50" s="85">
        <f>+I43</f>
        <v>35</v>
      </c>
      <c r="J50" s="85">
        <f aca="true" t="shared" si="8" ref="I50:J53">+J43</f>
        <v>65</v>
      </c>
      <c r="K50" s="95">
        <f>SUM(I50:J50)+N50</f>
        <v>100</v>
      </c>
      <c r="L50" s="85">
        <f aca="true" t="shared" si="9" ref="L50:P53">+L43</f>
        <v>0</v>
      </c>
      <c r="M50" s="67"/>
      <c r="N50" s="85">
        <f t="shared" si="9"/>
        <v>0</v>
      </c>
      <c r="O50" s="85">
        <f t="shared" si="9"/>
        <v>0</v>
      </c>
      <c r="P50" s="85">
        <f t="shared" si="9"/>
        <v>0</v>
      </c>
      <c r="Q50" s="69"/>
      <c r="R50" s="41"/>
      <c r="S50" s="13"/>
      <c r="AE50" s="231">
        <f>IF(D50=0,0,VLOOKUP(E50,Groepsgrootte,IF(D50="SO",2,3),FALSE))</f>
        <v>12</v>
      </c>
      <c r="AF50" s="231">
        <f>IF(AE50=0,0,ROUNDUP(IF(D50="SO",(K50+IF(AND(G51="ja",D51="SO"),K51,0)+IF(AND(G52="ja",D52="SO"),K52,0)+IF(AND(G53="ja",D53="SO"),K53,0)),(K50+IF(AND(G51="ja",D51="VSO"),K51,0)+IF(AND(G52="ja",D52="VSO"),K52,0)+IF(AND(G53="ja",D53="VSO"),K53,0)))/AE50,0))</f>
        <v>9</v>
      </c>
      <c r="AH50" s="231">
        <f>+K50-N50</f>
        <v>100</v>
      </c>
      <c r="AI50" s="9"/>
      <c r="AJ50" s="6"/>
      <c r="AK50" s="6"/>
      <c r="AL50" s="6"/>
      <c r="AM50" s="6"/>
      <c r="AN50" s="6"/>
      <c r="AO50" s="6"/>
    </row>
    <row r="51" spans="2:46" ht="12.75">
      <c r="B51" s="21"/>
      <c r="C51" s="54"/>
      <c r="D51" s="65" t="str">
        <f t="shared" si="7"/>
        <v>VSO</v>
      </c>
      <c r="E51" s="65" t="str">
        <f>E44</f>
        <v>ZMLK</v>
      </c>
      <c r="F51" s="66" t="str">
        <f t="shared" si="7"/>
        <v>nee</v>
      </c>
      <c r="G51" s="85" t="str">
        <f t="shared" si="7"/>
        <v>nee</v>
      </c>
      <c r="H51" s="67"/>
      <c r="I51" s="85">
        <f t="shared" si="8"/>
        <v>0</v>
      </c>
      <c r="J51" s="85">
        <f t="shared" si="8"/>
        <v>10</v>
      </c>
      <c r="K51" s="95">
        <f>SUM(I51:J51)+N51</f>
        <v>10</v>
      </c>
      <c r="L51" s="85">
        <f t="shared" si="9"/>
        <v>0</v>
      </c>
      <c r="M51" s="67"/>
      <c r="N51" s="85">
        <f t="shared" si="9"/>
        <v>0</v>
      </c>
      <c r="O51" s="85">
        <f t="shared" si="9"/>
        <v>0</v>
      </c>
      <c r="P51" s="85">
        <f t="shared" si="9"/>
        <v>0</v>
      </c>
      <c r="Q51" s="69"/>
      <c r="R51" s="41"/>
      <c r="S51" s="13"/>
      <c r="AE51" s="231">
        <f>IF(D51=0,0,VLOOKUP(E51,Groepsgrootte,IF(D51="SO",2,3),FALSE))</f>
        <v>7</v>
      </c>
      <c r="AF51" s="231">
        <f>IF(AE51=0,0,ROUNDUP(IF(G51="ja",0,IF(D51="SO",K51,(K51+IF(AND(G52="ja",D52="VSO"),K52,0)+IF(AND(G53="ja",D53="VSO"),K53,0))))/AE51,0))</f>
        <v>2</v>
      </c>
      <c r="AH51" s="231">
        <f>+K51-N51</f>
        <v>10</v>
      </c>
      <c r="AI51" s="9"/>
      <c r="AJ51" s="6"/>
      <c r="AK51" s="6"/>
      <c r="AL51" s="6"/>
      <c r="AM51" s="6"/>
      <c r="AN51" s="6"/>
      <c r="AO51" s="6"/>
      <c r="AP51" s="6"/>
      <c r="AQ51" s="6"/>
      <c r="AR51" s="6"/>
      <c r="AS51" s="6"/>
      <c r="AT51" s="6"/>
    </row>
    <row r="52" spans="2:46" ht="12.75">
      <c r="B52" s="21"/>
      <c r="C52" s="54"/>
      <c r="D52" s="65">
        <f t="shared" si="7"/>
        <v>0</v>
      </c>
      <c r="E52" s="65">
        <f>E45</f>
        <v>0</v>
      </c>
      <c r="F52" s="66" t="str">
        <f t="shared" si="7"/>
        <v>nee</v>
      </c>
      <c r="G52" s="85" t="str">
        <f t="shared" si="7"/>
        <v>nee</v>
      </c>
      <c r="H52" s="67"/>
      <c r="I52" s="85">
        <f t="shared" si="8"/>
        <v>0</v>
      </c>
      <c r="J52" s="85">
        <f t="shared" si="8"/>
        <v>0</v>
      </c>
      <c r="K52" s="95">
        <f>SUM(I52:J52)+N52</f>
        <v>0</v>
      </c>
      <c r="L52" s="85">
        <f t="shared" si="9"/>
        <v>0</v>
      </c>
      <c r="M52" s="67"/>
      <c r="N52" s="85">
        <f t="shared" si="9"/>
        <v>0</v>
      </c>
      <c r="O52" s="85">
        <f t="shared" si="9"/>
        <v>0</v>
      </c>
      <c r="P52" s="85">
        <f t="shared" si="9"/>
        <v>0</v>
      </c>
      <c r="Q52" s="69"/>
      <c r="R52" s="41"/>
      <c r="S52" s="13"/>
      <c r="AE52" s="231">
        <f>IF(D52=0,0,VLOOKUP(E52,Groepsgrootte,IF(D52="SO",2,3),FALSE))</f>
        <v>0</v>
      </c>
      <c r="AF52" s="231">
        <f>IF(AE52=0,0,ROUNDUP(IF(G52="ja",0,IF(D52="SO",K52,(K52+IF(AND(G53="ja",D53="VSO",D51="SO"),K53,0))))/AE52,0))</f>
        <v>0</v>
      </c>
      <c r="AH52" s="231">
        <f>+K52-N52</f>
        <v>0</v>
      </c>
      <c r="AI52" s="9"/>
      <c r="AJ52" s="6"/>
      <c r="AK52" s="6"/>
      <c r="AL52" s="6"/>
      <c r="AM52" s="6"/>
      <c r="AN52" s="6"/>
      <c r="AO52" s="6"/>
      <c r="AP52" s="6"/>
      <c r="AQ52" s="6"/>
      <c r="AR52" s="6"/>
      <c r="AS52" s="6"/>
      <c r="AT52" s="6"/>
    </row>
    <row r="53" spans="2:46" ht="12.75">
      <c r="B53" s="21"/>
      <c r="C53" s="54"/>
      <c r="D53" s="65">
        <f t="shared" si="7"/>
        <v>0</v>
      </c>
      <c r="E53" s="65">
        <f>E46</f>
        <v>0</v>
      </c>
      <c r="F53" s="66" t="str">
        <f t="shared" si="7"/>
        <v>nee</v>
      </c>
      <c r="G53" s="85" t="str">
        <f t="shared" si="7"/>
        <v>nee</v>
      </c>
      <c r="H53" s="67"/>
      <c r="I53" s="85">
        <f t="shared" si="8"/>
        <v>0</v>
      </c>
      <c r="J53" s="85">
        <f t="shared" si="8"/>
        <v>0</v>
      </c>
      <c r="K53" s="95">
        <f>SUM(I53:J53)+N53</f>
        <v>0</v>
      </c>
      <c r="L53" s="85">
        <f t="shared" si="9"/>
        <v>0</v>
      </c>
      <c r="M53" s="67"/>
      <c r="N53" s="85">
        <f t="shared" si="9"/>
        <v>0</v>
      </c>
      <c r="O53" s="85">
        <f t="shared" si="9"/>
        <v>0</v>
      </c>
      <c r="P53" s="85">
        <f t="shared" si="9"/>
        <v>0</v>
      </c>
      <c r="Q53" s="69"/>
      <c r="R53" s="41"/>
      <c r="S53" s="13"/>
      <c r="AE53" s="231">
        <f>IF(D53=0,0,VLOOKUP(E53,Groepsgrootte,IF(D53="SO",2,3),FALSE))</f>
        <v>0</v>
      </c>
      <c r="AF53" s="231">
        <f>IF(G53="ja",0,IF(AE53=0,0,ROUNDUP(K53/AE53,0)))</f>
        <v>0</v>
      </c>
      <c r="AH53" s="231">
        <f>+K53-N53</f>
        <v>0</v>
      </c>
      <c r="AI53" s="9"/>
      <c r="AJ53" s="6"/>
      <c r="AK53" s="6"/>
      <c r="AL53" s="6"/>
      <c r="AM53" s="6"/>
      <c r="AN53" s="6"/>
      <c r="AO53" s="6"/>
      <c r="AP53" s="6"/>
      <c r="AQ53" s="6"/>
      <c r="AR53" s="6"/>
      <c r="AS53" s="6"/>
      <c r="AT53" s="6"/>
    </row>
    <row r="54" spans="2:46" ht="12.75">
      <c r="B54" s="21"/>
      <c r="C54" s="54"/>
      <c r="D54" s="60"/>
      <c r="E54" s="64"/>
      <c r="F54" s="56"/>
      <c r="G54" s="56"/>
      <c r="H54" s="57"/>
      <c r="I54" s="68">
        <f>SUM(I50:I53)</f>
        <v>35</v>
      </c>
      <c r="J54" s="68">
        <f>SUM(J50:J53)</f>
        <v>75</v>
      </c>
      <c r="K54" s="68">
        <f>SUM(K50:K53)</f>
        <v>110</v>
      </c>
      <c r="L54" s="68">
        <f>SUM(L50:L53)</f>
        <v>0</v>
      </c>
      <c r="M54" s="61"/>
      <c r="N54" s="68">
        <f>SUM(N50:N53)</f>
        <v>0</v>
      </c>
      <c r="O54" s="68">
        <f>SUM(O50:O53)</f>
        <v>0</v>
      </c>
      <c r="P54" s="68">
        <f>SUM(P50:P53)</f>
        <v>0</v>
      </c>
      <c r="Q54" s="59"/>
      <c r="R54" s="25"/>
      <c r="AI54" s="9"/>
      <c r="AJ54" s="6"/>
      <c r="AK54" s="6"/>
      <c r="AL54" s="6"/>
      <c r="AM54" s="6"/>
      <c r="AN54" s="6"/>
      <c r="AO54" s="6"/>
      <c r="AP54" s="6"/>
      <c r="AQ54" s="6"/>
      <c r="AR54" s="6"/>
      <c r="AS54" s="6"/>
      <c r="AT54" s="6"/>
    </row>
    <row r="55" spans="2:46" ht="12.75">
      <c r="B55" s="21"/>
      <c r="C55" s="71"/>
      <c r="D55" s="72"/>
      <c r="E55" s="73"/>
      <c r="F55" s="74"/>
      <c r="G55" s="74"/>
      <c r="H55" s="75"/>
      <c r="I55" s="74"/>
      <c r="J55" s="74"/>
      <c r="K55" s="87"/>
      <c r="L55" s="74"/>
      <c r="M55" s="75"/>
      <c r="N55" s="74"/>
      <c r="O55" s="74"/>
      <c r="P55" s="74"/>
      <c r="Q55" s="76"/>
      <c r="R55" s="25"/>
      <c r="AC55" s="231">
        <f>IF((K54-K47)&gt;F36/2,K54,K47)</f>
        <v>110</v>
      </c>
      <c r="AD55" s="234">
        <f>IF((K54-K47)&gt;I14/2,F48,F41)</f>
        <v>40817</v>
      </c>
      <c r="AI55" s="9"/>
      <c r="AJ55" s="6"/>
      <c r="AK55" s="6"/>
      <c r="AL55" s="6"/>
      <c r="AM55" s="6"/>
      <c r="AN55" s="6"/>
      <c r="AO55" s="6"/>
      <c r="AP55" s="6"/>
      <c r="AQ55" s="6"/>
      <c r="AR55" s="6"/>
      <c r="AS55" s="6"/>
      <c r="AT55" s="6"/>
    </row>
    <row r="56" spans="2:46" ht="12.75">
      <c r="B56" s="21"/>
      <c r="C56" s="22"/>
      <c r="D56" s="36"/>
      <c r="E56" s="35"/>
      <c r="F56" s="24"/>
      <c r="G56" s="24"/>
      <c r="H56" s="22"/>
      <c r="I56" s="24"/>
      <c r="J56" s="24"/>
      <c r="K56" s="24"/>
      <c r="L56" s="24"/>
      <c r="M56" s="22"/>
      <c r="N56" s="24"/>
      <c r="O56" s="24"/>
      <c r="P56" s="24"/>
      <c r="Q56" s="22"/>
      <c r="R56" s="25"/>
      <c r="AD56" s="234"/>
      <c r="AI56" s="9"/>
      <c r="AJ56" s="6"/>
      <c r="AK56" s="6"/>
      <c r="AL56" s="6"/>
      <c r="AM56" s="6"/>
      <c r="AN56" s="6"/>
      <c r="AO56" s="6"/>
      <c r="AP56" s="6"/>
      <c r="AQ56" s="6"/>
      <c r="AR56" s="6"/>
      <c r="AS56" s="6"/>
      <c r="AT56" s="6"/>
    </row>
    <row r="57" spans="2:46" ht="12.75">
      <c r="B57" s="21"/>
      <c r="C57" s="50"/>
      <c r="D57" s="78"/>
      <c r="E57" s="79"/>
      <c r="F57" s="51"/>
      <c r="G57" s="51"/>
      <c r="H57" s="52"/>
      <c r="I57" s="51"/>
      <c r="J57" s="51"/>
      <c r="K57" s="51"/>
      <c r="L57" s="51"/>
      <c r="M57" s="52"/>
      <c r="N57" s="51"/>
      <c r="O57" s="51"/>
      <c r="P57" s="51"/>
      <c r="Q57" s="53"/>
      <c r="R57" s="25"/>
      <c r="AD57" s="234"/>
      <c r="AI57" s="9"/>
      <c r="AJ57" s="6"/>
      <c r="AK57" s="6"/>
      <c r="AL57" s="6"/>
      <c r="AM57" s="6"/>
      <c r="AN57" s="6"/>
      <c r="AO57" s="6"/>
      <c r="AP57" s="6"/>
      <c r="AQ57" s="6"/>
      <c r="AR57" s="6"/>
      <c r="AS57" s="6"/>
      <c r="AT57" s="6"/>
    </row>
    <row r="58" spans="2:46" ht="12.75">
      <c r="B58" s="21"/>
      <c r="C58" s="50"/>
      <c r="D58" s="227" t="s">
        <v>200</v>
      </c>
      <c r="E58" s="79"/>
      <c r="F58" s="228">
        <f>Hoofdafdeling!J8</f>
        <v>2013</v>
      </c>
      <c r="G58" s="51"/>
      <c r="H58" s="52"/>
      <c r="I58" s="51"/>
      <c r="J58" s="51"/>
      <c r="K58" s="51"/>
      <c r="L58" s="51"/>
      <c r="M58" s="52"/>
      <c r="N58" s="51"/>
      <c r="O58" s="51"/>
      <c r="P58" s="51"/>
      <c r="Q58" s="53"/>
      <c r="R58" s="25"/>
      <c r="AD58" s="234"/>
      <c r="AI58" s="9"/>
      <c r="AJ58" s="6"/>
      <c r="AK58" s="6"/>
      <c r="AL58" s="6"/>
      <c r="AM58" s="6"/>
      <c r="AN58" s="6"/>
      <c r="AO58" s="6"/>
      <c r="AP58" s="6"/>
      <c r="AQ58" s="6"/>
      <c r="AR58" s="6"/>
      <c r="AS58" s="6"/>
      <c r="AT58" s="6"/>
    </row>
    <row r="59" spans="2:46" ht="12.75">
      <c r="B59" s="21"/>
      <c r="C59" s="54"/>
      <c r="D59" s="133" t="s">
        <v>228</v>
      </c>
      <c r="E59" s="55"/>
      <c r="F59" s="229">
        <f>VLOOKUP(tabellen!$B$2+1,schooljaren,3,FALSE)</f>
        <v>41183</v>
      </c>
      <c r="G59" s="91"/>
      <c r="H59" s="61"/>
      <c r="I59" s="60"/>
      <c r="J59" s="62"/>
      <c r="K59" s="62"/>
      <c r="L59" s="62"/>
      <c r="M59" s="61"/>
      <c r="N59" s="62"/>
      <c r="O59" s="62"/>
      <c r="P59" s="62"/>
      <c r="Q59" s="63"/>
      <c r="R59" s="40"/>
      <c r="S59" s="10"/>
      <c r="T59" s="8"/>
      <c r="U59" s="8"/>
      <c r="V59" s="8"/>
      <c r="W59" s="8"/>
      <c r="X59" s="8"/>
      <c r="Y59" s="8"/>
      <c r="Z59" s="8"/>
      <c r="AA59" s="8"/>
      <c r="AB59" s="8"/>
      <c r="AI59" s="9"/>
      <c r="AJ59" s="6"/>
      <c r="AK59" s="6"/>
      <c r="AL59" s="6"/>
      <c r="AM59" s="6"/>
      <c r="AN59" s="6"/>
      <c r="AO59" s="6"/>
      <c r="AP59" s="6"/>
      <c r="AQ59" s="6"/>
      <c r="AR59" s="6"/>
      <c r="AS59" s="6"/>
      <c r="AT59" s="6"/>
    </row>
    <row r="60" spans="2:46" ht="12.75">
      <c r="B60" s="21"/>
      <c r="C60" s="54"/>
      <c r="D60" s="133" t="s">
        <v>22</v>
      </c>
      <c r="E60" s="64"/>
      <c r="F60" s="91" t="s">
        <v>21</v>
      </c>
      <c r="G60" s="91" t="s">
        <v>105</v>
      </c>
      <c r="H60" s="61"/>
      <c r="I60" s="62"/>
      <c r="J60" s="62"/>
      <c r="K60" s="62"/>
      <c r="L60" s="62"/>
      <c r="M60" s="61"/>
      <c r="N60" s="62"/>
      <c r="O60" s="62"/>
      <c r="P60" s="62"/>
      <c r="Q60" s="63"/>
      <c r="R60" s="40"/>
      <c r="S60" s="10"/>
      <c r="T60" s="8"/>
      <c r="U60" s="8"/>
      <c r="V60" s="8"/>
      <c r="W60" s="8"/>
      <c r="X60" s="8"/>
      <c r="Y60" s="8"/>
      <c r="Z60" s="8"/>
      <c r="AA60" s="8"/>
      <c r="AB60" s="8"/>
      <c r="AI60" s="9"/>
      <c r="AJ60" s="6"/>
      <c r="AK60" s="6"/>
      <c r="AL60" s="6"/>
      <c r="AM60" s="6"/>
      <c r="AN60" s="6"/>
      <c r="AO60" s="6"/>
      <c r="AP60" s="6"/>
      <c r="AQ60" s="6"/>
      <c r="AR60" s="6"/>
      <c r="AS60" s="6"/>
      <c r="AT60" s="6"/>
    </row>
    <row r="61" spans="2:46" ht="12.75">
      <c r="B61" s="21"/>
      <c r="C61" s="54"/>
      <c r="D61" s="65" t="str">
        <f aca="true" t="shared" si="10" ref="D61:G64">+D43</f>
        <v>SO</v>
      </c>
      <c r="E61" s="65" t="str">
        <f>E43</f>
        <v>ZMLK</v>
      </c>
      <c r="F61" s="66" t="str">
        <f t="shared" si="10"/>
        <v>nee</v>
      </c>
      <c r="G61" s="85" t="str">
        <f t="shared" si="10"/>
        <v>nee</v>
      </c>
      <c r="H61" s="67"/>
      <c r="I61" s="85">
        <f aca="true" t="shared" si="11" ref="I61:J64">I43</f>
        <v>35</v>
      </c>
      <c r="J61" s="85">
        <f t="shared" si="11"/>
        <v>65</v>
      </c>
      <c r="K61" s="95">
        <f>SUM(I61:J61)+N61</f>
        <v>100</v>
      </c>
      <c r="L61" s="85">
        <f>L43</f>
        <v>0</v>
      </c>
      <c r="M61" s="67"/>
      <c r="N61" s="85">
        <f aca="true" t="shared" si="12" ref="N61:P64">+N50</f>
        <v>0</v>
      </c>
      <c r="O61" s="85">
        <f t="shared" si="12"/>
        <v>0</v>
      </c>
      <c r="P61" s="85">
        <f t="shared" si="12"/>
        <v>0</v>
      </c>
      <c r="Q61" s="69"/>
      <c r="R61" s="41"/>
      <c r="S61" s="13"/>
      <c r="AC61" s="231">
        <f>IF((K$72-K$65)&gt;I$14/2,K68,K61)</f>
        <v>100</v>
      </c>
      <c r="AE61" s="231">
        <f>IF(D61=0,0,VLOOKUP(E61,Groepsgrootte,IF(D61="SO",2,3),FALSE))</f>
        <v>12</v>
      </c>
      <c r="AF61" s="231">
        <f>IF(AE61=0,0,ROUNDUP(IF(D61="SO",(K61+IF(AND(G62="ja",D62="SO"),K62,0)+IF(AND(G63="ja",D63="SO"),K63,0)+IF(AND(G64="ja",D64="SO"),K64,0)),(K61+IF(AND(G62="ja",D62="VSO"),K62,0)+IF(AND(G63="ja",D63="VSO"),K63,0)+IF(AND(G64="ja",D64="VSO"),K64,0)))/AE61,0))</f>
        <v>9</v>
      </c>
      <c r="AH61" s="231">
        <f>+K61-N61</f>
        <v>100</v>
      </c>
      <c r="AI61" s="9"/>
      <c r="AJ61" s="6"/>
      <c r="AK61" s="6"/>
      <c r="AL61" s="6"/>
      <c r="AM61" s="6"/>
      <c r="AN61" s="6"/>
      <c r="AO61" s="6"/>
      <c r="AP61" s="6"/>
      <c r="AQ61" s="6"/>
      <c r="AR61" s="6"/>
      <c r="AS61" s="6"/>
      <c r="AT61" s="6"/>
    </row>
    <row r="62" spans="2:46" ht="12.75">
      <c r="B62" s="21"/>
      <c r="C62" s="54"/>
      <c r="D62" s="65" t="str">
        <f t="shared" si="10"/>
        <v>VSO</v>
      </c>
      <c r="E62" s="65" t="str">
        <f>E44</f>
        <v>ZMLK</v>
      </c>
      <c r="F62" s="66" t="str">
        <f t="shared" si="10"/>
        <v>nee</v>
      </c>
      <c r="G62" s="85" t="str">
        <f t="shared" si="10"/>
        <v>nee</v>
      </c>
      <c r="H62" s="67"/>
      <c r="I62" s="85">
        <f t="shared" si="11"/>
        <v>0</v>
      </c>
      <c r="J62" s="85">
        <f t="shared" si="11"/>
        <v>10</v>
      </c>
      <c r="K62" s="95">
        <f>SUM(I62:J62)+N62</f>
        <v>10</v>
      </c>
      <c r="L62" s="85">
        <f>L44</f>
        <v>0</v>
      </c>
      <c r="M62" s="67"/>
      <c r="N62" s="85">
        <f t="shared" si="12"/>
        <v>0</v>
      </c>
      <c r="O62" s="85">
        <f t="shared" si="12"/>
        <v>0</v>
      </c>
      <c r="P62" s="85">
        <f t="shared" si="12"/>
        <v>0</v>
      </c>
      <c r="Q62" s="69"/>
      <c r="R62" s="41"/>
      <c r="S62" s="13"/>
      <c r="AC62" s="231">
        <f>IF((K$72-K$65)&gt;I$14/2,K69,K62)</f>
        <v>10</v>
      </c>
      <c r="AE62" s="231">
        <f>IF(D62=0,0,VLOOKUP(E62,Groepsgrootte,IF(D62="SO",2,3),FALSE))</f>
        <v>7</v>
      </c>
      <c r="AF62" s="231">
        <f>IF(AE62=0,0,ROUNDUP(IF(G62="ja",0,IF(D62="SO",K62,(K62+IF(AND(G63="ja",D63="VSO"),K63,0)+IF(AND(G64="ja",D64="VSO"),K64,0))))/AE62,0))</f>
        <v>2</v>
      </c>
      <c r="AH62" s="231">
        <f>+K62-N62</f>
        <v>10</v>
      </c>
      <c r="AI62" s="9"/>
      <c r="AJ62" s="6"/>
      <c r="AK62" s="6"/>
      <c r="AL62" s="6"/>
      <c r="AM62" s="6"/>
      <c r="AN62" s="6"/>
      <c r="AO62" s="6"/>
      <c r="AP62" s="6"/>
      <c r="AQ62" s="6"/>
      <c r="AR62" s="6"/>
      <c r="AS62" s="6"/>
      <c r="AT62" s="6"/>
    </row>
    <row r="63" spans="2:46" ht="12.75">
      <c r="B63" s="21"/>
      <c r="C63" s="54"/>
      <c r="D63" s="65">
        <f t="shared" si="10"/>
        <v>0</v>
      </c>
      <c r="E63" s="65">
        <f>E45</f>
        <v>0</v>
      </c>
      <c r="F63" s="66" t="str">
        <f t="shared" si="10"/>
        <v>nee</v>
      </c>
      <c r="G63" s="85" t="str">
        <f t="shared" si="10"/>
        <v>nee</v>
      </c>
      <c r="H63" s="67"/>
      <c r="I63" s="85">
        <f t="shared" si="11"/>
        <v>0</v>
      </c>
      <c r="J63" s="85">
        <f t="shared" si="11"/>
        <v>0</v>
      </c>
      <c r="K63" s="95">
        <f>SUM(I63:J63)+N63</f>
        <v>0</v>
      </c>
      <c r="L63" s="85">
        <f>L45</f>
        <v>0</v>
      </c>
      <c r="M63" s="67"/>
      <c r="N63" s="85">
        <f t="shared" si="12"/>
        <v>0</v>
      </c>
      <c r="O63" s="85">
        <f t="shared" si="12"/>
        <v>0</v>
      </c>
      <c r="P63" s="85">
        <f t="shared" si="12"/>
        <v>0</v>
      </c>
      <c r="Q63" s="69"/>
      <c r="R63" s="41"/>
      <c r="S63" s="13"/>
      <c r="AC63" s="231">
        <f>IF((K$72-K$65)&gt;I$14/2,K70,K63)</f>
        <v>0</v>
      </c>
      <c r="AE63" s="231">
        <f>IF(D63=0,0,VLOOKUP(E63,Groepsgrootte,IF(D63="SO",2,3),FALSE))</f>
        <v>0</v>
      </c>
      <c r="AF63" s="231">
        <f>IF(AE63=0,0,ROUNDUP(IF(G63="ja",0,IF(D63="SO",K63,(K63+IF(AND(G64="ja",D64="VSO",D62="SO"),K64,0))))/AE63,0))</f>
        <v>0</v>
      </c>
      <c r="AH63" s="231">
        <f>+K63-N63</f>
        <v>0</v>
      </c>
      <c r="AI63" s="9"/>
      <c r="AJ63" s="6"/>
      <c r="AK63" s="6"/>
      <c r="AL63" s="6"/>
      <c r="AM63" s="6"/>
      <c r="AN63" s="6"/>
      <c r="AO63" s="6"/>
      <c r="AP63" s="6"/>
      <c r="AQ63" s="6"/>
      <c r="AR63" s="6"/>
      <c r="AS63" s="6"/>
      <c r="AT63" s="6"/>
    </row>
    <row r="64" spans="2:46" ht="12.75">
      <c r="B64" s="21"/>
      <c r="C64" s="54"/>
      <c r="D64" s="65">
        <f t="shared" si="10"/>
        <v>0</v>
      </c>
      <c r="E64" s="65">
        <f>E46</f>
        <v>0</v>
      </c>
      <c r="F64" s="66" t="str">
        <f t="shared" si="10"/>
        <v>nee</v>
      </c>
      <c r="G64" s="85" t="str">
        <f t="shared" si="10"/>
        <v>nee</v>
      </c>
      <c r="H64" s="67"/>
      <c r="I64" s="85">
        <f t="shared" si="11"/>
        <v>0</v>
      </c>
      <c r="J64" s="85">
        <f t="shared" si="11"/>
        <v>0</v>
      </c>
      <c r="K64" s="95">
        <f>SUM(I64:J64)+N64</f>
        <v>0</v>
      </c>
      <c r="L64" s="85">
        <f>L46</f>
        <v>0</v>
      </c>
      <c r="M64" s="67"/>
      <c r="N64" s="85">
        <f t="shared" si="12"/>
        <v>0</v>
      </c>
      <c r="O64" s="85">
        <f t="shared" si="12"/>
        <v>0</v>
      </c>
      <c r="P64" s="85">
        <f t="shared" si="12"/>
        <v>0</v>
      </c>
      <c r="Q64" s="69"/>
      <c r="R64" s="41"/>
      <c r="S64" s="13"/>
      <c r="AC64" s="231">
        <f>IF((K$72-K$65)&gt;I$14/2,K71,K64)</f>
        <v>0</v>
      </c>
      <c r="AE64" s="231">
        <f>IF(D64=0,0,VLOOKUP(E64,Groepsgrootte,IF(D64="SO",2,3),FALSE))</f>
        <v>0</v>
      </c>
      <c r="AF64" s="231">
        <f>IF(G64="ja",0,IF(AE64=0,0,ROUNDUP(K64/AE64,0)))</f>
        <v>0</v>
      </c>
      <c r="AH64" s="231">
        <f>+K64-N64</f>
        <v>0</v>
      </c>
      <c r="AI64" s="9"/>
      <c r="AJ64" s="6"/>
      <c r="AK64" s="6"/>
      <c r="AL64" s="6"/>
      <c r="AM64" s="6"/>
      <c r="AN64" s="6"/>
      <c r="AO64" s="6"/>
      <c r="AP64" s="6"/>
      <c r="AQ64" s="6"/>
      <c r="AR64" s="6"/>
      <c r="AS64" s="6"/>
      <c r="AT64" s="6"/>
    </row>
    <row r="65" spans="2:46" ht="12.75">
      <c r="B65" s="21"/>
      <c r="C65" s="54"/>
      <c r="D65" s="60"/>
      <c r="E65" s="64"/>
      <c r="F65" s="56"/>
      <c r="G65" s="56"/>
      <c r="H65" s="57"/>
      <c r="I65" s="68">
        <f>SUM(I61:I64)</f>
        <v>35</v>
      </c>
      <c r="J65" s="68">
        <f>SUM(J61:J64)</f>
        <v>75</v>
      </c>
      <c r="K65" s="68">
        <f>SUM(K61:K64)</f>
        <v>110</v>
      </c>
      <c r="L65" s="68">
        <f>SUM(L61:L64)</f>
        <v>0</v>
      </c>
      <c r="M65" s="61"/>
      <c r="N65" s="68">
        <f>SUM(N61:N64)</f>
        <v>0</v>
      </c>
      <c r="O65" s="68">
        <f>SUM(O61:O64)</f>
        <v>0</v>
      </c>
      <c r="P65" s="68">
        <f>SUM(P61:P64)</f>
        <v>0</v>
      </c>
      <c r="Q65" s="59"/>
      <c r="R65" s="25"/>
      <c r="AI65" s="9"/>
      <c r="AJ65" s="6"/>
      <c r="AK65" s="6"/>
      <c r="AL65" s="6"/>
      <c r="AM65" s="6"/>
      <c r="AN65" s="6"/>
      <c r="AO65" s="6"/>
      <c r="AP65" s="6"/>
      <c r="AQ65" s="6"/>
      <c r="AR65" s="6"/>
      <c r="AS65" s="6"/>
      <c r="AT65" s="6"/>
    </row>
    <row r="66" spans="2:46" ht="12.75">
      <c r="B66" s="21"/>
      <c r="C66" s="54"/>
      <c r="D66" s="133" t="s">
        <v>228</v>
      </c>
      <c r="E66" s="55"/>
      <c r="F66" s="229">
        <f>VLOOKUP(tabellen!$B$2+1,schooljaren,4,FALSE)</f>
        <v>41290</v>
      </c>
      <c r="G66" s="91"/>
      <c r="H66" s="61"/>
      <c r="I66" s="60"/>
      <c r="J66" s="62"/>
      <c r="K66" s="62"/>
      <c r="L66" s="62"/>
      <c r="M66" s="61"/>
      <c r="N66" s="62"/>
      <c r="O66" s="62"/>
      <c r="P66" s="62"/>
      <c r="Q66" s="63"/>
      <c r="R66" s="40"/>
      <c r="S66" s="10"/>
      <c r="T66" s="8"/>
      <c r="U66" s="8"/>
      <c r="V66" s="8"/>
      <c r="W66" s="8"/>
      <c r="X66" s="8"/>
      <c r="Y66" s="8"/>
      <c r="Z66" s="8"/>
      <c r="AA66" s="8"/>
      <c r="AB66" s="8"/>
      <c r="AI66" s="9"/>
      <c r="AJ66" s="6"/>
      <c r="AK66" s="6"/>
      <c r="AL66" s="6"/>
      <c r="AM66" s="6"/>
      <c r="AN66" s="6"/>
      <c r="AO66" s="6"/>
      <c r="AP66" s="6"/>
      <c r="AQ66" s="6"/>
      <c r="AR66" s="6"/>
      <c r="AS66" s="6"/>
      <c r="AT66" s="6"/>
    </row>
    <row r="67" spans="2:46" ht="12.75">
      <c r="B67" s="21"/>
      <c r="C67" s="54"/>
      <c r="D67" s="133" t="s">
        <v>22</v>
      </c>
      <c r="E67" s="64"/>
      <c r="F67" s="91" t="s">
        <v>21</v>
      </c>
      <c r="G67" s="91" t="s">
        <v>105</v>
      </c>
      <c r="H67" s="61"/>
      <c r="I67" s="62"/>
      <c r="J67" s="62"/>
      <c r="K67" s="62"/>
      <c r="L67" s="62"/>
      <c r="M67" s="61"/>
      <c r="N67" s="62"/>
      <c r="O67" s="62"/>
      <c r="P67" s="62"/>
      <c r="Q67" s="63"/>
      <c r="R67" s="40"/>
      <c r="S67" s="10"/>
      <c r="T67" s="8"/>
      <c r="U67" s="8"/>
      <c r="V67" s="8"/>
      <c r="W67" s="8"/>
      <c r="X67" s="8"/>
      <c r="Y67" s="8"/>
      <c r="Z67" s="8"/>
      <c r="AA67" s="8"/>
      <c r="AB67" s="8"/>
      <c r="AI67" s="9"/>
      <c r="AJ67" s="6"/>
      <c r="AK67" s="6"/>
      <c r="AL67" s="6"/>
      <c r="AM67" s="6"/>
      <c r="AN67" s="6"/>
      <c r="AO67" s="6"/>
      <c r="AP67" s="6"/>
      <c r="AQ67" s="6"/>
      <c r="AR67" s="6"/>
      <c r="AS67" s="6"/>
      <c r="AT67" s="6"/>
    </row>
    <row r="68" spans="2:46" ht="12.75">
      <c r="B68" s="21"/>
      <c r="C68" s="54"/>
      <c r="D68" s="65" t="str">
        <f aca="true" t="shared" si="13" ref="D68:G71">+D50</f>
        <v>SO</v>
      </c>
      <c r="E68" s="65" t="str">
        <f>E61</f>
        <v>ZMLK</v>
      </c>
      <c r="F68" s="66" t="str">
        <f t="shared" si="13"/>
        <v>nee</v>
      </c>
      <c r="G68" s="85" t="str">
        <f t="shared" si="13"/>
        <v>nee</v>
      </c>
      <c r="H68" s="67"/>
      <c r="I68" s="85">
        <f>+I61</f>
        <v>35</v>
      </c>
      <c r="J68" s="85">
        <f aca="true" t="shared" si="14" ref="I68:J71">+J61</f>
        <v>65</v>
      </c>
      <c r="K68" s="95">
        <f>SUM(I68:J68)+N68</f>
        <v>100</v>
      </c>
      <c r="L68" s="85">
        <f aca="true" t="shared" si="15" ref="L68:P71">+L61</f>
        <v>0</v>
      </c>
      <c r="M68" s="67"/>
      <c r="N68" s="85">
        <f t="shared" si="15"/>
        <v>0</v>
      </c>
      <c r="O68" s="85">
        <f t="shared" si="15"/>
        <v>0</v>
      </c>
      <c r="P68" s="85">
        <f t="shared" si="15"/>
        <v>0</v>
      </c>
      <c r="Q68" s="69"/>
      <c r="R68" s="41"/>
      <c r="S68" s="13"/>
      <c r="AE68" s="231">
        <f>IF(D68=0,0,VLOOKUP(E68,Groepsgrootte,IF(D68="SO",2,3),FALSE))</f>
        <v>12</v>
      </c>
      <c r="AF68" s="231">
        <f>IF(AE68=0,0,ROUNDUP(IF(D68="SO",(K68+IF(AND(G69="ja",D69="SO"),K69,0)+IF(AND(G70="ja",D70="SO"),K70,0)+IF(AND(G71="ja",D71="SO"),K71,0)),(K68+IF(AND(G69="ja",D69="VSO"),K69,0)+IF(AND(G70="ja",D70="VSO"),K70,0)+IF(AND(G71="ja",D71="VSO"),K71,0)))/AE68,0))</f>
        <v>9</v>
      </c>
      <c r="AH68" s="231">
        <f>+K68-N68</f>
        <v>100</v>
      </c>
      <c r="AI68" s="9"/>
      <c r="AJ68" s="6"/>
      <c r="AK68" s="6"/>
      <c r="AL68" s="6"/>
      <c r="AM68" s="6"/>
      <c r="AN68" s="6"/>
      <c r="AO68" s="6"/>
      <c r="AP68" s="6"/>
      <c r="AQ68" s="6"/>
      <c r="AR68" s="6"/>
      <c r="AS68" s="6"/>
      <c r="AT68" s="6"/>
    </row>
    <row r="69" spans="2:46" ht="12.75">
      <c r="B69" s="21"/>
      <c r="C69" s="54"/>
      <c r="D69" s="65" t="str">
        <f t="shared" si="13"/>
        <v>VSO</v>
      </c>
      <c r="E69" s="65" t="str">
        <f>E62</f>
        <v>ZMLK</v>
      </c>
      <c r="F69" s="66" t="str">
        <f t="shared" si="13"/>
        <v>nee</v>
      </c>
      <c r="G69" s="85" t="str">
        <f t="shared" si="13"/>
        <v>nee</v>
      </c>
      <c r="H69" s="67"/>
      <c r="I69" s="85">
        <f t="shared" si="14"/>
        <v>0</v>
      </c>
      <c r="J69" s="85">
        <f t="shared" si="14"/>
        <v>10</v>
      </c>
      <c r="K69" s="95">
        <f>SUM(I69:J69)+N69</f>
        <v>10</v>
      </c>
      <c r="L69" s="85">
        <f t="shared" si="15"/>
        <v>0</v>
      </c>
      <c r="M69" s="67"/>
      <c r="N69" s="85">
        <f t="shared" si="15"/>
        <v>0</v>
      </c>
      <c r="O69" s="85">
        <f t="shared" si="15"/>
        <v>0</v>
      </c>
      <c r="P69" s="85">
        <f t="shared" si="15"/>
        <v>0</v>
      </c>
      <c r="Q69" s="69"/>
      <c r="R69" s="41"/>
      <c r="S69" s="13"/>
      <c r="AE69" s="231">
        <f>IF(D69=0,0,VLOOKUP(E69,Groepsgrootte,IF(D69="SO",2,3),FALSE))</f>
        <v>7</v>
      </c>
      <c r="AF69" s="231">
        <f>IF(AE69=0,0,ROUNDUP(IF(G69="ja",0,IF(D69="SO",K69,(K69+IF(AND(G70="ja",D70="VSO"),K70,0)+IF(AND(G71="ja",D71="VSO"),K71,0))))/AE69,0))</f>
        <v>2</v>
      </c>
      <c r="AH69" s="231">
        <f>+K69-N69</f>
        <v>10</v>
      </c>
      <c r="AI69" s="9"/>
      <c r="AJ69" s="6"/>
      <c r="AK69" s="6"/>
      <c r="AL69" s="6"/>
      <c r="AM69" s="6"/>
      <c r="AN69" s="6"/>
      <c r="AO69" s="6"/>
      <c r="AP69" s="6"/>
      <c r="AQ69" s="6"/>
      <c r="AR69" s="6"/>
      <c r="AS69" s="6"/>
      <c r="AT69" s="6"/>
    </row>
    <row r="70" spans="2:46" ht="12.75">
      <c r="B70" s="21"/>
      <c r="C70" s="54"/>
      <c r="D70" s="65">
        <f t="shared" si="13"/>
        <v>0</v>
      </c>
      <c r="E70" s="65">
        <f>E63</f>
        <v>0</v>
      </c>
      <c r="F70" s="66" t="str">
        <f t="shared" si="13"/>
        <v>nee</v>
      </c>
      <c r="G70" s="85" t="str">
        <f t="shared" si="13"/>
        <v>nee</v>
      </c>
      <c r="H70" s="67"/>
      <c r="I70" s="85">
        <f t="shared" si="14"/>
        <v>0</v>
      </c>
      <c r="J70" s="85">
        <f t="shared" si="14"/>
        <v>0</v>
      </c>
      <c r="K70" s="95">
        <f>SUM(I70:J70)+N70</f>
        <v>0</v>
      </c>
      <c r="L70" s="85">
        <f t="shared" si="15"/>
        <v>0</v>
      </c>
      <c r="M70" s="67"/>
      <c r="N70" s="85">
        <f t="shared" si="15"/>
        <v>0</v>
      </c>
      <c r="O70" s="85">
        <f t="shared" si="15"/>
        <v>0</v>
      </c>
      <c r="P70" s="85">
        <f t="shared" si="15"/>
        <v>0</v>
      </c>
      <c r="Q70" s="69"/>
      <c r="R70" s="41"/>
      <c r="S70" s="13"/>
      <c r="AE70" s="231">
        <f>IF(D70=0,0,VLOOKUP(E70,Groepsgrootte,IF(D70="SO",2,3),FALSE))</f>
        <v>0</v>
      </c>
      <c r="AF70" s="231">
        <f>IF(AE70=0,0,ROUNDUP(IF(G70="ja",0,IF(D70="SO",K70,(K70+IF(AND(G71="ja",D71="VSO",D69="SO"),K71,0))))/AE70,0))</f>
        <v>0</v>
      </c>
      <c r="AH70" s="231">
        <f>+K70-N70</f>
        <v>0</v>
      </c>
      <c r="AI70" s="9"/>
      <c r="AJ70" s="6"/>
      <c r="AK70" s="6"/>
      <c r="AL70" s="6"/>
      <c r="AM70" s="6"/>
      <c r="AN70" s="6"/>
      <c r="AO70" s="6"/>
      <c r="AP70" s="6"/>
      <c r="AQ70" s="6"/>
      <c r="AR70" s="6"/>
      <c r="AS70" s="6"/>
      <c r="AT70" s="6"/>
    </row>
    <row r="71" spans="2:46" ht="12.75">
      <c r="B71" s="21"/>
      <c r="C71" s="54"/>
      <c r="D71" s="65">
        <f t="shared" si="13"/>
        <v>0</v>
      </c>
      <c r="E71" s="65">
        <f>E64</f>
        <v>0</v>
      </c>
      <c r="F71" s="66" t="str">
        <f t="shared" si="13"/>
        <v>nee</v>
      </c>
      <c r="G71" s="85" t="str">
        <f t="shared" si="13"/>
        <v>nee</v>
      </c>
      <c r="H71" s="67"/>
      <c r="I71" s="85">
        <f t="shared" si="14"/>
        <v>0</v>
      </c>
      <c r="J71" s="85">
        <f t="shared" si="14"/>
        <v>0</v>
      </c>
      <c r="K71" s="95">
        <f>SUM(I71:J71)+N71</f>
        <v>0</v>
      </c>
      <c r="L71" s="85">
        <f t="shared" si="15"/>
        <v>0</v>
      </c>
      <c r="M71" s="67"/>
      <c r="N71" s="85">
        <f t="shared" si="15"/>
        <v>0</v>
      </c>
      <c r="O71" s="85">
        <f t="shared" si="15"/>
        <v>0</v>
      </c>
      <c r="P71" s="85">
        <f t="shared" si="15"/>
        <v>0</v>
      </c>
      <c r="Q71" s="69"/>
      <c r="R71" s="41"/>
      <c r="S71" s="13"/>
      <c r="AE71" s="231">
        <f>IF(D71=0,0,VLOOKUP(E71,Groepsgrootte,IF(D71="SO",2,3),FALSE))</f>
        <v>0</v>
      </c>
      <c r="AF71" s="231">
        <f>IF(G71="ja",0,IF(AE71=0,0,ROUNDUP(K71/AE71,0)))</f>
        <v>0</v>
      </c>
      <c r="AH71" s="231">
        <f>+K71-N71</f>
        <v>0</v>
      </c>
      <c r="AI71" s="9"/>
      <c r="AJ71" s="6"/>
      <c r="AK71" s="6"/>
      <c r="AL71" s="6"/>
      <c r="AM71" s="6"/>
      <c r="AN71" s="6"/>
      <c r="AO71" s="6"/>
      <c r="AP71" s="6"/>
      <c r="AQ71" s="6"/>
      <c r="AR71" s="6"/>
      <c r="AS71" s="6"/>
      <c r="AT71" s="6"/>
    </row>
    <row r="72" spans="2:46" ht="12.75">
      <c r="B72" s="21"/>
      <c r="C72" s="54"/>
      <c r="D72" s="60"/>
      <c r="E72" s="64"/>
      <c r="F72" s="56"/>
      <c r="G72" s="56"/>
      <c r="H72" s="57"/>
      <c r="I72" s="68">
        <f>SUM(I68:I71)</f>
        <v>35</v>
      </c>
      <c r="J72" s="68">
        <f>SUM(J68:J71)</f>
        <v>75</v>
      </c>
      <c r="K72" s="68">
        <f>SUM(K68:K71)</f>
        <v>110</v>
      </c>
      <c r="L72" s="68">
        <f>SUM(L68:L71)</f>
        <v>0</v>
      </c>
      <c r="M72" s="61"/>
      <c r="N72" s="68">
        <f>SUM(N68:N71)</f>
        <v>0</v>
      </c>
      <c r="O72" s="68">
        <f>SUM(O68:O71)</f>
        <v>0</v>
      </c>
      <c r="P72" s="68">
        <f>SUM(P68:P71)</f>
        <v>0</v>
      </c>
      <c r="Q72" s="59"/>
      <c r="R72" s="25"/>
      <c r="AI72" s="9"/>
      <c r="AJ72" s="6"/>
      <c r="AK72" s="6"/>
      <c r="AL72" s="6"/>
      <c r="AM72" s="6"/>
      <c r="AN72" s="6"/>
      <c r="AO72" s="6"/>
      <c r="AP72" s="6"/>
      <c r="AQ72" s="6"/>
      <c r="AR72" s="6"/>
      <c r="AS72" s="6"/>
      <c r="AT72" s="6"/>
    </row>
    <row r="73" spans="2:46" ht="12.75">
      <c r="B73" s="21"/>
      <c r="C73" s="71"/>
      <c r="D73" s="72"/>
      <c r="E73" s="73"/>
      <c r="F73" s="74"/>
      <c r="G73" s="74"/>
      <c r="H73" s="75"/>
      <c r="I73" s="74"/>
      <c r="J73" s="74"/>
      <c r="K73" s="87"/>
      <c r="L73" s="74"/>
      <c r="M73" s="75"/>
      <c r="N73" s="74"/>
      <c r="O73" s="74"/>
      <c r="P73" s="74"/>
      <c r="Q73" s="76"/>
      <c r="R73" s="25"/>
      <c r="AC73" s="231">
        <f>IF((K72-K65)&gt;F54/2,K72,K65)</f>
        <v>110</v>
      </c>
      <c r="AD73" s="234">
        <f>IF((K72-K65)&gt;I14/2,F66,F59)</f>
        <v>41183</v>
      </c>
      <c r="AI73" s="9"/>
      <c r="AJ73" s="6"/>
      <c r="AK73" s="6"/>
      <c r="AL73" s="6"/>
      <c r="AM73" s="6"/>
      <c r="AN73" s="6"/>
      <c r="AO73" s="6"/>
      <c r="AP73" s="6"/>
      <c r="AQ73" s="6"/>
      <c r="AR73" s="6"/>
      <c r="AS73" s="6"/>
      <c r="AT73" s="6"/>
    </row>
    <row r="74" spans="2:46" ht="12.75">
      <c r="B74" s="21"/>
      <c r="C74" s="22"/>
      <c r="D74" s="36"/>
      <c r="E74" s="35"/>
      <c r="F74" s="24"/>
      <c r="G74" s="24"/>
      <c r="H74" s="22"/>
      <c r="I74" s="24"/>
      <c r="J74" s="24"/>
      <c r="K74" s="39"/>
      <c r="L74" s="24"/>
      <c r="M74" s="22"/>
      <c r="N74" s="24"/>
      <c r="O74" s="24"/>
      <c r="P74" s="24"/>
      <c r="Q74" s="22"/>
      <c r="R74" s="25"/>
      <c r="AD74" s="234"/>
      <c r="AI74" s="9"/>
      <c r="AJ74" s="6"/>
      <c r="AK74" s="6"/>
      <c r="AL74" s="6"/>
      <c r="AM74" s="6"/>
      <c r="AN74" s="6"/>
      <c r="AO74" s="6"/>
      <c r="AP74" s="6"/>
      <c r="AQ74" s="6"/>
      <c r="AR74" s="6"/>
      <c r="AS74" s="6"/>
      <c r="AT74" s="6"/>
    </row>
    <row r="75" spans="2:46" ht="12.75">
      <c r="B75" s="21"/>
      <c r="C75" s="50"/>
      <c r="D75" s="78"/>
      <c r="E75" s="79"/>
      <c r="F75" s="51"/>
      <c r="G75" s="51"/>
      <c r="H75" s="52"/>
      <c r="I75" s="51"/>
      <c r="J75" s="51"/>
      <c r="K75" s="51"/>
      <c r="L75" s="51"/>
      <c r="M75" s="52"/>
      <c r="N75" s="51"/>
      <c r="O75" s="51"/>
      <c r="P75" s="51"/>
      <c r="Q75" s="53"/>
      <c r="R75" s="25"/>
      <c r="AD75" s="234"/>
      <c r="AI75" s="9"/>
      <c r="AJ75" s="6"/>
      <c r="AK75" s="6"/>
      <c r="AL75" s="6"/>
      <c r="AM75" s="6"/>
      <c r="AN75" s="6"/>
      <c r="AO75" s="6"/>
      <c r="AP75" s="6"/>
      <c r="AQ75" s="6"/>
      <c r="AR75" s="6"/>
      <c r="AS75" s="6"/>
      <c r="AT75" s="6"/>
    </row>
    <row r="76" spans="2:46" ht="12.75">
      <c r="B76" s="21"/>
      <c r="C76" s="50"/>
      <c r="D76" s="227" t="s">
        <v>200</v>
      </c>
      <c r="E76" s="79"/>
      <c r="F76" s="228">
        <f>Hoofdafdeling!K8</f>
        <v>2014</v>
      </c>
      <c r="G76" s="51"/>
      <c r="H76" s="52"/>
      <c r="I76" s="51"/>
      <c r="J76" s="51"/>
      <c r="K76" s="51"/>
      <c r="L76" s="51"/>
      <c r="M76" s="52"/>
      <c r="N76" s="51"/>
      <c r="O76" s="51"/>
      <c r="P76" s="51"/>
      <c r="Q76" s="53"/>
      <c r="R76" s="25"/>
      <c r="AD76" s="234"/>
      <c r="AI76" s="9"/>
      <c r="AJ76" s="6"/>
      <c r="AK76" s="6"/>
      <c r="AL76" s="6"/>
      <c r="AM76" s="6"/>
      <c r="AN76" s="6"/>
      <c r="AO76" s="6"/>
      <c r="AP76" s="6"/>
      <c r="AQ76" s="6"/>
      <c r="AR76" s="6"/>
      <c r="AS76" s="6"/>
      <c r="AT76" s="6"/>
    </row>
    <row r="77" spans="2:46" ht="12.75">
      <c r="B77" s="21"/>
      <c r="C77" s="54"/>
      <c r="D77" s="133" t="s">
        <v>228</v>
      </c>
      <c r="E77" s="55"/>
      <c r="F77" s="229">
        <f>VLOOKUP(tabellen!$B$2+2,schooljaren,3,FALSE)</f>
        <v>41548</v>
      </c>
      <c r="G77" s="91"/>
      <c r="H77" s="61"/>
      <c r="I77" s="60"/>
      <c r="J77" s="62"/>
      <c r="K77" s="62"/>
      <c r="L77" s="62"/>
      <c r="M77" s="61"/>
      <c r="N77" s="62"/>
      <c r="O77" s="62"/>
      <c r="P77" s="62"/>
      <c r="Q77" s="63"/>
      <c r="R77" s="40"/>
      <c r="S77" s="10"/>
      <c r="T77" s="8"/>
      <c r="U77" s="8"/>
      <c r="V77" s="8"/>
      <c r="W77" s="8"/>
      <c r="X77" s="8"/>
      <c r="Y77" s="8"/>
      <c r="Z77" s="8"/>
      <c r="AA77" s="8"/>
      <c r="AB77" s="8"/>
      <c r="AI77" s="9"/>
      <c r="AJ77" s="6"/>
      <c r="AK77" s="6"/>
      <c r="AL77" s="6"/>
      <c r="AM77" s="6"/>
      <c r="AN77" s="6"/>
      <c r="AO77" s="6"/>
      <c r="AP77" s="6"/>
      <c r="AQ77" s="6"/>
      <c r="AR77" s="6"/>
      <c r="AS77" s="6"/>
      <c r="AT77" s="6"/>
    </row>
    <row r="78" spans="2:46" ht="12.75">
      <c r="B78" s="21"/>
      <c r="C78" s="54"/>
      <c r="D78" s="133" t="s">
        <v>22</v>
      </c>
      <c r="E78" s="64"/>
      <c r="F78" s="91" t="s">
        <v>21</v>
      </c>
      <c r="G78" s="91" t="s">
        <v>105</v>
      </c>
      <c r="H78" s="61"/>
      <c r="I78" s="62"/>
      <c r="J78" s="62"/>
      <c r="K78" s="62"/>
      <c r="L78" s="62"/>
      <c r="M78" s="61"/>
      <c r="N78" s="62"/>
      <c r="O78" s="62"/>
      <c r="P78" s="62"/>
      <c r="Q78" s="63"/>
      <c r="R78" s="40"/>
      <c r="S78" s="10"/>
      <c r="T78" s="8"/>
      <c r="U78" s="8"/>
      <c r="V78" s="8"/>
      <c r="W78" s="8"/>
      <c r="X78" s="8"/>
      <c r="Y78" s="8"/>
      <c r="Z78" s="8"/>
      <c r="AA78" s="8"/>
      <c r="AB78" s="8"/>
      <c r="AI78" s="9"/>
      <c r="AJ78" s="6"/>
      <c r="AK78" s="6"/>
      <c r="AL78" s="6"/>
      <c r="AM78" s="6"/>
      <c r="AN78" s="6"/>
      <c r="AO78" s="6"/>
      <c r="AP78" s="6"/>
      <c r="AQ78" s="6"/>
      <c r="AR78" s="6"/>
      <c r="AS78" s="6"/>
      <c r="AT78" s="6"/>
    </row>
    <row r="79" spans="2:46" ht="12.75">
      <c r="B79" s="21"/>
      <c r="C79" s="54"/>
      <c r="D79" s="65" t="str">
        <f aca="true" t="shared" si="16" ref="D79:G82">+D61</f>
        <v>SO</v>
      </c>
      <c r="E79" s="65" t="str">
        <f>E61</f>
        <v>ZMLK</v>
      </c>
      <c r="F79" s="66" t="str">
        <f t="shared" si="16"/>
        <v>nee</v>
      </c>
      <c r="G79" s="85" t="str">
        <f t="shared" si="16"/>
        <v>nee</v>
      </c>
      <c r="H79" s="67"/>
      <c r="I79" s="85">
        <f aca="true" t="shared" si="17" ref="I79:J82">I61</f>
        <v>35</v>
      </c>
      <c r="J79" s="85">
        <f t="shared" si="17"/>
        <v>65</v>
      </c>
      <c r="K79" s="95">
        <f>SUM(I79:J79)+N79</f>
        <v>100</v>
      </c>
      <c r="L79" s="85">
        <f>L61</f>
        <v>0</v>
      </c>
      <c r="M79" s="67"/>
      <c r="N79" s="85">
        <f aca="true" t="shared" si="18" ref="N79:P82">+N68</f>
        <v>0</v>
      </c>
      <c r="O79" s="85">
        <f t="shared" si="18"/>
        <v>0</v>
      </c>
      <c r="P79" s="85">
        <f t="shared" si="18"/>
        <v>0</v>
      </c>
      <c r="Q79" s="69"/>
      <c r="R79" s="41"/>
      <c r="S79" s="13"/>
      <c r="AC79" s="231">
        <f>IF((K$90-K$83)&gt;I$14/2,K86,K79)</f>
        <v>100</v>
      </c>
      <c r="AE79" s="231">
        <f>IF(D79=0,0,VLOOKUP(E79,Groepsgrootte,IF(D79="SO",2,3),FALSE))</f>
        <v>12</v>
      </c>
      <c r="AF79" s="231">
        <f>IF(AE79=0,0,ROUNDUP(IF(D79="SO",(K79+IF(AND(G80="ja",D80="SO"),K80,0)+IF(AND(G81="ja",D81="SO"),K81,0)+IF(AND(G82="ja",D82="SO"),K82,0)),(K79+IF(AND(G80="ja",D80="VSO"),K80,0)+IF(AND(G81="ja",D81="VSO"),K81,0)+IF(AND(G82="ja",D82="VSO"),K82,0)))/AE79,0))</f>
        <v>9</v>
      </c>
      <c r="AH79" s="231">
        <f>+K79-N79</f>
        <v>100</v>
      </c>
      <c r="AI79" s="9"/>
      <c r="AJ79" s="6"/>
      <c r="AK79" s="6"/>
      <c r="AL79" s="6"/>
      <c r="AM79" s="6"/>
      <c r="AN79" s="6"/>
      <c r="AO79" s="6"/>
      <c r="AP79" s="6"/>
      <c r="AQ79" s="6"/>
      <c r="AR79" s="6"/>
      <c r="AS79" s="6"/>
      <c r="AT79" s="6"/>
    </row>
    <row r="80" spans="2:46" ht="12.75">
      <c r="B80" s="21"/>
      <c r="C80" s="54"/>
      <c r="D80" s="65" t="str">
        <f t="shared" si="16"/>
        <v>VSO</v>
      </c>
      <c r="E80" s="65" t="str">
        <f>E62</f>
        <v>ZMLK</v>
      </c>
      <c r="F80" s="66" t="str">
        <f t="shared" si="16"/>
        <v>nee</v>
      </c>
      <c r="G80" s="85" t="str">
        <f t="shared" si="16"/>
        <v>nee</v>
      </c>
      <c r="H80" s="67"/>
      <c r="I80" s="85">
        <f t="shared" si="17"/>
        <v>0</v>
      </c>
      <c r="J80" s="85">
        <f t="shared" si="17"/>
        <v>10</v>
      </c>
      <c r="K80" s="95">
        <f>SUM(I80:J80)+N80</f>
        <v>10</v>
      </c>
      <c r="L80" s="85">
        <f>L62</f>
        <v>0</v>
      </c>
      <c r="M80" s="67"/>
      <c r="N80" s="85">
        <f t="shared" si="18"/>
        <v>0</v>
      </c>
      <c r="O80" s="85">
        <f t="shared" si="18"/>
        <v>0</v>
      </c>
      <c r="P80" s="85">
        <f t="shared" si="18"/>
        <v>0</v>
      </c>
      <c r="Q80" s="69"/>
      <c r="R80" s="41"/>
      <c r="S80" s="13"/>
      <c r="AC80" s="231">
        <f>IF((K$90-K$83)&gt;I$14/2,K87,K80)</f>
        <v>10</v>
      </c>
      <c r="AE80" s="231">
        <f>IF(D80=0,0,VLOOKUP(E80,Groepsgrootte,IF(D80="SO",2,3),FALSE))</f>
        <v>7</v>
      </c>
      <c r="AF80" s="231">
        <f>IF(AE80=0,0,ROUNDUP(IF(G80="ja",0,IF(D80="SO",K80,(K80+IF(AND(G81="ja",D81="VSO"),K81,0)+IF(AND(G82="ja",D82="VSO"),K82,0))))/AE80,0))</f>
        <v>2</v>
      </c>
      <c r="AH80" s="231">
        <f>+K80-N80</f>
        <v>10</v>
      </c>
      <c r="AI80" s="9"/>
      <c r="AJ80" s="6"/>
      <c r="AK80" s="6"/>
      <c r="AL80" s="6"/>
      <c r="AM80" s="6"/>
      <c r="AN80" s="6"/>
      <c r="AO80" s="6"/>
      <c r="AP80" s="6"/>
      <c r="AQ80" s="6"/>
      <c r="AR80" s="6"/>
      <c r="AS80" s="6"/>
      <c r="AT80" s="6"/>
    </row>
    <row r="81" spans="2:46" ht="12.75">
      <c r="B81" s="21"/>
      <c r="C81" s="54"/>
      <c r="D81" s="65">
        <f t="shared" si="16"/>
        <v>0</v>
      </c>
      <c r="E81" s="65">
        <f>E63</f>
        <v>0</v>
      </c>
      <c r="F81" s="66" t="str">
        <f t="shared" si="16"/>
        <v>nee</v>
      </c>
      <c r="G81" s="85" t="str">
        <f t="shared" si="16"/>
        <v>nee</v>
      </c>
      <c r="H81" s="67"/>
      <c r="I81" s="85">
        <f t="shared" si="17"/>
        <v>0</v>
      </c>
      <c r="J81" s="85">
        <f t="shared" si="17"/>
        <v>0</v>
      </c>
      <c r="K81" s="95">
        <f>SUM(I81:J81)+N81</f>
        <v>0</v>
      </c>
      <c r="L81" s="85">
        <f>L63</f>
        <v>0</v>
      </c>
      <c r="M81" s="67"/>
      <c r="N81" s="85">
        <f t="shared" si="18"/>
        <v>0</v>
      </c>
      <c r="O81" s="85">
        <f t="shared" si="18"/>
        <v>0</v>
      </c>
      <c r="P81" s="85">
        <f t="shared" si="18"/>
        <v>0</v>
      </c>
      <c r="Q81" s="69"/>
      <c r="R81" s="41"/>
      <c r="S81" s="13"/>
      <c r="AC81" s="231">
        <f>IF((K$90-K$83)&gt;I$14/2,K88,K81)</f>
        <v>0</v>
      </c>
      <c r="AE81" s="231">
        <f>IF(D81=0,0,VLOOKUP(E81,Groepsgrootte,IF(D81="SO",2,3),FALSE))</f>
        <v>0</v>
      </c>
      <c r="AF81" s="231">
        <f>IF(AE81=0,0,ROUNDUP(IF(G81="ja",0,IF(D81="SO",K81,(K81+IF(AND(G82="ja",D82="VSO",D80="SO"),K82,0))))/AE81,0))</f>
        <v>0</v>
      </c>
      <c r="AH81" s="231">
        <f>+K81-N81</f>
        <v>0</v>
      </c>
      <c r="AI81" s="9"/>
      <c r="AJ81" s="6"/>
      <c r="AK81" s="6"/>
      <c r="AL81" s="6"/>
      <c r="AM81" s="6"/>
      <c r="AN81" s="6"/>
      <c r="AO81" s="6"/>
      <c r="AP81" s="6"/>
      <c r="AQ81" s="6"/>
      <c r="AR81" s="6"/>
      <c r="AS81" s="6"/>
      <c r="AT81" s="6"/>
    </row>
    <row r="82" spans="2:46" ht="12.75">
      <c r="B82" s="21"/>
      <c r="C82" s="54"/>
      <c r="D82" s="65">
        <f t="shared" si="16"/>
        <v>0</v>
      </c>
      <c r="E82" s="65">
        <f>E64</f>
        <v>0</v>
      </c>
      <c r="F82" s="66" t="str">
        <f t="shared" si="16"/>
        <v>nee</v>
      </c>
      <c r="G82" s="85" t="str">
        <f t="shared" si="16"/>
        <v>nee</v>
      </c>
      <c r="H82" s="67"/>
      <c r="I82" s="85">
        <f t="shared" si="17"/>
        <v>0</v>
      </c>
      <c r="J82" s="85">
        <f t="shared" si="17"/>
        <v>0</v>
      </c>
      <c r="K82" s="95">
        <f>SUM(I82:J82)+N82</f>
        <v>0</v>
      </c>
      <c r="L82" s="85">
        <f>L64</f>
        <v>0</v>
      </c>
      <c r="M82" s="67"/>
      <c r="N82" s="85">
        <f t="shared" si="18"/>
        <v>0</v>
      </c>
      <c r="O82" s="85">
        <f t="shared" si="18"/>
        <v>0</v>
      </c>
      <c r="P82" s="85">
        <f t="shared" si="18"/>
        <v>0</v>
      </c>
      <c r="Q82" s="69"/>
      <c r="R82" s="41"/>
      <c r="S82" s="13"/>
      <c r="AC82" s="231">
        <f>IF((K$90-K$83)&gt;I$14/2,K89,K82)</f>
        <v>0</v>
      </c>
      <c r="AE82" s="231">
        <f>IF(D82=0,0,VLOOKUP(E82,Groepsgrootte,IF(D82="SO",2,3),FALSE))</f>
        <v>0</v>
      </c>
      <c r="AF82" s="231">
        <f>IF(G82="ja",0,IF(AE82=0,0,ROUNDUP(K82/AE82,0)))</f>
        <v>0</v>
      </c>
      <c r="AH82" s="231">
        <f>+K82-N82</f>
        <v>0</v>
      </c>
      <c r="AI82" s="9"/>
      <c r="AJ82" s="6"/>
      <c r="AK82" s="6"/>
      <c r="AL82" s="6"/>
      <c r="AM82" s="6"/>
      <c r="AN82" s="6"/>
      <c r="AO82" s="6"/>
      <c r="AP82" s="6"/>
      <c r="AQ82" s="6"/>
      <c r="AR82" s="6"/>
      <c r="AS82" s="6"/>
      <c r="AT82" s="6"/>
    </row>
    <row r="83" spans="2:46" ht="12.75">
      <c r="B83" s="21"/>
      <c r="C83" s="54"/>
      <c r="D83" s="60"/>
      <c r="E83" s="64"/>
      <c r="F83" s="56"/>
      <c r="G83" s="56"/>
      <c r="H83" s="57"/>
      <c r="I83" s="68">
        <f>SUM(I79:I82)</f>
        <v>35</v>
      </c>
      <c r="J83" s="68">
        <f>SUM(J79:J82)</f>
        <v>75</v>
      </c>
      <c r="K83" s="68">
        <f>SUM(K79:K82)</f>
        <v>110</v>
      </c>
      <c r="L83" s="68">
        <f>SUM(L79:L82)</f>
        <v>0</v>
      </c>
      <c r="M83" s="61"/>
      <c r="N83" s="68">
        <f>SUM(N79:N82)</f>
        <v>0</v>
      </c>
      <c r="O83" s="68">
        <f>SUM(O79:O82)</f>
        <v>0</v>
      </c>
      <c r="P83" s="68">
        <f>SUM(P79:P82)</f>
        <v>0</v>
      </c>
      <c r="Q83" s="59"/>
      <c r="R83" s="25"/>
      <c r="AI83" s="9"/>
      <c r="AJ83" s="6"/>
      <c r="AK83" s="6"/>
      <c r="AL83" s="6"/>
      <c r="AM83" s="6"/>
      <c r="AN83" s="6"/>
      <c r="AO83" s="6"/>
      <c r="AP83" s="6"/>
      <c r="AQ83" s="6"/>
      <c r="AR83" s="6"/>
      <c r="AS83" s="6"/>
      <c r="AT83" s="6"/>
    </row>
    <row r="84" spans="2:46" ht="12.75">
      <c r="B84" s="21"/>
      <c r="C84" s="54"/>
      <c r="D84" s="133" t="s">
        <v>228</v>
      </c>
      <c r="E84" s="55"/>
      <c r="F84" s="229">
        <f>VLOOKUP(tabellen!$B$2+2,schooljaren,4,FALSE)</f>
        <v>41655</v>
      </c>
      <c r="G84" s="91"/>
      <c r="H84" s="61"/>
      <c r="I84" s="60"/>
      <c r="J84" s="62"/>
      <c r="K84" s="62"/>
      <c r="L84" s="62"/>
      <c r="M84" s="61"/>
      <c r="N84" s="62"/>
      <c r="O84" s="62"/>
      <c r="P84" s="62"/>
      <c r="Q84" s="63"/>
      <c r="R84" s="40"/>
      <c r="S84" s="10"/>
      <c r="T84" s="8"/>
      <c r="U84" s="8"/>
      <c r="V84" s="8"/>
      <c r="W84" s="8"/>
      <c r="X84" s="8"/>
      <c r="Y84" s="8"/>
      <c r="Z84" s="8"/>
      <c r="AA84" s="8"/>
      <c r="AB84" s="8"/>
      <c r="AI84" s="9"/>
      <c r="AJ84" s="6"/>
      <c r="AK84" s="6"/>
      <c r="AL84" s="6"/>
      <c r="AM84" s="6"/>
      <c r="AN84" s="6"/>
      <c r="AO84" s="6"/>
      <c r="AP84" s="6"/>
      <c r="AQ84" s="6"/>
      <c r="AR84" s="6"/>
      <c r="AS84" s="6"/>
      <c r="AT84" s="6"/>
    </row>
    <row r="85" spans="2:46" ht="12.75">
      <c r="B85" s="21"/>
      <c r="C85" s="54"/>
      <c r="D85" s="133" t="s">
        <v>22</v>
      </c>
      <c r="E85" s="64"/>
      <c r="F85" s="91" t="s">
        <v>21</v>
      </c>
      <c r="G85" s="91" t="s">
        <v>105</v>
      </c>
      <c r="H85" s="61"/>
      <c r="I85" s="62"/>
      <c r="J85" s="62"/>
      <c r="K85" s="62"/>
      <c r="L85" s="62"/>
      <c r="M85" s="61"/>
      <c r="N85" s="62"/>
      <c r="O85" s="62"/>
      <c r="P85" s="62"/>
      <c r="Q85" s="63"/>
      <c r="R85" s="40"/>
      <c r="S85" s="10"/>
      <c r="T85" s="8"/>
      <c r="U85" s="8"/>
      <c r="V85" s="8"/>
      <c r="W85" s="8"/>
      <c r="X85" s="8"/>
      <c r="Y85" s="8"/>
      <c r="Z85" s="8"/>
      <c r="AA85" s="8"/>
      <c r="AB85" s="8"/>
      <c r="AI85" s="9"/>
      <c r="AJ85" s="6"/>
      <c r="AK85" s="6"/>
      <c r="AL85" s="6"/>
      <c r="AM85" s="6"/>
      <c r="AN85" s="6"/>
      <c r="AO85" s="6"/>
      <c r="AP85" s="6"/>
      <c r="AQ85" s="6"/>
      <c r="AR85" s="6"/>
      <c r="AS85" s="6"/>
      <c r="AT85" s="6"/>
    </row>
    <row r="86" spans="2:46" ht="12.75">
      <c r="B86" s="21"/>
      <c r="C86" s="54"/>
      <c r="D86" s="65" t="str">
        <f aca="true" t="shared" si="19" ref="D86:G89">+D68</f>
        <v>SO</v>
      </c>
      <c r="E86" s="65" t="str">
        <f>E79</f>
        <v>ZMLK</v>
      </c>
      <c r="F86" s="66" t="str">
        <f t="shared" si="19"/>
        <v>nee</v>
      </c>
      <c r="G86" s="85" t="str">
        <f t="shared" si="19"/>
        <v>nee</v>
      </c>
      <c r="H86" s="67"/>
      <c r="I86" s="85">
        <f aca="true" t="shared" si="20" ref="I86:J89">+I79</f>
        <v>35</v>
      </c>
      <c r="J86" s="85">
        <f t="shared" si="20"/>
        <v>65</v>
      </c>
      <c r="K86" s="95">
        <f>SUM(I86:J86)+N86</f>
        <v>100</v>
      </c>
      <c r="L86" s="85">
        <f aca="true" t="shared" si="21" ref="L86:P89">+L79</f>
        <v>0</v>
      </c>
      <c r="M86" s="67"/>
      <c r="N86" s="85">
        <f t="shared" si="21"/>
        <v>0</v>
      </c>
      <c r="O86" s="85">
        <f t="shared" si="21"/>
        <v>0</v>
      </c>
      <c r="P86" s="85">
        <f t="shared" si="21"/>
        <v>0</v>
      </c>
      <c r="Q86" s="69"/>
      <c r="R86" s="41"/>
      <c r="S86" s="13"/>
      <c r="AE86" s="231">
        <f>IF(D86=0,0,VLOOKUP(E86,Groepsgrootte,IF(D86="SO",2,3),FALSE))</f>
        <v>12</v>
      </c>
      <c r="AF86" s="231">
        <f>IF(AE86=0,0,ROUNDUP(IF(D86="SO",(K86+IF(AND(G87="ja",D87="SO"),K87,0)+IF(AND(G88="ja",D88="SO"),K88,0)+IF(AND(G89="ja",D89="SO"),K89,0)),(K86+IF(AND(G87="ja",D87="VSO"),K87,0)+IF(AND(G88="ja",D88="VSO"),K88,0)+IF(AND(G89="ja",D89="VSO"),K89,0)))/AE86,0))</f>
        <v>9</v>
      </c>
      <c r="AH86" s="231">
        <f>+K86-N86</f>
        <v>100</v>
      </c>
      <c r="AI86" s="9"/>
      <c r="AJ86" s="6"/>
      <c r="AK86" s="6"/>
      <c r="AL86" s="6"/>
      <c r="AM86" s="6"/>
      <c r="AN86" s="6"/>
      <c r="AO86" s="6"/>
      <c r="AP86" s="6"/>
      <c r="AQ86" s="6"/>
      <c r="AR86" s="6"/>
      <c r="AS86" s="6"/>
      <c r="AT86" s="6"/>
    </row>
    <row r="87" spans="2:46" ht="12.75">
      <c r="B87" s="21"/>
      <c r="C87" s="54"/>
      <c r="D87" s="65" t="str">
        <f t="shared" si="19"/>
        <v>VSO</v>
      </c>
      <c r="E87" s="65" t="str">
        <f>E80</f>
        <v>ZMLK</v>
      </c>
      <c r="F87" s="66" t="str">
        <f t="shared" si="19"/>
        <v>nee</v>
      </c>
      <c r="G87" s="85" t="str">
        <f t="shared" si="19"/>
        <v>nee</v>
      </c>
      <c r="H87" s="67"/>
      <c r="I87" s="85">
        <f t="shared" si="20"/>
        <v>0</v>
      </c>
      <c r="J87" s="85">
        <f t="shared" si="20"/>
        <v>10</v>
      </c>
      <c r="K87" s="95">
        <f>SUM(I87:J87)+N87</f>
        <v>10</v>
      </c>
      <c r="L87" s="85">
        <f t="shared" si="21"/>
        <v>0</v>
      </c>
      <c r="M87" s="67"/>
      <c r="N87" s="85">
        <f t="shared" si="21"/>
        <v>0</v>
      </c>
      <c r="O87" s="85">
        <f t="shared" si="21"/>
        <v>0</v>
      </c>
      <c r="P87" s="85">
        <f t="shared" si="21"/>
        <v>0</v>
      </c>
      <c r="Q87" s="69"/>
      <c r="R87" s="41"/>
      <c r="S87" s="13"/>
      <c r="AE87" s="231">
        <f>IF(D87=0,0,VLOOKUP(E87,Groepsgrootte,IF(D87="SO",2,3),FALSE))</f>
        <v>7</v>
      </c>
      <c r="AF87" s="231">
        <f>IF(AE87=0,0,ROUNDUP(IF(G87="ja",0,IF(D87="SO",K87,(K87+IF(AND(G88="ja",D88="VSO"),K88,0)+IF(AND(G89="ja",D89="VSO"),K89,0))))/AE87,0))</f>
        <v>2</v>
      </c>
      <c r="AH87" s="231">
        <f>+K87-N87</f>
        <v>10</v>
      </c>
      <c r="AI87" s="9"/>
      <c r="AJ87" s="6"/>
      <c r="AK87" s="6"/>
      <c r="AL87" s="6"/>
      <c r="AM87" s="6"/>
      <c r="AN87" s="6"/>
      <c r="AO87" s="6"/>
      <c r="AP87" s="6"/>
      <c r="AQ87" s="6"/>
      <c r="AR87" s="6"/>
      <c r="AS87" s="6"/>
      <c r="AT87" s="6"/>
    </row>
    <row r="88" spans="2:46" ht="12.75">
      <c r="B88" s="21"/>
      <c r="C88" s="54"/>
      <c r="D88" s="65">
        <f t="shared" si="19"/>
        <v>0</v>
      </c>
      <c r="E88" s="65">
        <f>E81</f>
        <v>0</v>
      </c>
      <c r="F88" s="66" t="str">
        <f t="shared" si="19"/>
        <v>nee</v>
      </c>
      <c r="G88" s="85" t="str">
        <f t="shared" si="19"/>
        <v>nee</v>
      </c>
      <c r="H88" s="67"/>
      <c r="I88" s="85">
        <f t="shared" si="20"/>
        <v>0</v>
      </c>
      <c r="J88" s="85">
        <f t="shared" si="20"/>
        <v>0</v>
      </c>
      <c r="K88" s="95">
        <f>SUM(I88:J88)+N88</f>
        <v>0</v>
      </c>
      <c r="L88" s="85">
        <f t="shared" si="21"/>
        <v>0</v>
      </c>
      <c r="M88" s="67"/>
      <c r="N88" s="85">
        <f t="shared" si="21"/>
        <v>0</v>
      </c>
      <c r="O88" s="85">
        <f t="shared" si="21"/>
        <v>0</v>
      </c>
      <c r="P88" s="85">
        <f t="shared" si="21"/>
        <v>0</v>
      </c>
      <c r="Q88" s="69"/>
      <c r="R88" s="41"/>
      <c r="S88" s="13"/>
      <c r="AE88" s="231">
        <f>IF(D88=0,0,VLOOKUP(E88,Groepsgrootte,IF(D88="SO",2,3),FALSE))</f>
        <v>0</v>
      </c>
      <c r="AF88" s="231">
        <f>IF(AE88=0,0,ROUNDUP(IF(G88="ja",0,IF(D88="SO",K88,(K88+IF(AND(G89="ja",D89="VSO",D87="SO"),K89,0))))/AE88,0))</f>
        <v>0</v>
      </c>
      <c r="AH88" s="231">
        <f>+K88-N88</f>
        <v>0</v>
      </c>
      <c r="AI88" s="9"/>
      <c r="AJ88" s="6"/>
      <c r="AK88" s="6"/>
      <c r="AL88" s="6"/>
      <c r="AM88" s="6"/>
      <c r="AN88" s="6"/>
      <c r="AO88" s="6"/>
      <c r="AP88" s="6"/>
      <c r="AQ88" s="6"/>
      <c r="AR88" s="6"/>
      <c r="AS88" s="6"/>
      <c r="AT88" s="6"/>
    </row>
    <row r="89" spans="2:46" ht="12.75">
      <c r="B89" s="21"/>
      <c r="C89" s="54"/>
      <c r="D89" s="65">
        <f t="shared" si="19"/>
        <v>0</v>
      </c>
      <c r="E89" s="65">
        <f>E82</f>
        <v>0</v>
      </c>
      <c r="F89" s="66" t="str">
        <f t="shared" si="19"/>
        <v>nee</v>
      </c>
      <c r="G89" s="85" t="str">
        <f t="shared" si="19"/>
        <v>nee</v>
      </c>
      <c r="H89" s="67"/>
      <c r="I89" s="85">
        <f t="shared" si="20"/>
        <v>0</v>
      </c>
      <c r="J89" s="85">
        <f t="shared" si="20"/>
        <v>0</v>
      </c>
      <c r="K89" s="95">
        <f>SUM(I89:J89)+N89</f>
        <v>0</v>
      </c>
      <c r="L89" s="85">
        <f t="shared" si="21"/>
        <v>0</v>
      </c>
      <c r="M89" s="67"/>
      <c r="N89" s="85">
        <f t="shared" si="21"/>
        <v>0</v>
      </c>
      <c r="O89" s="85">
        <f t="shared" si="21"/>
        <v>0</v>
      </c>
      <c r="P89" s="85">
        <f t="shared" si="21"/>
        <v>0</v>
      </c>
      <c r="Q89" s="69"/>
      <c r="R89" s="41"/>
      <c r="S89" s="13"/>
      <c r="AE89" s="231">
        <f>IF(D89=0,0,VLOOKUP(E89,Groepsgrootte,IF(D89="SO",2,3),FALSE))</f>
        <v>0</v>
      </c>
      <c r="AF89" s="231">
        <f>IF(G89="ja",0,IF(AE89=0,0,ROUNDUP(K89/AE89,0)))</f>
        <v>0</v>
      </c>
      <c r="AH89" s="231">
        <f>+K89-N89</f>
        <v>0</v>
      </c>
      <c r="AI89" s="9"/>
      <c r="AJ89" s="6"/>
      <c r="AK89" s="6"/>
      <c r="AL89" s="6"/>
      <c r="AM89" s="6"/>
      <c r="AN89" s="6"/>
      <c r="AO89" s="6"/>
      <c r="AP89" s="6"/>
      <c r="AQ89" s="6"/>
      <c r="AR89" s="6"/>
      <c r="AS89" s="6"/>
      <c r="AT89" s="6"/>
    </row>
    <row r="90" spans="2:46" ht="12.75">
      <c r="B90" s="21"/>
      <c r="C90" s="54"/>
      <c r="D90" s="60"/>
      <c r="E90" s="64"/>
      <c r="F90" s="56"/>
      <c r="G90" s="56"/>
      <c r="H90" s="57"/>
      <c r="I90" s="68">
        <f>SUM(I86:I89)</f>
        <v>35</v>
      </c>
      <c r="J90" s="68">
        <f>SUM(J86:J89)</f>
        <v>75</v>
      </c>
      <c r="K90" s="68">
        <f>SUM(K86:K89)</f>
        <v>110</v>
      </c>
      <c r="L90" s="68">
        <f>SUM(L86:L89)</f>
        <v>0</v>
      </c>
      <c r="M90" s="61"/>
      <c r="N90" s="68">
        <f>SUM(N86:N89)</f>
        <v>0</v>
      </c>
      <c r="O90" s="68">
        <f>SUM(O86:O89)</f>
        <v>0</v>
      </c>
      <c r="P90" s="68">
        <f>SUM(P86:P89)</f>
        <v>0</v>
      </c>
      <c r="Q90" s="59"/>
      <c r="R90" s="25"/>
      <c r="AI90" s="9"/>
      <c r="AJ90" s="6"/>
      <c r="AK90" s="6"/>
      <c r="AL90" s="6"/>
      <c r="AM90" s="6"/>
      <c r="AN90" s="6"/>
      <c r="AO90" s="6"/>
      <c r="AP90" s="6"/>
      <c r="AQ90" s="6"/>
      <c r="AR90" s="6"/>
      <c r="AS90" s="6"/>
      <c r="AT90" s="6"/>
    </row>
    <row r="91" spans="2:46" ht="12.75">
      <c r="B91" s="21"/>
      <c r="C91" s="71"/>
      <c r="D91" s="72"/>
      <c r="E91" s="73"/>
      <c r="F91" s="74"/>
      <c r="G91" s="74"/>
      <c r="H91" s="75"/>
      <c r="I91" s="74"/>
      <c r="J91" s="74"/>
      <c r="K91" s="87"/>
      <c r="L91" s="74"/>
      <c r="M91" s="75"/>
      <c r="N91" s="74"/>
      <c r="O91" s="74"/>
      <c r="P91" s="74"/>
      <c r="Q91" s="76"/>
      <c r="R91" s="25"/>
      <c r="AC91" s="231">
        <f>IF((K90-K83)&gt;F72/2,K90,K83)</f>
        <v>110</v>
      </c>
      <c r="AD91" s="234">
        <f>IF((K90-K83)&gt;I14/2,F84,F77)</f>
        <v>41548</v>
      </c>
      <c r="AI91" s="9"/>
      <c r="AJ91" s="6"/>
      <c r="AK91" s="6"/>
      <c r="AL91" s="6"/>
      <c r="AM91" s="6"/>
      <c r="AN91" s="6"/>
      <c r="AO91" s="6"/>
      <c r="AP91" s="6"/>
      <c r="AQ91" s="6"/>
      <c r="AR91" s="6"/>
      <c r="AS91" s="6"/>
      <c r="AT91" s="6"/>
    </row>
    <row r="92" spans="2:46" ht="12.75">
      <c r="B92" s="21"/>
      <c r="C92" s="22"/>
      <c r="D92" s="36"/>
      <c r="E92" s="35"/>
      <c r="F92" s="24"/>
      <c r="G92" s="24"/>
      <c r="H92" s="22"/>
      <c r="I92" s="24"/>
      <c r="J92" s="24"/>
      <c r="K92" s="39"/>
      <c r="L92" s="24"/>
      <c r="M92" s="22"/>
      <c r="N92" s="24"/>
      <c r="O92" s="24"/>
      <c r="P92" s="24"/>
      <c r="Q92" s="22"/>
      <c r="R92" s="25"/>
      <c r="AI92" s="9"/>
      <c r="AJ92" s="6"/>
      <c r="AK92" s="6"/>
      <c r="AL92" s="6"/>
      <c r="AM92" s="6"/>
      <c r="AN92" s="6"/>
      <c r="AO92" s="6"/>
      <c r="AP92" s="6"/>
      <c r="AQ92" s="6"/>
      <c r="AR92" s="6"/>
      <c r="AS92" s="6"/>
      <c r="AT92" s="6"/>
    </row>
    <row r="93" spans="2:46" ht="12.75">
      <c r="B93" s="21"/>
      <c r="C93" s="22"/>
      <c r="D93" s="36"/>
      <c r="E93" s="35"/>
      <c r="F93" s="24"/>
      <c r="G93" s="24"/>
      <c r="H93" s="22"/>
      <c r="I93" s="24"/>
      <c r="J93" s="24"/>
      <c r="K93" s="24"/>
      <c r="L93" s="24"/>
      <c r="M93" s="22"/>
      <c r="N93" s="24"/>
      <c r="O93" s="24"/>
      <c r="P93" s="24"/>
      <c r="Q93" s="22"/>
      <c r="R93" s="25"/>
      <c r="AI93" s="9"/>
      <c r="AJ93" s="6"/>
      <c r="AK93" s="6"/>
      <c r="AL93" s="6"/>
      <c r="AM93" s="6"/>
      <c r="AN93" s="6"/>
      <c r="AO93" s="6"/>
      <c r="AP93" s="6"/>
      <c r="AQ93" s="6"/>
      <c r="AR93" s="6"/>
      <c r="AS93" s="6"/>
      <c r="AT93" s="6"/>
    </row>
    <row r="94" spans="2:46" ht="12.75">
      <c r="B94" s="96"/>
      <c r="C94" s="97"/>
      <c r="D94" s="98"/>
      <c r="E94" s="99"/>
      <c r="F94" s="100"/>
      <c r="G94" s="100"/>
      <c r="H94" s="97"/>
      <c r="I94" s="100"/>
      <c r="J94" s="100"/>
      <c r="K94" s="100"/>
      <c r="L94" s="100"/>
      <c r="M94" s="97"/>
      <c r="N94" s="100"/>
      <c r="O94" s="100"/>
      <c r="P94" s="236"/>
      <c r="Q94" s="237" t="s">
        <v>230</v>
      </c>
      <c r="R94" s="101"/>
      <c r="AI94" s="9"/>
      <c r="AJ94" s="6"/>
      <c r="AK94" s="6"/>
      <c r="AL94" s="6"/>
      <c r="AM94" s="6"/>
      <c r="AN94" s="6"/>
      <c r="AO94" s="6"/>
      <c r="AP94" s="6"/>
      <c r="AQ94" s="6"/>
      <c r="AR94" s="6"/>
      <c r="AS94" s="6"/>
      <c r="AT94" s="6"/>
    </row>
    <row r="95" spans="4:46" ht="12.75">
      <c r="D95" s="8"/>
      <c r="E95" s="7"/>
      <c r="AI95" s="9"/>
      <c r="AJ95" s="6"/>
      <c r="AK95" s="6"/>
      <c r="AL95" s="6"/>
      <c r="AM95" s="6"/>
      <c r="AN95" s="6"/>
      <c r="AO95" s="6"/>
      <c r="AP95" s="6"/>
      <c r="AQ95" s="6"/>
      <c r="AR95" s="6"/>
      <c r="AS95" s="6"/>
      <c r="AT95" s="6"/>
    </row>
    <row r="96" spans="4:46" ht="12.75">
      <c r="D96" s="8"/>
      <c r="E96" s="7"/>
      <c r="AI96" s="9"/>
      <c r="AJ96" s="6"/>
      <c r="AK96" s="6"/>
      <c r="AL96" s="6"/>
      <c r="AM96" s="6"/>
      <c r="AN96" s="6"/>
      <c r="AO96" s="6"/>
      <c r="AP96" s="6"/>
      <c r="AQ96" s="6"/>
      <c r="AR96" s="6"/>
      <c r="AS96" s="6"/>
      <c r="AT96" s="6"/>
    </row>
    <row r="97" spans="4:46" ht="12.75">
      <c r="D97" s="8"/>
      <c r="E97" s="7"/>
      <c r="AI97" s="9"/>
      <c r="AJ97" s="6"/>
      <c r="AK97" s="6"/>
      <c r="AL97" s="6"/>
      <c r="AM97" s="6"/>
      <c r="AN97" s="6"/>
      <c r="AO97" s="6"/>
      <c r="AP97" s="6"/>
      <c r="AQ97" s="6"/>
      <c r="AR97" s="6"/>
      <c r="AS97" s="6"/>
      <c r="AT97" s="6"/>
    </row>
    <row r="98" spans="4:46" ht="12.75">
      <c r="D98" s="8"/>
      <c r="E98" s="7"/>
      <c r="AI98" s="9"/>
      <c r="AJ98" s="6"/>
      <c r="AK98" s="6"/>
      <c r="AL98" s="6"/>
      <c r="AM98" s="6"/>
      <c r="AN98" s="6"/>
      <c r="AO98" s="6"/>
      <c r="AP98" s="6"/>
      <c r="AQ98" s="6"/>
      <c r="AR98" s="6"/>
      <c r="AS98" s="6"/>
      <c r="AT98" s="6"/>
    </row>
    <row r="99" spans="4:46" ht="12.75">
      <c r="D99" s="8"/>
      <c r="E99" s="7"/>
      <c r="Q99" s="4"/>
      <c r="R99" s="4"/>
      <c r="AI99" s="9"/>
      <c r="AJ99" s="6"/>
      <c r="AK99" s="6"/>
      <c r="AL99" s="6"/>
      <c r="AM99" s="6"/>
      <c r="AN99" s="6"/>
      <c r="AO99" s="6"/>
      <c r="AP99" s="6"/>
      <c r="AQ99" s="6"/>
      <c r="AR99" s="6"/>
      <c r="AS99" s="6"/>
      <c r="AT99" s="6"/>
    </row>
    <row r="100" spans="4:46" ht="12.75" hidden="1">
      <c r="D100" s="8"/>
      <c r="E100" s="9">
        <f>VLOOKUP(I13,Groepsgrootte,2,FALSE)</f>
        <v>12</v>
      </c>
      <c r="F100" s="9">
        <f>VLOOKUP(I13,Groepsgrootte,3,FALSE)</f>
        <v>7</v>
      </c>
      <c r="G100" s="9" t="s">
        <v>28</v>
      </c>
      <c r="H100" s="9"/>
      <c r="I100" s="9" t="s">
        <v>28</v>
      </c>
      <c r="J100" s="9" t="s">
        <v>51</v>
      </c>
      <c r="K100" s="9" t="s">
        <v>24</v>
      </c>
      <c r="L100" s="9" t="s">
        <v>51</v>
      </c>
      <c r="M100" s="6"/>
      <c r="Q100" s="4"/>
      <c r="R100" s="4"/>
      <c r="AI100" s="9"/>
      <c r="AJ100" s="6"/>
      <c r="AK100" s="6"/>
      <c r="AL100" s="6"/>
      <c r="AM100" s="6"/>
      <c r="AN100" s="6"/>
      <c r="AO100" s="6"/>
      <c r="AP100" s="6"/>
      <c r="AQ100" s="6"/>
      <c r="AR100" s="6"/>
      <c r="AS100" s="6"/>
      <c r="AT100" s="6"/>
    </row>
    <row r="101" spans="6:46" ht="12.75" hidden="1">
      <c r="F101" s="3"/>
      <c r="G101" s="9" t="s">
        <v>24</v>
      </c>
      <c r="H101" s="9"/>
      <c r="I101" s="9"/>
      <c r="J101" s="9" t="s">
        <v>46</v>
      </c>
      <c r="K101" s="9"/>
      <c r="L101" s="9" t="s">
        <v>46</v>
      </c>
      <c r="M101" s="6"/>
      <c r="Q101" s="4"/>
      <c r="R101" s="4"/>
      <c r="AI101" s="9"/>
      <c r="AJ101" s="6"/>
      <c r="AK101" s="6"/>
      <c r="AL101" s="6"/>
      <c r="AM101" s="6"/>
      <c r="AN101" s="6"/>
      <c r="AO101" s="6"/>
      <c r="AP101" s="6"/>
      <c r="AQ101" s="6"/>
      <c r="AR101" s="6"/>
      <c r="AS101" s="6"/>
      <c r="AT101" s="6"/>
    </row>
    <row r="102" spans="6:46" ht="12.75" hidden="1">
      <c r="F102" s="3"/>
      <c r="G102" s="9" t="s">
        <v>97</v>
      </c>
      <c r="H102" s="9"/>
      <c r="I102" s="9"/>
      <c r="J102" s="14" t="s">
        <v>6</v>
      </c>
      <c r="K102" s="9"/>
      <c r="L102" s="14" t="s">
        <v>6</v>
      </c>
      <c r="M102" s="6"/>
      <c r="P102" s="15"/>
      <c r="Q102" s="4"/>
      <c r="R102" s="4"/>
      <c r="AI102" s="9"/>
      <c r="AJ102" s="6"/>
      <c r="AK102" s="6"/>
      <c r="AL102" s="6"/>
      <c r="AM102" s="6"/>
      <c r="AN102" s="6"/>
      <c r="AO102" s="6"/>
      <c r="AP102" s="6"/>
      <c r="AQ102" s="6"/>
      <c r="AR102" s="6"/>
      <c r="AS102" s="6"/>
      <c r="AT102" s="6"/>
    </row>
    <row r="103" spans="6:46" ht="12.75" hidden="1">
      <c r="F103" s="3"/>
      <c r="G103" s="9"/>
      <c r="H103" s="9"/>
      <c r="I103" s="9"/>
      <c r="J103" s="14" t="s">
        <v>7</v>
      </c>
      <c r="K103" s="9"/>
      <c r="L103" s="14" t="s">
        <v>7</v>
      </c>
      <c r="M103" s="6"/>
      <c r="R103" s="4"/>
      <c r="AI103" s="9"/>
      <c r="AJ103" s="6"/>
      <c r="AK103" s="6"/>
      <c r="AL103" s="6"/>
      <c r="AM103" s="6"/>
      <c r="AN103" s="6"/>
      <c r="AO103" s="6"/>
      <c r="AP103" s="6"/>
      <c r="AQ103" s="6"/>
      <c r="AR103" s="6"/>
      <c r="AS103" s="6"/>
      <c r="AT103" s="6"/>
    </row>
    <row r="104" spans="6:46" ht="12.75" hidden="1">
      <c r="F104" s="3"/>
      <c r="G104" s="9"/>
      <c r="H104" s="9"/>
      <c r="I104" s="9"/>
      <c r="J104" s="14" t="s">
        <v>8</v>
      </c>
      <c r="K104" s="9"/>
      <c r="L104" s="14" t="s">
        <v>8</v>
      </c>
      <c r="M104" s="6"/>
      <c r="AI104" s="9"/>
      <c r="AJ104" s="6"/>
      <c r="AK104" s="6"/>
      <c r="AL104" s="6"/>
      <c r="AM104" s="6"/>
      <c r="AN104" s="6"/>
      <c r="AO104" s="6"/>
      <c r="AP104" s="6"/>
      <c r="AQ104" s="6"/>
      <c r="AR104" s="6"/>
      <c r="AS104" s="6"/>
      <c r="AT104" s="6"/>
    </row>
    <row r="105" spans="6:46" ht="12.75" hidden="1">
      <c r="F105" s="3"/>
      <c r="G105" s="9"/>
      <c r="H105" s="9"/>
      <c r="I105" s="9"/>
      <c r="J105" s="14" t="s">
        <v>9</v>
      </c>
      <c r="K105" s="9"/>
      <c r="L105" s="14" t="s">
        <v>9</v>
      </c>
      <c r="M105" s="6"/>
      <c r="AI105" s="9"/>
      <c r="AJ105" s="6"/>
      <c r="AK105" s="6"/>
      <c r="AL105" s="6"/>
      <c r="AM105" s="6"/>
      <c r="AN105" s="6"/>
      <c r="AO105" s="6"/>
      <c r="AP105" s="6"/>
      <c r="AQ105" s="6"/>
      <c r="AR105" s="6"/>
      <c r="AS105" s="6"/>
      <c r="AT105" s="6"/>
    </row>
    <row r="106" spans="6:46" ht="12.75" hidden="1">
      <c r="F106" s="3"/>
      <c r="G106" s="9"/>
      <c r="H106" s="9"/>
      <c r="I106" s="9"/>
      <c r="J106" s="14" t="s">
        <v>10</v>
      </c>
      <c r="K106" s="9"/>
      <c r="L106" s="14" t="s">
        <v>10</v>
      </c>
      <c r="M106" s="6"/>
      <c r="AI106" s="9"/>
      <c r="AJ106" s="6"/>
      <c r="AK106" s="6"/>
      <c r="AL106" s="6"/>
      <c r="AM106" s="6"/>
      <c r="AN106" s="6"/>
      <c r="AO106" s="6"/>
      <c r="AP106" s="6"/>
      <c r="AQ106" s="6"/>
      <c r="AR106" s="6"/>
      <c r="AS106" s="6"/>
      <c r="AT106" s="6"/>
    </row>
    <row r="107" spans="6:46" ht="12.75" hidden="1">
      <c r="F107" s="3"/>
      <c r="G107" s="9"/>
      <c r="H107" s="9"/>
      <c r="I107" s="9"/>
      <c r="J107" s="14" t="s">
        <v>47</v>
      </c>
      <c r="K107" s="9"/>
      <c r="L107" s="14" t="s">
        <v>47</v>
      </c>
      <c r="M107" s="6"/>
      <c r="AI107" s="9"/>
      <c r="AJ107" s="6"/>
      <c r="AK107" s="6"/>
      <c r="AL107" s="6"/>
      <c r="AM107" s="6"/>
      <c r="AN107" s="6"/>
      <c r="AO107" s="6"/>
      <c r="AP107" s="6"/>
      <c r="AQ107" s="6"/>
      <c r="AR107" s="6"/>
      <c r="AS107" s="6"/>
      <c r="AT107" s="6"/>
    </row>
    <row r="108" spans="6:46" ht="12.75" hidden="1">
      <c r="F108" s="3"/>
      <c r="G108" s="9"/>
      <c r="H108" s="9"/>
      <c r="I108" s="9"/>
      <c r="J108" s="14" t="s">
        <v>50</v>
      </c>
      <c r="K108" s="9"/>
      <c r="L108" s="14" t="s">
        <v>50</v>
      </c>
      <c r="M108" s="6"/>
      <c r="AI108" s="9"/>
      <c r="AJ108" s="6"/>
      <c r="AK108" s="6"/>
      <c r="AL108" s="6"/>
      <c r="AM108" s="6"/>
      <c r="AN108" s="6"/>
      <c r="AO108" s="6"/>
      <c r="AP108" s="6"/>
      <c r="AQ108" s="6"/>
      <c r="AR108" s="6"/>
      <c r="AS108" s="6"/>
      <c r="AT108" s="6"/>
    </row>
    <row r="109" spans="6:46" ht="12.75" hidden="1">
      <c r="F109" s="3"/>
      <c r="G109" s="9"/>
      <c r="H109" s="9"/>
      <c r="I109" s="9"/>
      <c r="J109" s="14" t="s">
        <v>48</v>
      </c>
      <c r="K109" s="9"/>
      <c r="L109" s="14" t="s">
        <v>48</v>
      </c>
      <c r="M109" s="6"/>
      <c r="AI109" s="9"/>
      <c r="AJ109" s="6"/>
      <c r="AK109" s="6"/>
      <c r="AL109" s="6"/>
      <c r="AM109" s="6"/>
      <c r="AN109" s="6"/>
      <c r="AO109" s="6"/>
      <c r="AP109" s="6"/>
      <c r="AQ109" s="6"/>
      <c r="AR109" s="6"/>
      <c r="AS109" s="6"/>
      <c r="AT109" s="6"/>
    </row>
    <row r="110" spans="6:46" ht="12.75" hidden="1">
      <c r="F110" s="3"/>
      <c r="G110" s="9"/>
      <c r="H110" s="9"/>
      <c r="I110" s="9"/>
      <c r="J110" s="14" t="s">
        <v>49</v>
      </c>
      <c r="K110" s="9"/>
      <c r="L110" s="14" t="s">
        <v>49</v>
      </c>
      <c r="M110" s="6"/>
      <c r="AI110" s="9"/>
      <c r="AJ110" s="6"/>
      <c r="AK110" s="6"/>
      <c r="AL110" s="6"/>
      <c r="AM110" s="6"/>
      <c r="AN110" s="6"/>
      <c r="AO110" s="6"/>
      <c r="AP110" s="6"/>
      <c r="AQ110" s="6"/>
      <c r="AR110" s="6"/>
      <c r="AS110" s="6"/>
      <c r="AT110" s="6"/>
    </row>
    <row r="111" spans="6:46" ht="12" customHeight="1" hidden="1">
      <c r="F111" s="3"/>
      <c r="G111" s="9"/>
      <c r="H111" s="9"/>
      <c r="I111" s="9"/>
      <c r="J111" s="14" t="s">
        <v>11</v>
      </c>
      <c r="K111" s="9"/>
      <c r="L111" s="14" t="s">
        <v>11</v>
      </c>
      <c r="M111" s="6"/>
      <c r="AI111" s="9"/>
      <c r="AJ111" s="6"/>
      <c r="AK111" s="6"/>
      <c r="AL111" s="6"/>
      <c r="AM111" s="6"/>
      <c r="AN111" s="6"/>
      <c r="AO111" s="6"/>
      <c r="AP111" s="6"/>
      <c r="AQ111" s="6"/>
      <c r="AR111" s="6"/>
      <c r="AS111" s="6"/>
      <c r="AT111" s="6"/>
    </row>
    <row r="112" spans="6:46" ht="12" customHeight="1" hidden="1">
      <c r="F112" s="3"/>
      <c r="G112" s="9"/>
      <c r="H112" s="9"/>
      <c r="I112" s="9"/>
      <c r="J112" s="14" t="s">
        <v>12</v>
      </c>
      <c r="K112" s="9"/>
      <c r="L112" s="14" t="s">
        <v>12</v>
      </c>
      <c r="M112" s="6"/>
      <c r="AI112" s="9"/>
      <c r="AJ112" s="6"/>
      <c r="AK112" s="6"/>
      <c r="AL112" s="6"/>
      <c r="AM112" s="6"/>
      <c r="AN112" s="6"/>
      <c r="AO112" s="6"/>
      <c r="AP112" s="6"/>
      <c r="AQ112" s="6"/>
      <c r="AR112" s="6"/>
      <c r="AS112" s="6"/>
      <c r="AT112" s="6"/>
    </row>
    <row r="113" spans="6:46" ht="12" customHeight="1" hidden="1">
      <c r="F113" s="3"/>
      <c r="G113" s="9"/>
      <c r="H113" s="9"/>
      <c r="I113" s="9"/>
      <c r="J113" s="14" t="s">
        <v>13</v>
      </c>
      <c r="K113" s="9"/>
      <c r="L113" s="14" t="s">
        <v>13</v>
      </c>
      <c r="M113" s="6"/>
      <c r="AI113" s="9"/>
      <c r="AJ113" s="6"/>
      <c r="AK113" s="6"/>
      <c r="AL113" s="6"/>
      <c r="AM113" s="6"/>
      <c r="AN113" s="6"/>
      <c r="AO113" s="6"/>
      <c r="AP113" s="6"/>
      <c r="AQ113" s="6"/>
      <c r="AR113" s="6"/>
      <c r="AS113" s="6"/>
      <c r="AT113" s="6"/>
    </row>
    <row r="114" spans="6:46" ht="12" customHeight="1" hidden="1">
      <c r="F114" s="3"/>
      <c r="G114" s="9"/>
      <c r="H114" s="9"/>
      <c r="I114" s="9"/>
      <c r="J114" s="14" t="s">
        <v>14</v>
      </c>
      <c r="K114" s="9"/>
      <c r="L114" s="14" t="s">
        <v>14</v>
      </c>
      <c r="M114" s="6"/>
      <c r="AI114" s="9"/>
      <c r="AJ114" s="6"/>
      <c r="AK114" s="6"/>
      <c r="AL114" s="6"/>
      <c r="AM114" s="6"/>
      <c r="AN114" s="6"/>
      <c r="AO114" s="6"/>
      <c r="AP114" s="6"/>
      <c r="AQ114" s="6"/>
      <c r="AR114" s="6"/>
      <c r="AS114" s="6"/>
      <c r="AT114" s="6"/>
    </row>
    <row r="115" spans="5:46" ht="12.75">
      <c r="E115" s="9"/>
      <c r="F115" s="15"/>
      <c r="G115" s="15"/>
      <c r="H115" s="6"/>
      <c r="I115" s="15"/>
      <c r="M115" s="6"/>
      <c r="AI115" s="9"/>
      <c r="AJ115" s="6"/>
      <c r="AK115" s="6"/>
      <c r="AL115" s="6"/>
      <c r="AM115" s="6"/>
      <c r="AN115" s="6"/>
      <c r="AO115" s="6"/>
      <c r="AP115" s="6"/>
      <c r="AQ115" s="6"/>
      <c r="AR115" s="6"/>
      <c r="AS115" s="6"/>
      <c r="AT115" s="6"/>
    </row>
    <row r="116" spans="7:46" ht="12.75">
      <c r="G116" s="15"/>
      <c r="H116" s="6"/>
      <c r="I116" s="15"/>
      <c r="M116" s="6"/>
      <c r="AI116" s="9"/>
      <c r="AJ116" s="6"/>
      <c r="AK116" s="6"/>
      <c r="AL116" s="6"/>
      <c r="AM116" s="6"/>
      <c r="AN116" s="6"/>
      <c r="AO116" s="6"/>
      <c r="AP116" s="6"/>
      <c r="AQ116" s="6"/>
      <c r="AR116" s="6"/>
      <c r="AS116" s="6"/>
      <c r="AT116" s="6"/>
    </row>
    <row r="117" spans="7:46" ht="12.75">
      <c r="G117" s="15"/>
      <c r="H117" s="6"/>
      <c r="I117" s="15"/>
      <c r="M117" s="6"/>
      <c r="AI117" s="9"/>
      <c r="AJ117" s="6"/>
      <c r="AK117" s="6"/>
      <c r="AL117" s="6"/>
      <c r="AM117" s="6"/>
      <c r="AN117" s="6"/>
      <c r="AO117" s="6"/>
      <c r="AP117" s="6"/>
      <c r="AQ117" s="6"/>
      <c r="AR117" s="6"/>
      <c r="AS117" s="6"/>
      <c r="AT117" s="6"/>
    </row>
    <row r="118" spans="7:46" ht="12.75">
      <c r="G118" s="15"/>
      <c r="H118" s="6"/>
      <c r="I118" s="15"/>
      <c r="M118" s="6"/>
      <c r="AI118" s="9"/>
      <c r="AJ118" s="6"/>
      <c r="AK118" s="6"/>
      <c r="AL118" s="6"/>
      <c r="AM118" s="6"/>
      <c r="AN118" s="6"/>
      <c r="AO118" s="6"/>
      <c r="AP118" s="6"/>
      <c r="AQ118" s="6"/>
      <c r="AR118" s="6"/>
      <c r="AS118" s="6"/>
      <c r="AT118" s="6"/>
    </row>
    <row r="119" spans="7:46" ht="12.75">
      <c r="G119" s="15"/>
      <c r="H119" s="6"/>
      <c r="I119" s="15"/>
      <c r="M119" s="6"/>
      <c r="AI119" s="9"/>
      <c r="AJ119" s="6"/>
      <c r="AK119" s="6"/>
      <c r="AL119" s="6"/>
      <c r="AM119" s="6"/>
      <c r="AN119" s="6"/>
      <c r="AO119" s="6"/>
      <c r="AP119" s="6"/>
      <c r="AQ119" s="6"/>
      <c r="AR119" s="6"/>
      <c r="AS119" s="6"/>
      <c r="AT119" s="6"/>
    </row>
    <row r="120" spans="7:46" ht="12.75">
      <c r="G120" s="15"/>
      <c r="H120" s="6"/>
      <c r="I120" s="15"/>
      <c r="M120" s="6"/>
      <c r="AI120" s="9"/>
      <c r="AJ120" s="6"/>
      <c r="AK120" s="6"/>
      <c r="AL120" s="6"/>
      <c r="AM120" s="6"/>
      <c r="AN120" s="6"/>
      <c r="AO120" s="6"/>
      <c r="AP120" s="6"/>
      <c r="AQ120" s="6"/>
      <c r="AR120" s="6"/>
      <c r="AS120" s="6"/>
      <c r="AT120" s="6"/>
    </row>
    <row r="121" spans="7:46" ht="12.75">
      <c r="G121" s="15"/>
      <c r="H121" s="6"/>
      <c r="I121" s="15"/>
      <c r="M121" s="6"/>
      <c r="AI121" s="9"/>
      <c r="AJ121" s="6"/>
      <c r="AK121" s="6"/>
      <c r="AL121" s="6"/>
      <c r="AM121" s="6"/>
      <c r="AN121" s="6"/>
      <c r="AO121" s="6"/>
      <c r="AP121" s="6"/>
      <c r="AQ121" s="6"/>
      <c r="AR121" s="6"/>
      <c r="AS121" s="6"/>
      <c r="AT121" s="6"/>
    </row>
    <row r="122" spans="7:46" ht="12.75">
      <c r="G122" s="15"/>
      <c r="H122" s="6"/>
      <c r="I122" s="15"/>
      <c r="M122" s="6"/>
      <c r="AI122" s="9"/>
      <c r="AJ122" s="6"/>
      <c r="AK122" s="6"/>
      <c r="AL122" s="6"/>
      <c r="AM122" s="6"/>
      <c r="AN122" s="6"/>
      <c r="AO122" s="6"/>
      <c r="AP122" s="6"/>
      <c r="AQ122" s="6"/>
      <c r="AR122" s="6"/>
      <c r="AS122" s="6"/>
      <c r="AT122" s="6"/>
    </row>
    <row r="123" spans="7:46" ht="12.75">
      <c r="G123" s="15"/>
      <c r="H123" s="6"/>
      <c r="I123" s="15"/>
      <c r="M123" s="6"/>
      <c r="AI123" s="9"/>
      <c r="AJ123" s="6"/>
      <c r="AK123" s="6"/>
      <c r="AL123" s="6"/>
      <c r="AM123" s="6"/>
      <c r="AN123" s="6"/>
      <c r="AO123" s="6"/>
      <c r="AP123" s="6"/>
      <c r="AQ123" s="6"/>
      <c r="AR123" s="6"/>
      <c r="AS123" s="6"/>
      <c r="AT123" s="6"/>
    </row>
    <row r="124" spans="7:46" ht="12.75">
      <c r="G124" s="15"/>
      <c r="H124" s="6"/>
      <c r="I124" s="15"/>
      <c r="M124" s="6"/>
      <c r="AI124" s="9"/>
      <c r="AJ124" s="6"/>
      <c r="AK124" s="6"/>
      <c r="AL124" s="6"/>
      <c r="AM124" s="6"/>
      <c r="AN124" s="6"/>
      <c r="AO124" s="6"/>
      <c r="AP124" s="6"/>
      <c r="AQ124" s="6"/>
      <c r="AR124" s="6"/>
      <c r="AS124" s="6"/>
      <c r="AT124" s="6"/>
    </row>
    <row r="125" spans="7:46" ht="12.75">
      <c r="G125" s="15"/>
      <c r="H125" s="6"/>
      <c r="I125" s="15"/>
      <c r="M125" s="6"/>
      <c r="AI125" s="9"/>
      <c r="AJ125" s="6"/>
      <c r="AK125" s="6"/>
      <c r="AL125" s="6"/>
      <c r="AM125" s="6"/>
      <c r="AN125" s="6"/>
      <c r="AO125" s="6"/>
      <c r="AP125" s="6"/>
      <c r="AQ125" s="6"/>
      <c r="AR125" s="6"/>
      <c r="AS125" s="6"/>
      <c r="AT125" s="6"/>
    </row>
    <row r="126" spans="7:46" ht="12.75">
      <c r="G126" s="15"/>
      <c r="H126" s="6"/>
      <c r="I126" s="15"/>
      <c r="M126" s="6"/>
      <c r="AI126" s="9"/>
      <c r="AJ126" s="6"/>
      <c r="AK126" s="6"/>
      <c r="AL126" s="6"/>
      <c r="AM126" s="6"/>
      <c r="AN126" s="6"/>
      <c r="AO126" s="6"/>
      <c r="AP126" s="6"/>
      <c r="AQ126" s="6"/>
      <c r="AR126" s="6"/>
      <c r="AS126" s="6"/>
      <c r="AT126" s="6"/>
    </row>
    <row r="127" spans="7:46" ht="12.75">
      <c r="G127" s="15"/>
      <c r="H127" s="6"/>
      <c r="I127" s="15"/>
      <c r="M127" s="6"/>
      <c r="AI127" s="9"/>
      <c r="AJ127" s="6"/>
      <c r="AK127" s="6"/>
      <c r="AL127" s="6"/>
      <c r="AM127" s="6"/>
      <c r="AN127" s="6"/>
      <c r="AO127" s="6"/>
      <c r="AP127" s="6"/>
      <c r="AQ127" s="6"/>
      <c r="AR127" s="6"/>
      <c r="AS127" s="6"/>
      <c r="AT127" s="6"/>
    </row>
    <row r="128" spans="7:46" ht="12.75">
      <c r="G128" s="15"/>
      <c r="H128" s="6"/>
      <c r="I128" s="15"/>
      <c r="M128" s="6"/>
      <c r="AI128" s="9"/>
      <c r="AJ128" s="6"/>
      <c r="AK128" s="6"/>
      <c r="AL128" s="6"/>
      <c r="AM128" s="6"/>
      <c r="AN128" s="6"/>
      <c r="AO128" s="6"/>
      <c r="AP128" s="6"/>
      <c r="AQ128" s="6"/>
      <c r="AR128" s="6"/>
      <c r="AS128" s="6"/>
      <c r="AT128" s="6"/>
    </row>
    <row r="129" spans="7:46" ht="12.75">
      <c r="G129" s="15"/>
      <c r="H129" s="6"/>
      <c r="I129" s="15"/>
      <c r="M129" s="6"/>
      <c r="AI129" s="9"/>
      <c r="AJ129" s="6"/>
      <c r="AK129" s="6"/>
      <c r="AL129" s="6"/>
      <c r="AM129" s="6"/>
      <c r="AN129" s="6"/>
      <c r="AO129" s="6"/>
      <c r="AP129" s="6"/>
      <c r="AQ129" s="6"/>
      <c r="AR129" s="6"/>
      <c r="AS129" s="6"/>
      <c r="AT129" s="6"/>
    </row>
    <row r="130" spans="7:46" ht="12.75">
      <c r="G130" s="15"/>
      <c r="H130" s="6"/>
      <c r="I130" s="15"/>
      <c r="M130" s="6"/>
      <c r="AI130" s="9"/>
      <c r="AJ130" s="6"/>
      <c r="AK130" s="6"/>
      <c r="AL130" s="6"/>
      <c r="AM130" s="6"/>
      <c r="AN130" s="6"/>
      <c r="AO130" s="6"/>
      <c r="AP130" s="6"/>
      <c r="AQ130" s="6"/>
      <c r="AR130" s="6"/>
      <c r="AS130" s="6"/>
      <c r="AT130" s="6"/>
    </row>
    <row r="131" spans="5:46" ht="12.75">
      <c r="E131" s="9"/>
      <c r="F131" s="15"/>
      <c r="G131" s="15"/>
      <c r="H131" s="6"/>
      <c r="I131" s="15"/>
      <c r="M131" s="6"/>
      <c r="AI131" s="9"/>
      <c r="AJ131" s="6"/>
      <c r="AK131" s="6"/>
      <c r="AL131" s="6"/>
      <c r="AM131" s="6"/>
      <c r="AN131" s="6"/>
      <c r="AO131" s="6"/>
      <c r="AP131" s="6"/>
      <c r="AQ131" s="6"/>
      <c r="AR131" s="6"/>
      <c r="AS131" s="6"/>
      <c r="AT131" s="6"/>
    </row>
    <row r="132" spans="35:46" ht="12.75">
      <c r="AI132" s="9"/>
      <c r="AJ132" s="6"/>
      <c r="AK132" s="6"/>
      <c r="AL132" s="6"/>
      <c r="AM132" s="6"/>
      <c r="AN132" s="6"/>
      <c r="AO132" s="6"/>
      <c r="AP132" s="6"/>
      <c r="AQ132" s="6"/>
      <c r="AR132" s="6"/>
      <c r="AS132" s="6"/>
      <c r="AT132" s="6"/>
    </row>
    <row r="133" spans="35:46" ht="12.75">
      <c r="AI133" s="9"/>
      <c r="AJ133" s="6"/>
      <c r="AK133" s="6"/>
      <c r="AL133" s="6"/>
      <c r="AM133" s="6"/>
      <c r="AN133" s="6"/>
      <c r="AO133" s="6"/>
      <c r="AP133" s="6"/>
      <c r="AQ133" s="6"/>
      <c r="AR133" s="6"/>
      <c r="AS133" s="6"/>
      <c r="AT133" s="6"/>
    </row>
    <row r="134" spans="35:46" ht="12.75">
      <c r="AI134" s="9"/>
      <c r="AJ134" s="6"/>
      <c r="AK134" s="6"/>
      <c r="AL134" s="6"/>
      <c r="AM134" s="6"/>
      <c r="AN134" s="6"/>
      <c r="AO134" s="6"/>
      <c r="AP134" s="6"/>
      <c r="AQ134" s="6"/>
      <c r="AR134" s="6"/>
      <c r="AS134" s="6"/>
      <c r="AT134" s="6"/>
    </row>
    <row r="135" spans="35:46" ht="12.75">
      <c r="AI135" s="9"/>
      <c r="AJ135" s="6"/>
      <c r="AK135" s="6"/>
      <c r="AL135" s="6"/>
      <c r="AM135" s="6"/>
      <c r="AN135" s="6"/>
      <c r="AO135" s="6"/>
      <c r="AP135" s="6"/>
      <c r="AQ135" s="6"/>
      <c r="AR135" s="6"/>
      <c r="AS135" s="6"/>
      <c r="AT135" s="6"/>
    </row>
    <row r="136" spans="35:46" ht="12.75">
      <c r="AI136" s="9"/>
      <c r="AJ136" s="6"/>
      <c r="AK136" s="6"/>
      <c r="AL136" s="6"/>
      <c r="AM136" s="6"/>
      <c r="AN136" s="6"/>
      <c r="AO136" s="6"/>
      <c r="AP136" s="6"/>
      <c r="AQ136" s="6"/>
      <c r="AR136" s="6"/>
      <c r="AS136" s="6"/>
      <c r="AT136" s="6"/>
    </row>
    <row r="137" spans="35:46" ht="12.75">
      <c r="AI137" s="9"/>
      <c r="AJ137" s="6"/>
      <c r="AK137" s="6"/>
      <c r="AL137" s="6"/>
      <c r="AM137" s="6"/>
      <c r="AN137" s="6"/>
      <c r="AO137" s="6"/>
      <c r="AP137" s="6"/>
      <c r="AQ137" s="6"/>
      <c r="AR137" s="6"/>
      <c r="AS137" s="6"/>
      <c r="AT137" s="6"/>
    </row>
    <row r="138" spans="35:46" ht="12.75">
      <c r="AI138" s="9"/>
      <c r="AJ138" s="6"/>
      <c r="AK138" s="6"/>
      <c r="AL138" s="6"/>
      <c r="AM138" s="6"/>
      <c r="AN138" s="6"/>
      <c r="AO138" s="6"/>
      <c r="AP138" s="6"/>
      <c r="AQ138" s="6"/>
      <c r="AR138" s="6"/>
      <c r="AS138" s="6"/>
      <c r="AT138" s="6"/>
    </row>
    <row r="139" spans="35:46" ht="12.75">
      <c r="AI139" s="9"/>
      <c r="AJ139" s="6"/>
      <c r="AK139" s="6"/>
      <c r="AL139" s="6"/>
      <c r="AM139" s="6"/>
      <c r="AN139" s="6"/>
      <c r="AO139" s="6"/>
      <c r="AP139" s="6"/>
      <c r="AQ139" s="6"/>
      <c r="AR139" s="6"/>
      <c r="AS139" s="6"/>
      <c r="AT139" s="6"/>
    </row>
    <row r="140" spans="35:46" ht="12.75">
      <c r="AI140" s="9"/>
      <c r="AJ140" s="6"/>
      <c r="AK140" s="6"/>
      <c r="AL140" s="6"/>
      <c r="AM140" s="6"/>
      <c r="AN140" s="6"/>
      <c r="AO140" s="6"/>
      <c r="AP140" s="6"/>
      <c r="AQ140" s="6"/>
      <c r="AR140" s="6"/>
      <c r="AS140" s="6"/>
      <c r="AT140" s="6"/>
    </row>
    <row r="141" spans="35:46" ht="12.75">
      <c r="AI141" s="9"/>
      <c r="AJ141" s="6"/>
      <c r="AK141" s="6"/>
      <c r="AL141" s="6"/>
      <c r="AM141" s="6"/>
      <c r="AN141" s="6"/>
      <c r="AO141" s="6"/>
      <c r="AP141" s="6"/>
      <c r="AQ141" s="6"/>
      <c r="AR141" s="6"/>
      <c r="AS141" s="6"/>
      <c r="AT141" s="6"/>
    </row>
    <row r="142" spans="35:46" ht="12.75">
      <c r="AI142" s="9"/>
      <c r="AJ142" s="6"/>
      <c r="AK142" s="6"/>
      <c r="AL142" s="6"/>
      <c r="AM142" s="6"/>
      <c r="AN142" s="6"/>
      <c r="AO142" s="6"/>
      <c r="AP142" s="6"/>
      <c r="AQ142" s="6"/>
      <c r="AR142" s="6"/>
      <c r="AS142" s="6"/>
      <c r="AT142" s="6"/>
    </row>
    <row r="143" spans="35:46" ht="12.75">
      <c r="AI143" s="9"/>
      <c r="AJ143" s="6"/>
      <c r="AK143" s="6"/>
      <c r="AL143" s="6"/>
      <c r="AM143" s="6"/>
      <c r="AN143" s="6"/>
      <c r="AO143" s="6"/>
      <c r="AP143" s="6"/>
      <c r="AQ143" s="6"/>
      <c r="AR143" s="6"/>
      <c r="AS143" s="6"/>
      <c r="AT143" s="6"/>
    </row>
    <row r="144" spans="35:46" ht="12.75">
      <c r="AI144" s="9"/>
      <c r="AJ144" s="6"/>
      <c r="AK144" s="6"/>
      <c r="AL144" s="6"/>
      <c r="AM144" s="6"/>
      <c r="AN144" s="6"/>
      <c r="AO144" s="6"/>
      <c r="AP144" s="6"/>
      <c r="AQ144" s="6"/>
      <c r="AR144" s="6"/>
      <c r="AS144" s="6"/>
      <c r="AT144" s="6"/>
    </row>
    <row r="145" spans="35:46" ht="12.75">
      <c r="AI145" s="9"/>
      <c r="AJ145" s="6"/>
      <c r="AK145" s="6"/>
      <c r="AL145" s="6"/>
      <c r="AM145" s="6"/>
      <c r="AN145" s="6"/>
      <c r="AO145" s="6"/>
      <c r="AP145" s="6"/>
      <c r="AQ145" s="6"/>
      <c r="AR145" s="6"/>
      <c r="AS145" s="6"/>
      <c r="AT145" s="6"/>
    </row>
    <row r="146" spans="35:46" ht="12.75">
      <c r="AI146" s="9"/>
      <c r="AJ146" s="6"/>
      <c r="AK146" s="6"/>
      <c r="AL146" s="6"/>
      <c r="AM146" s="6"/>
      <c r="AN146" s="6"/>
      <c r="AO146" s="6"/>
      <c r="AP146" s="6"/>
      <c r="AQ146" s="6"/>
      <c r="AR146" s="6"/>
      <c r="AS146" s="6"/>
      <c r="AT146" s="6"/>
    </row>
    <row r="147" spans="35:46" ht="12.75">
      <c r="AI147" s="9"/>
      <c r="AJ147" s="6"/>
      <c r="AK147" s="6"/>
      <c r="AL147" s="6"/>
      <c r="AM147" s="6"/>
      <c r="AN147" s="6"/>
      <c r="AO147" s="6"/>
      <c r="AP147" s="6"/>
      <c r="AQ147" s="6"/>
      <c r="AR147" s="6"/>
      <c r="AS147" s="6"/>
      <c r="AT147" s="6"/>
    </row>
    <row r="148" spans="35:46" ht="12.75">
      <c r="AI148" s="9"/>
      <c r="AJ148" s="6"/>
      <c r="AK148" s="6"/>
      <c r="AL148" s="6"/>
      <c r="AM148" s="6"/>
      <c r="AN148" s="6"/>
      <c r="AO148" s="6"/>
      <c r="AP148" s="6"/>
      <c r="AQ148" s="6"/>
      <c r="AR148" s="6"/>
      <c r="AS148" s="6"/>
      <c r="AT148" s="6"/>
    </row>
    <row r="149" spans="35:46" ht="12.75">
      <c r="AI149" s="9"/>
      <c r="AJ149" s="6"/>
      <c r="AK149" s="6"/>
      <c r="AL149" s="6"/>
      <c r="AM149" s="6"/>
      <c r="AN149" s="6"/>
      <c r="AO149" s="6"/>
      <c r="AP149" s="6"/>
      <c r="AQ149" s="6"/>
      <c r="AR149" s="6"/>
      <c r="AS149" s="6"/>
      <c r="AT149" s="6"/>
    </row>
    <row r="150" spans="35:46" ht="12.75">
      <c r="AI150" s="9"/>
      <c r="AJ150" s="6"/>
      <c r="AK150" s="6"/>
      <c r="AL150" s="6"/>
      <c r="AM150" s="6"/>
      <c r="AN150" s="6"/>
      <c r="AO150" s="6"/>
      <c r="AP150" s="6"/>
      <c r="AQ150" s="6"/>
      <c r="AR150" s="6"/>
      <c r="AS150" s="6"/>
      <c r="AT150" s="6"/>
    </row>
    <row r="151" spans="35:46" ht="12.75">
      <c r="AI151" s="9"/>
      <c r="AJ151" s="6"/>
      <c r="AK151" s="6"/>
      <c r="AL151" s="6"/>
      <c r="AM151" s="6"/>
      <c r="AN151" s="6"/>
      <c r="AO151" s="6"/>
      <c r="AP151" s="6"/>
      <c r="AQ151" s="6"/>
      <c r="AR151" s="6"/>
      <c r="AS151" s="6"/>
      <c r="AT151" s="6"/>
    </row>
    <row r="152" spans="35:46" ht="12.75">
      <c r="AI152" s="9"/>
      <c r="AJ152" s="6"/>
      <c r="AK152" s="6"/>
      <c r="AL152" s="6"/>
      <c r="AM152" s="6"/>
      <c r="AN152" s="6"/>
      <c r="AO152" s="6"/>
      <c r="AP152" s="6"/>
      <c r="AQ152" s="6"/>
      <c r="AR152" s="6"/>
      <c r="AS152" s="6"/>
      <c r="AT152" s="6"/>
    </row>
    <row r="153" spans="35:46" ht="12.75">
      <c r="AI153" s="9"/>
      <c r="AJ153" s="6"/>
      <c r="AK153" s="6"/>
      <c r="AL153" s="6"/>
      <c r="AM153" s="6"/>
      <c r="AN153" s="6"/>
      <c r="AO153" s="6"/>
      <c r="AP153" s="6"/>
      <c r="AQ153" s="6"/>
      <c r="AR153" s="6"/>
      <c r="AS153" s="6"/>
      <c r="AT153" s="6"/>
    </row>
    <row r="154" spans="35:46" ht="12.75">
      <c r="AI154" s="9"/>
      <c r="AJ154" s="6"/>
      <c r="AK154" s="6"/>
      <c r="AL154" s="6"/>
      <c r="AM154" s="6"/>
      <c r="AN154" s="6"/>
      <c r="AO154" s="6"/>
      <c r="AP154" s="6"/>
      <c r="AQ154" s="6"/>
      <c r="AR154" s="6"/>
      <c r="AS154" s="6"/>
      <c r="AT154" s="6"/>
    </row>
    <row r="155" spans="35:46" ht="12.75">
      <c r="AI155" s="9"/>
      <c r="AJ155" s="6"/>
      <c r="AK155" s="6"/>
      <c r="AL155" s="6"/>
      <c r="AM155" s="6"/>
      <c r="AN155" s="6"/>
      <c r="AO155" s="6"/>
      <c r="AP155" s="6"/>
      <c r="AQ155" s="6"/>
      <c r="AR155" s="6"/>
      <c r="AS155" s="6"/>
      <c r="AT155" s="6"/>
    </row>
    <row r="156" spans="35:46" ht="12.75">
      <c r="AI156" s="9"/>
      <c r="AJ156" s="6"/>
      <c r="AK156" s="6"/>
      <c r="AL156" s="6"/>
      <c r="AM156" s="6"/>
      <c r="AN156" s="6"/>
      <c r="AO156" s="6"/>
      <c r="AP156" s="6"/>
      <c r="AQ156" s="6"/>
      <c r="AR156" s="6"/>
      <c r="AS156" s="6"/>
      <c r="AT156" s="6"/>
    </row>
    <row r="157" spans="35:46" ht="12.75">
      <c r="AI157" s="9"/>
      <c r="AJ157" s="6"/>
      <c r="AK157" s="6"/>
      <c r="AL157" s="6"/>
      <c r="AM157" s="6"/>
      <c r="AN157" s="6"/>
      <c r="AO157" s="6"/>
      <c r="AP157" s="6"/>
      <c r="AQ157" s="6"/>
      <c r="AR157" s="6"/>
      <c r="AS157" s="6"/>
      <c r="AT157" s="6"/>
    </row>
    <row r="158" spans="35:46" ht="12.75">
      <c r="AI158" s="9"/>
      <c r="AJ158" s="6"/>
      <c r="AK158" s="6"/>
      <c r="AL158" s="6"/>
      <c r="AM158" s="6"/>
      <c r="AN158" s="6"/>
      <c r="AO158" s="6"/>
      <c r="AP158" s="6"/>
      <c r="AQ158" s="6"/>
      <c r="AR158" s="6"/>
      <c r="AS158" s="6"/>
      <c r="AT158" s="6"/>
    </row>
    <row r="159" spans="35:46" ht="12.75">
      <c r="AI159" s="9"/>
      <c r="AJ159" s="6"/>
      <c r="AK159" s="6"/>
      <c r="AL159" s="6"/>
      <c r="AM159" s="6"/>
      <c r="AN159" s="6"/>
      <c r="AO159" s="6"/>
      <c r="AP159" s="6"/>
      <c r="AQ159" s="6"/>
      <c r="AR159" s="6"/>
      <c r="AS159" s="6"/>
      <c r="AT159" s="6"/>
    </row>
    <row r="160" spans="35:46" ht="12.75">
      <c r="AI160" s="9"/>
      <c r="AJ160" s="6"/>
      <c r="AK160" s="6"/>
      <c r="AL160" s="6"/>
      <c r="AM160" s="6"/>
      <c r="AN160" s="6"/>
      <c r="AO160" s="6"/>
      <c r="AP160" s="6"/>
      <c r="AQ160" s="6"/>
      <c r="AR160" s="6"/>
      <c r="AS160" s="6"/>
      <c r="AT160" s="6"/>
    </row>
    <row r="161" spans="35:46" ht="12.75">
      <c r="AI161" s="9"/>
      <c r="AJ161" s="6"/>
      <c r="AK161" s="6"/>
      <c r="AL161" s="6"/>
      <c r="AM161" s="6"/>
      <c r="AN161" s="6"/>
      <c r="AO161" s="6"/>
      <c r="AP161" s="6"/>
      <c r="AQ161" s="6"/>
      <c r="AR161" s="6"/>
      <c r="AS161" s="6"/>
      <c r="AT161" s="6"/>
    </row>
  </sheetData>
  <sheetProtection password="DFB1" sheet="1" objects="1" scenarios="1"/>
  <mergeCells count="1">
    <mergeCell ref="I18:L18"/>
  </mergeCells>
  <dataValidations count="4">
    <dataValidation type="list" allowBlank="1" showInputMessage="1" showErrorMessage="1" sqref="M25:M28 G25:H28">
      <formula1>"ja,nee"</formula1>
    </dataValidation>
    <dataValidation type="list" allowBlank="1" showInputMessage="1" showErrorMessage="1" sqref="D25:D28">
      <formula1>"SO,VSO"</formula1>
    </dataValidation>
    <dataValidation type="list" allowBlank="1" showInputMessage="1" showErrorMessage="1" sqref="E25:E28 E86:E89 E61:E64 E50:E53 E43:E46 E68:E71 I13 E32:E35 E79:E82">
      <formula1>$J$100:$J$114</formula1>
    </dataValidation>
    <dataValidation type="list" allowBlank="1" showInputMessage="1" showErrorMessage="1" sqref="I12">
      <formula1>"SO,VSO,SOVSO"</formula1>
    </dataValidation>
  </dataValidations>
  <printOptions/>
  <pageMargins left="0.75" right="0.75" top="1" bottom="1" header="0.5" footer="0.5"/>
  <pageSetup horizontalDpi="600" verticalDpi="600" orientation="portrait" paperSize="9" scale="59" r:id="rId4"/>
  <headerFooter alignWithMargins="0">
    <oddHeader>&amp;L&amp;"Arial,Vet"&amp;F&amp;R&amp;"Arial,Vet"&amp;A</oddHeader>
    <oddFooter>&amp;L&amp;"Arial,Vet"&amp;9goedhart / keizer&amp;C&amp;"Arial,Vet"&amp;9&amp;D&amp;R&amp;"Arial,Vet"&amp;9pagina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B2:Z101"/>
  <sheetViews>
    <sheetView zoomScale="85" zoomScaleNormal="85" zoomScalePageLayoutView="0" workbookViewId="0" topLeftCell="A1">
      <selection activeCell="B2" sqref="B2"/>
    </sheetView>
  </sheetViews>
  <sheetFormatPr defaultColWidth="9.140625" defaultRowHeight="12.75"/>
  <cols>
    <col min="1" max="1" width="3.7109375" style="102" customWidth="1"/>
    <col min="2" max="2" width="2.7109375" style="102" customWidth="1"/>
    <col min="3" max="3" width="2.7109375" style="103" customWidth="1"/>
    <col min="4" max="4" width="45.7109375" style="102" customWidth="1"/>
    <col min="5" max="5" width="2.7109375" style="102" customWidth="1"/>
    <col min="6" max="6" width="10.7109375" style="104" customWidth="1"/>
    <col min="7" max="7" width="2.7109375" style="102" customWidth="1"/>
    <col min="8" max="8" width="14.8515625" style="105" customWidth="1"/>
    <col min="9" max="11" width="16.7109375" style="105" customWidth="1"/>
    <col min="12" max="13" width="2.7109375" style="102" customWidth="1"/>
    <col min="14" max="16384" width="9.140625" style="102" customWidth="1"/>
  </cols>
  <sheetData>
    <row r="2" spans="2:13" ht="12.75">
      <c r="B2" s="16"/>
      <c r="C2" s="109"/>
      <c r="D2" s="17"/>
      <c r="E2" s="17"/>
      <c r="F2" s="19"/>
      <c r="G2" s="17"/>
      <c r="H2" s="110"/>
      <c r="I2" s="110"/>
      <c r="J2" s="110"/>
      <c r="K2" s="110"/>
      <c r="L2" s="17"/>
      <c r="M2" s="20"/>
    </row>
    <row r="3" spans="2:13" ht="12.75">
      <c r="B3" s="21"/>
      <c r="C3" s="39"/>
      <c r="D3" s="22"/>
      <c r="E3" s="22"/>
      <c r="F3" s="24"/>
      <c r="G3" s="22"/>
      <c r="H3" s="111"/>
      <c r="I3" s="111"/>
      <c r="J3" s="111"/>
      <c r="K3" s="111"/>
      <c r="L3" s="22"/>
      <c r="M3" s="25"/>
    </row>
    <row r="4" spans="2:13" s="106" customFormat="1" ht="18.75">
      <c r="B4" s="26"/>
      <c r="C4" s="112" t="s">
        <v>194</v>
      </c>
      <c r="D4" s="30"/>
      <c r="E4" s="30"/>
      <c r="F4" s="29"/>
      <c r="G4" s="30"/>
      <c r="H4" s="113"/>
      <c r="I4" s="113"/>
      <c r="J4" s="113"/>
      <c r="K4" s="113"/>
      <c r="L4" s="30"/>
      <c r="M4" s="31"/>
    </row>
    <row r="5" spans="2:13" s="106" customFormat="1" ht="18.75">
      <c r="B5" s="26"/>
      <c r="C5" s="114" t="str">
        <f>Leerlinggegevens!C5</f>
        <v>De Specialeschool</v>
      </c>
      <c r="D5" s="30"/>
      <c r="E5" s="30"/>
      <c r="F5" s="29"/>
      <c r="G5" s="30"/>
      <c r="H5" s="113"/>
      <c r="I5" s="113"/>
      <c r="J5" s="113"/>
      <c r="K5" s="113"/>
      <c r="L5" s="30"/>
      <c r="M5" s="31"/>
    </row>
    <row r="6" spans="2:13" ht="12.75">
      <c r="B6" s="21"/>
      <c r="C6" s="39"/>
      <c r="D6" s="22"/>
      <c r="E6" s="22"/>
      <c r="F6" s="24"/>
      <c r="G6" s="22"/>
      <c r="H6" s="111"/>
      <c r="I6" s="111"/>
      <c r="J6" s="111"/>
      <c r="K6" s="111"/>
      <c r="L6" s="22"/>
      <c r="M6" s="25"/>
    </row>
    <row r="7" spans="2:13" ht="12.75">
      <c r="B7" s="21"/>
      <c r="C7" s="134"/>
      <c r="D7" s="80"/>
      <c r="E7" s="80"/>
      <c r="F7" s="82"/>
      <c r="G7" s="80"/>
      <c r="H7" s="135"/>
      <c r="I7" s="135"/>
      <c r="J7" s="135"/>
      <c r="K7" s="135"/>
      <c r="L7" s="80"/>
      <c r="M7" s="25"/>
    </row>
    <row r="8" spans="2:13" ht="12.75">
      <c r="B8" s="21"/>
      <c r="C8" s="134"/>
      <c r="D8" s="136"/>
      <c r="E8" s="136"/>
      <c r="F8" s="137" t="s">
        <v>200</v>
      </c>
      <c r="G8" s="80"/>
      <c r="H8" s="138">
        <f>VLOOKUP(tabellen!$B$2,schooljaren,1,FALSE)</f>
        <v>2011</v>
      </c>
      <c r="I8" s="138">
        <f>VLOOKUP(tabellen!$B$2+1,schooljaren,1,FALSE)</f>
        <v>2012</v>
      </c>
      <c r="J8" s="138">
        <f>VLOOKUP(tabellen!$B$2+2,schooljaren,1,FALSE)</f>
        <v>2013</v>
      </c>
      <c r="K8" s="138">
        <f>VLOOKUP(tabellen!$B$2+3,schooljaren,1,FALSE)</f>
        <v>2014</v>
      </c>
      <c r="L8" s="80"/>
      <c r="M8" s="25"/>
    </row>
    <row r="9" spans="2:26" ht="12.75" customHeight="1">
      <c r="B9" s="21"/>
      <c r="C9" s="134"/>
      <c r="D9" s="80"/>
      <c r="E9" s="80"/>
      <c r="F9" s="139" t="s">
        <v>201</v>
      </c>
      <c r="G9" s="139"/>
      <c r="H9" s="140">
        <f>Leerlinggegevens!AD37</f>
        <v>40452</v>
      </c>
      <c r="I9" s="140">
        <f>+Leerlinggegevens!AD55</f>
        <v>40817</v>
      </c>
      <c r="J9" s="140">
        <f>+Leerlinggegevens!AD73</f>
        <v>41183</v>
      </c>
      <c r="K9" s="140">
        <f>+Leerlinggegevens!AD91</f>
        <v>41548</v>
      </c>
      <c r="L9" s="80"/>
      <c r="M9" s="25"/>
      <c r="Z9" s="102" t="s">
        <v>113</v>
      </c>
    </row>
    <row r="10" spans="2:26" ht="12.75">
      <c r="B10" s="21"/>
      <c r="C10" s="134"/>
      <c r="D10" s="80"/>
      <c r="E10" s="136"/>
      <c r="F10" s="82"/>
      <c r="G10" s="80"/>
      <c r="H10" s="135"/>
      <c r="I10" s="135"/>
      <c r="J10" s="135"/>
      <c r="K10" s="135"/>
      <c r="L10" s="80"/>
      <c r="M10" s="25"/>
      <c r="Z10" s="102" t="s">
        <v>102</v>
      </c>
    </row>
    <row r="11" spans="2:13" ht="12.75">
      <c r="B11" s="21"/>
      <c r="C11" s="116"/>
      <c r="D11" s="52"/>
      <c r="E11" s="129"/>
      <c r="F11" s="51"/>
      <c r="G11" s="52"/>
      <c r="H11" s="117"/>
      <c r="I11" s="117"/>
      <c r="J11" s="117"/>
      <c r="K11" s="117"/>
      <c r="L11" s="53"/>
      <c r="M11" s="25"/>
    </row>
    <row r="12" spans="2:13" ht="12.75">
      <c r="B12" s="21"/>
      <c r="C12" s="116"/>
      <c r="D12" s="154" t="s">
        <v>210</v>
      </c>
      <c r="E12" s="129"/>
      <c r="F12" s="51"/>
      <c r="G12" s="52"/>
      <c r="H12" s="117"/>
      <c r="I12" s="117"/>
      <c r="J12" s="117"/>
      <c r="K12" s="117"/>
      <c r="L12" s="53"/>
      <c r="M12" s="25"/>
    </row>
    <row r="13" spans="2:13" ht="12.75">
      <c r="B13" s="21"/>
      <c r="C13" s="116"/>
      <c r="D13" s="52"/>
      <c r="E13" s="129"/>
      <c r="F13" s="51"/>
      <c r="G13" s="52"/>
      <c r="H13" s="117"/>
      <c r="I13" s="117"/>
      <c r="J13" s="117"/>
      <c r="K13" s="117"/>
      <c r="L13" s="53"/>
      <c r="M13" s="25"/>
    </row>
    <row r="14" spans="2:13" ht="12.75">
      <c r="B14" s="21"/>
      <c r="C14" s="118"/>
      <c r="D14" s="61" t="s">
        <v>186</v>
      </c>
      <c r="E14" s="61"/>
      <c r="F14" s="56"/>
      <c r="G14" s="57"/>
      <c r="H14" s="141" t="str">
        <f>+Leerlinggegevens!D25</f>
        <v>SO</v>
      </c>
      <c r="I14" s="141" t="str">
        <f>+Leerlinggegevens!E25</f>
        <v>ZMLK</v>
      </c>
      <c r="J14" s="120"/>
      <c r="K14" s="120"/>
      <c r="L14" s="59"/>
      <c r="M14" s="25"/>
    </row>
    <row r="15" spans="2:13" ht="12.75">
      <c r="B15" s="21"/>
      <c r="C15" s="118"/>
      <c r="D15" s="61"/>
      <c r="E15" s="61"/>
      <c r="F15" s="56"/>
      <c r="G15" s="57"/>
      <c r="H15" s="120"/>
      <c r="I15" s="120"/>
      <c r="J15" s="120"/>
      <c r="K15" s="120"/>
      <c r="L15" s="59"/>
      <c r="M15" s="25"/>
    </row>
    <row r="16" spans="2:13" ht="12.75">
      <c r="B16" s="21"/>
      <c r="C16" s="118" t="s">
        <v>121</v>
      </c>
      <c r="D16" s="61" t="s">
        <v>41</v>
      </c>
      <c r="E16" s="61"/>
      <c r="F16" s="56"/>
      <c r="G16" s="57"/>
      <c r="H16" s="120"/>
      <c r="I16" s="120"/>
      <c r="J16" s="120"/>
      <c r="K16" s="120"/>
      <c r="L16" s="59"/>
      <c r="M16" s="25"/>
    </row>
    <row r="17" spans="2:13" ht="12.75">
      <c r="B17" s="21"/>
      <c r="C17" s="118"/>
      <c r="D17" s="92" t="s">
        <v>77</v>
      </c>
      <c r="E17" s="57"/>
      <c r="F17" s="56"/>
      <c r="G17" s="57"/>
      <c r="H17" s="119"/>
      <c r="I17" s="119"/>
      <c r="J17" s="119"/>
      <c r="K17" s="119"/>
      <c r="L17" s="59"/>
      <c r="M17" s="25"/>
    </row>
    <row r="18" spans="2:13" ht="12.75">
      <c r="B18" s="21"/>
      <c r="C18" s="118"/>
      <c r="D18" s="57" t="s">
        <v>82</v>
      </c>
      <c r="E18" s="57"/>
      <c r="F18" s="56"/>
      <c r="G18" s="57"/>
      <c r="H18" s="142">
        <f>IF(Leerlinggegevens!D25=0,0,IF(Leerlinggegevens!K25=0,0,VLOOKUP(Leerlinggegevens!E25,PvE_SO,2,FALSE)+VLOOKUP(Leerlinggegevens!E25,PvE_SO,3,FALSE)*(VLOOKUP(Leerlinggegevens!E25,oppervlak,2,FALSE)+IF(Leerlinggegevens!D25="SO",VLOOKUP(Leerlinggegevens!E25,oppervlak,3,FALSE),VLOOKUP(Leerlinggegevens!E25,oppervlak,5,FALSE))+IF(Leerlinggegevens!D25="SO",VLOOKUP(Leerlinggegevens!E25,oppervlak,4,FALSE),VLOOKUP(Leerlinggegevens!E25,oppervlak,6,FALSE))*IF((Leerlinggegevens!K36-Leerlinggegevens!K29)&gt;Leerlinggegevens!I14/2,Leerlinggegevens!AF32,Leerlinggegevens!AF25))))</f>
        <v>16451.36</v>
      </c>
      <c r="I18" s="142">
        <f>IF(Leerlinggegevens!D43=0,0,IF(Leerlinggegevens!K43=0,0,VLOOKUP(Leerlinggegevens!E43,PvE_SO,2,FALSE)+VLOOKUP(Leerlinggegevens!E43,PvE_SO,3,FALSE)*(VLOOKUP(Leerlinggegevens!E43,oppervlak,2,FALSE)+IF(Leerlinggegevens!D43="SO",VLOOKUP(Leerlinggegevens!E43,oppervlak,3,FALSE),VLOOKUP(Leerlinggegevens!E43,oppervlak,5,FALSE))+IF(Leerlinggegevens!D43="SO",VLOOKUP(Leerlinggegevens!E43,oppervlak,4,FALSE),VLOOKUP(Leerlinggegevens!E43,oppervlak,6,FALSE))*IF((Leerlinggegevens!K54-Leerlinggegevens!K47)&gt;Leerlinggegevens!I14/2,Leerlinggegevens!AF50,Leerlinggegevens!AF43))))</f>
        <v>16451.36</v>
      </c>
      <c r="J18" s="142">
        <f>IF(Leerlinggegevens!D61=0,0,IF(Leerlinggegevens!K61=0,0,VLOOKUP(Leerlinggegevens!E61,PvE_SO,2,FALSE)+VLOOKUP(Leerlinggegevens!E61,PvE_SO,3,FALSE)*(VLOOKUP(Leerlinggegevens!E61,oppervlak,2,FALSE)+IF(Leerlinggegevens!D61="SO",VLOOKUP(Leerlinggegevens!E61,oppervlak,3,FALSE),VLOOKUP(Leerlinggegevens!E61,oppervlak,5,FALSE))+IF(Leerlinggegevens!D61="SO",VLOOKUP(Leerlinggegevens!E61,oppervlak,4,FALSE),VLOOKUP(Leerlinggegevens!E61,oppervlak,6,FALSE))*IF((Leerlinggegevens!K72-Leerlinggegevens!K65)&gt;Leerlinggegevens!I14/2,Leerlinggegevens!AF68,Leerlinggegevens!AF61))))</f>
        <v>16451.36</v>
      </c>
      <c r="K18" s="142">
        <f>IF(Leerlinggegevens!D79=0,0,IF(Leerlinggegevens!K79=0,0,VLOOKUP(Leerlinggegevens!E79,PvE_SO,2,FALSE)+VLOOKUP(Leerlinggegevens!E79,PvE_SO,3,FALSE)*(VLOOKUP(Leerlinggegevens!E79,oppervlak,2,FALSE)+IF(Leerlinggegevens!D79="SO",VLOOKUP(Leerlinggegevens!E79,oppervlak,3,FALSE),VLOOKUP(Leerlinggegevens!E79,oppervlak,5,FALSE))+IF(Leerlinggegevens!D79="SO",VLOOKUP(Leerlinggegevens!E79,oppervlak,4,FALSE),VLOOKUP(Leerlinggegevens!E79,oppervlak,6,FALSE))*IF((Leerlinggegevens!K90-Leerlinggegevens!K83)&gt;Leerlinggegevens!I14/2,Leerlinggegevens!AF86,Leerlinggegevens!AF79))))</f>
        <v>16451.36</v>
      </c>
      <c r="L18" s="59"/>
      <c r="M18" s="25"/>
    </row>
    <row r="19" spans="2:13" ht="12.75">
      <c r="B19" s="21"/>
      <c r="C19" s="118"/>
      <c r="D19" s="57" t="s">
        <v>83</v>
      </c>
      <c r="E19" s="57"/>
      <c r="F19" s="56"/>
      <c r="G19" s="57"/>
      <c r="H19" s="142">
        <v>0</v>
      </c>
      <c r="I19" s="142">
        <v>0</v>
      </c>
      <c r="J19" s="142">
        <v>0</v>
      </c>
      <c r="K19" s="142">
        <v>0</v>
      </c>
      <c r="L19" s="59"/>
      <c r="M19" s="25"/>
    </row>
    <row r="20" spans="2:13" ht="12.75">
      <c r="B20" s="21"/>
      <c r="C20" s="118"/>
      <c r="D20" s="57" t="s">
        <v>84</v>
      </c>
      <c r="E20" s="57"/>
      <c r="F20" s="56"/>
      <c r="G20" s="57"/>
      <c r="H20" s="142">
        <f>IF(Leerlinggegevens!D25=0,0,IF(Leerlinggegevens!K25=0,0,VLOOKUP(Leerlinggegevens!E25,PvE_SO,6,FALSE)*((VLOOKUP(Leerlinggegevens!E25,oppervlak,2,FALSE)+IF(Leerlinggegevens!D25="SO",VLOOKUP(Leerlinggegevens!E25,oppervlak,3,FALSE),VLOOKUP(Leerlinggegevens!E25,oppervlak,5,FALSE))+IF(Leerlinggegevens!D25="SO",VLOOKUP(Leerlinggegevens!E25,oppervlak,4,FALSE),VLOOKUP(Leerlinggegevens!E25,oppervlak,6,FALSE))*IF((Leerlinggegevens!K36-Leerlinggegevens!K29)&gt;Leerlinggegevens!I14/2,Leerlinggegevens!AF32,Leerlinggegevens!AF25)))))</f>
        <v>24287.76</v>
      </c>
      <c r="I20" s="142">
        <f>IF(Leerlinggegevens!D43=0,0,IF(Leerlinggegevens!K43=0,0,VLOOKUP(Leerlinggegevens!E43,PvE_SO,6,FALSE)*((VLOOKUP(Leerlinggegevens!E43,oppervlak,2,FALSE)+IF(Leerlinggegevens!D43="SO",VLOOKUP(Leerlinggegevens!E43,oppervlak,3,FALSE),VLOOKUP(Leerlinggegevens!E43,oppervlak,5,FALSE))+IF(Leerlinggegevens!D43="SO",VLOOKUP(Leerlinggegevens!E43,oppervlak,4,FALSE),VLOOKUP(Leerlinggegevens!E43,oppervlak,6,FALSE))*IF((Leerlinggegevens!K54-Leerlinggegevens!K47)&gt;Leerlinggegevens!I14/2,Leerlinggegevens!AF50,Leerlinggegevens!AF43)))))</f>
        <v>24287.76</v>
      </c>
      <c r="J20" s="142">
        <f>IF(Leerlinggegevens!D61=0,0,IF(Leerlinggegevens!K61=0,0,VLOOKUP(Leerlinggegevens!E61,PvE_SO,6,FALSE)*((VLOOKUP(Leerlinggegevens!E61,oppervlak,2,FALSE)+IF(Leerlinggegevens!D61="SO",VLOOKUP(Leerlinggegevens!E61,oppervlak,3,FALSE),VLOOKUP(Leerlinggegevens!E61,oppervlak,5,FALSE))+IF(Leerlinggegevens!D61="SO",VLOOKUP(Leerlinggegevens!E61,oppervlak,4,FALSE),VLOOKUP(Leerlinggegevens!E61,oppervlak,6,FALSE))*IF((Leerlinggegevens!K72-Leerlinggegevens!K65)&gt;Leerlinggegevens!I14/2,Leerlinggegevens!AF68,Leerlinggegevens!AF61)))))</f>
        <v>24287.76</v>
      </c>
      <c r="K20" s="142">
        <f>IF(Leerlinggegevens!D79=0,0,IF(Leerlinggegevens!K79=0,0,VLOOKUP(Leerlinggegevens!E79,PvE_SO,6,FALSE)*((VLOOKUP(Leerlinggegevens!E79,oppervlak,2,FALSE)+IF(Leerlinggegevens!D79="SO",VLOOKUP(Leerlinggegevens!E79,oppervlak,3,FALSE),VLOOKUP(Leerlinggegevens!E79,oppervlak,5,FALSE))+IF(Leerlinggegevens!D79="SO",VLOOKUP(Leerlinggegevens!E79,oppervlak,4,FALSE),VLOOKUP(Leerlinggegevens!E79,oppervlak,6,FALSE))*IF((Leerlinggegevens!K90-Leerlinggegevens!K83)&gt;Leerlinggegevens!I14/2,Leerlinggegevens!AF86,Leerlinggegevens!AF79)))))</f>
        <v>24287.76</v>
      </c>
      <c r="L20" s="59"/>
      <c r="M20" s="25"/>
    </row>
    <row r="21" spans="2:13" s="107" customFormat="1" ht="12.75">
      <c r="B21" s="90"/>
      <c r="C21" s="130"/>
      <c r="D21" s="92" t="s">
        <v>37</v>
      </c>
      <c r="E21" s="92"/>
      <c r="F21" s="91"/>
      <c r="G21" s="92"/>
      <c r="H21" s="143">
        <f>SUM(H18:H20)</f>
        <v>40739.119999999995</v>
      </c>
      <c r="I21" s="143">
        <f>SUM(I18:I20)</f>
        <v>40739.119999999995</v>
      </c>
      <c r="J21" s="143">
        <f>SUM(J18:J20)</f>
        <v>40739.119999999995</v>
      </c>
      <c r="K21" s="143">
        <f>SUM(K18:K20)</f>
        <v>40739.119999999995</v>
      </c>
      <c r="L21" s="93"/>
      <c r="M21" s="94"/>
    </row>
    <row r="22" spans="2:13" ht="12.75">
      <c r="B22" s="21"/>
      <c r="C22" s="118"/>
      <c r="D22" s="61"/>
      <c r="E22" s="61"/>
      <c r="F22" s="56"/>
      <c r="G22" s="57"/>
      <c r="H22" s="119"/>
      <c r="I22" s="119"/>
      <c r="J22" s="119"/>
      <c r="K22" s="119"/>
      <c r="L22" s="59"/>
      <c r="M22" s="25"/>
    </row>
    <row r="23" spans="2:13" ht="12.75">
      <c r="B23" s="21"/>
      <c r="C23" s="118"/>
      <c r="D23" s="92" t="s">
        <v>78</v>
      </c>
      <c r="E23" s="57"/>
      <c r="F23" s="56"/>
      <c r="G23" s="57"/>
      <c r="H23" s="119"/>
      <c r="I23" s="119"/>
      <c r="J23" s="119"/>
      <c r="K23" s="119"/>
      <c r="L23" s="59"/>
      <c r="M23" s="25"/>
    </row>
    <row r="24" spans="2:13" ht="12.75">
      <c r="B24" s="21"/>
      <c r="C24" s="118"/>
      <c r="D24" s="57" t="s">
        <v>79</v>
      </c>
      <c r="E24" s="57"/>
      <c r="F24" s="56"/>
      <c r="G24" s="57"/>
      <c r="H24" s="142">
        <f>IF(Leerlinggegevens!D25=0,0,IF(Leerlinggegevens!K25=0,0,VLOOKUP(Leerlinggegevens!E25,PvE_SO,7,FALSE)+VLOOKUP(Leerlinggegevens!E25,PvE_SO,8,FALSE)*(VLOOKUP(Leerlinggegevens!E25,oppervlak,2,FALSE)+IF(Leerlinggegevens!D25="SO",VLOOKUP(Leerlinggegevens!E25,oppervlak,3,FALSE),VLOOKUP(Leerlinggegevens!E25,oppervlak,5,FALSE))+IF(Leerlinggegevens!D25="SO",VLOOKUP(Leerlinggegevens!E25,oppervlak,4,FALSE),VLOOKUP(Leerlinggegevens!E25,oppervlak,6,FALSE))*IF((Leerlinggegevens!K36-Leerlinggegevens!K29)&gt;Leerlinggegevens!I14/2,Leerlinggegevens!AF32,Leerlinggegevens!AF25))))</f>
        <v>3307.2000000000003</v>
      </c>
      <c r="I24" s="142">
        <f>IF(Leerlinggegevens!D43=0,0,IF(Leerlinggegevens!K43=0,0,VLOOKUP(Leerlinggegevens!E43,PvE_SO,7,FALSE)+VLOOKUP(Leerlinggegevens!E43,PvE_SO,8,FALSE)*(VLOOKUP(Leerlinggegevens!E43,oppervlak,2,FALSE)+IF(Leerlinggegevens!D43="SO",VLOOKUP(Leerlinggegevens!E43,oppervlak,3,FALSE),VLOOKUP(Leerlinggegevens!E43,oppervlak,5,FALSE))+IF(Leerlinggegevens!D43="SO",VLOOKUP(Leerlinggegevens!E43,oppervlak,4,FALSE),VLOOKUP(Leerlinggegevens!E43,oppervlak,6,FALSE))*IF((Leerlinggegevens!K54-Leerlinggegevens!K47)&gt;Leerlinggegevens!I14/2,Leerlinggegevens!AF50,Leerlinggegevens!AF43))))</f>
        <v>3307.2000000000003</v>
      </c>
      <c r="J24" s="142">
        <f>IF(Leerlinggegevens!D61=0,0,IF(Leerlinggegevens!K61=0,0,VLOOKUP(Leerlinggegevens!E61,PvE_SO,7,FALSE)+VLOOKUP(Leerlinggegevens!E61,PvE_SO,8,FALSE)*(VLOOKUP(Leerlinggegevens!E61,oppervlak,2,FALSE)+IF(Leerlinggegevens!D61="SO",VLOOKUP(Leerlinggegevens!E61,oppervlak,3,FALSE),VLOOKUP(Leerlinggegevens!E61,oppervlak,5,FALSE))+IF(Leerlinggegevens!D61="SO",VLOOKUP(Leerlinggegevens!E61,oppervlak,4,FALSE),VLOOKUP(Leerlinggegevens!E61,oppervlak,6,FALSE))*IF((Leerlinggegevens!K72-Leerlinggegevens!K65)&gt;Leerlinggegevens!I14/2,Leerlinggegevens!AF68,Leerlinggegevens!AF61))))</f>
        <v>3307.2000000000003</v>
      </c>
      <c r="K24" s="142">
        <f>IF(Leerlinggegevens!D79=0,0,IF(Leerlinggegevens!K79=0,0,VLOOKUP(Leerlinggegevens!E79,PvE_SO,7,FALSE)+VLOOKUP(Leerlinggegevens!E79,PvE_SO,8,FALSE)*(VLOOKUP(Leerlinggegevens!E79,oppervlak,2,FALSE)+IF(Leerlinggegevens!D79="SO",VLOOKUP(Leerlinggegevens!E79,oppervlak,3,FALSE),VLOOKUP(Leerlinggegevens!E79,oppervlak,5,FALSE))+IF(Leerlinggegevens!D79="SO",VLOOKUP(Leerlinggegevens!E79,oppervlak,4,FALSE),VLOOKUP(Leerlinggegevens!E79,oppervlak,6,FALSE))*IF((Leerlinggegevens!K90-Leerlinggegevens!K83)&gt;Leerlinggegevens!I14/2,Leerlinggegevens!AF86,Leerlinggegevens!AF79))))</f>
        <v>3307.2000000000003</v>
      </c>
      <c r="L24" s="59"/>
      <c r="M24" s="25"/>
    </row>
    <row r="25" spans="2:13" ht="12.75">
      <c r="B25" s="21"/>
      <c r="C25" s="118"/>
      <c r="D25" s="57" t="s">
        <v>33</v>
      </c>
      <c r="E25" s="57"/>
      <c r="F25" s="56"/>
      <c r="G25" s="57"/>
      <c r="H25" s="142">
        <f>IF(Leerlinggegevens!D25=0,0,IF(Leerlinggegevens!K25=0,0,VLOOKUP(Leerlinggegevens!E25,PvE_SO,9,FALSE)+VLOOKUP(Leerlinggegevens!E25,PvE_SO,10,FALSE)*(VLOOKUP(Leerlinggegevens!E25,oppervlak,2,FALSE)+IF(Leerlinggegevens!D25="SO",VLOOKUP(Leerlinggegevens!E25,oppervlak,3,FALSE),VLOOKUP(Leerlinggegevens!E25,oppervlak,5,FALSE))+IF(Leerlinggegevens!D25="SO",VLOOKUP(Leerlinggegevens!E25,oppervlak,4,FALSE),VLOOKUP(Leerlinggegevens!E25,oppervlak,6,FALSE))*IF((Leerlinggegevens!K36-Leerlinggegevens!K29)&gt;Leerlinggegevens!I14/2,Leerlinggegevens!AF32,Leerlinggegevens!AF25))))</f>
        <v>8109.944000000001</v>
      </c>
      <c r="I25" s="142">
        <f>IF(Leerlinggegevens!D43=0,0,IF(Leerlinggegevens!K43=0,0,VLOOKUP(Leerlinggegevens!E43,PvE_SO,9,FALSE)+VLOOKUP(Leerlinggegevens!E43,PvE_SO,10,FALSE)*(VLOOKUP(Leerlinggegevens!E43,oppervlak,2,FALSE)+IF(Leerlinggegevens!D43="SO",VLOOKUP(Leerlinggegevens!E43,oppervlak,3,FALSE),VLOOKUP(Leerlinggegevens!E43,oppervlak,5,FALSE))+IF(Leerlinggegevens!D43="SO",VLOOKUP(Leerlinggegevens!E43,oppervlak,4,FALSE),VLOOKUP(Leerlinggegevens!E43,oppervlak,6,FALSE))*IF((Leerlinggegevens!K54-Leerlinggegevens!K47)&gt;Leerlinggegevens!I14/2,Leerlinggegevens!AF50,Leerlinggegevens!AF43))))</f>
        <v>8109.944000000001</v>
      </c>
      <c r="J25" s="142">
        <f>IF(Leerlinggegevens!D61=0,0,IF(Leerlinggegevens!K61=0,0,VLOOKUP(Leerlinggegevens!E61,PvE_SO,9,FALSE)+VLOOKUP(Leerlinggegevens!E61,PvE_SO,10,FALSE)*(VLOOKUP(Leerlinggegevens!E61,oppervlak,2,FALSE)+IF(Leerlinggegevens!D61="SO",VLOOKUP(Leerlinggegevens!E61,oppervlak,3,FALSE),VLOOKUP(Leerlinggegevens!E61,oppervlak,5,FALSE))+IF(Leerlinggegevens!D61="SO",VLOOKUP(Leerlinggegevens!E61,oppervlak,4,FALSE),VLOOKUP(Leerlinggegevens!E61,oppervlak,6,FALSE))*IF((Leerlinggegevens!K72-Leerlinggegevens!K65)&gt;Leerlinggegevens!I14/2,Leerlinggegevens!AF68,Leerlinggegevens!AF61))))</f>
        <v>8109.944000000001</v>
      </c>
      <c r="K25" s="142">
        <f>IF(Leerlinggegevens!D79=0,0,IF(Leerlinggegevens!K79=0,0,VLOOKUP(Leerlinggegevens!E79,PvE_SO,9,FALSE)+VLOOKUP(Leerlinggegevens!E79,PvE_SO,10,FALSE)*(VLOOKUP(Leerlinggegevens!E79,oppervlak,2,FALSE)+IF(Leerlinggegevens!D79="SO",VLOOKUP(Leerlinggegevens!E79,oppervlak,3,FALSE),VLOOKUP(Leerlinggegevens!E79,oppervlak,5,FALSE))+IF(Leerlinggegevens!D79="SO",VLOOKUP(Leerlinggegevens!E79,oppervlak,4,FALSE),VLOOKUP(Leerlinggegevens!E79,oppervlak,6,FALSE))*IF((Leerlinggegevens!K90-Leerlinggegevens!K83)&gt;Leerlinggegevens!I14/2,Leerlinggegevens!AF86,Leerlinggegevens!AF79))))</f>
        <v>8109.944000000001</v>
      </c>
      <c r="L25" s="59"/>
      <c r="M25" s="25"/>
    </row>
    <row r="26" spans="2:13" ht="12.75">
      <c r="B26" s="21"/>
      <c r="C26" s="118"/>
      <c r="D26" s="57" t="s">
        <v>85</v>
      </c>
      <c r="E26" s="57"/>
      <c r="F26" s="56"/>
      <c r="G26" s="57"/>
      <c r="H26" s="142">
        <f>IF(Leerlinggegevens!D25=0,0,IF(Leerlinggegevens!K25=0,0,VLOOKUP(Leerlinggegevens!E25,PvE_SO,11,FALSE)+VLOOKUP(Leerlinggegevens!E25,PvE_SO,12,FALSE)*(VLOOKUP(Leerlinggegevens!E25,oppervlak,2,FALSE)+IF(Leerlinggegevens!D25="SO",VLOOKUP(Leerlinggegevens!E25,oppervlak,3,FALSE),VLOOKUP(Leerlinggegevens!E25,oppervlak,5,FALSE))+IF(Leerlinggegevens!D25="SO",VLOOKUP(Leerlinggegevens!E25,oppervlak,4,FALSE),VLOOKUP(Leerlinggegevens!E25,oppervlak,6,FALSE))*IF((Leerlinggegevens!K36-Leerlinggegevens!K29)&gt;Leerlinggegevens!I14/2,Leerlinggegevens!AF32,Leerlinggegevens!AF25))))</f>
        <v>1471.284</v>
      </c>
      <c r="I26" s="142">
        <f>IF(Leerlinggegevens!D43=0,0,IF(Leerlinggegevens!K43=0,0,VLOOKUP(Leerlinggegevens!E43,PvE_SO,11,FALSE)+VLOOKUP(Leerlinggegevens!E43,PvE_SO,12,FALSE)*(VLOOKUP(Leerlinggegevens!E43,oppervlak,2,FALSE)+IF(Leerlinggegevens!D43="SO",VLOOKUP(Leerlinggegevens!E43,oppervlak,3,FALSE),VLOOKUP(Leerlinggegevens!E43,oppervlak,5,FALSE))+IF(Leerlinggegevens!D43="SO",VLOOKUP(Leerlinggegevens!E43,oppervlak,4,FALSE),VLOOKUP(Leerlinggegevens!E43,oppervlak,6,FALSE))*IF((Leerlinggegevens!K54-Leerlinggegevens!K47)&gt;Leerlinggegevens!I14/2,Leerlinggegevens!AF50,Leerlinggegevens!AF43))))</f>
        <v>1471.284</v>
      </c>
      <c r="J26" s="142">
        <f>IF(Leerlinggegevens!D61=0,0,IF(Leerlinggegevens!K61=0,0,VLOOKUP(Leerlinggegevens!E61,PvE_SO,11,FALSE)+VLOOKUP(Leerlinggegevens!E61,PvE_SO,12,FALSE)*(VLOOKUP(Leerlinggegevens!E61,oppervlak,2,FALSE)+IF(Leerlinggegevens!D61="SO",VLOOKUP(Leerlinggegevens!E61,oppervlak,3,FALSE),VLOOKUP(Leerlinggegevens!E61,oppervlak,5,FALSE))+IF(Leerlinggegevens!D61="SO",VLOOKUP(Leerlinggegevens!E61,oppervlak,4,FALSE),VLOOKUP(Leerlinggegevens!E61,oppervlak,6,FALSE))*IF((Leerlinggegevens!K72-Leerlinggegevens!K65)&gt;Leerlinggegevens!I14/2,Leerlinggegevens!AF68,Leerlinggegevens!AF61))))</f>
        <v>1471.284</v>
      </c>
      <c r="K26" s="142">
        <f>IF(Leerlinggegevens!D79=0,0,IF(Leerlinggegevens!K79=0,0,VLOOKUP(Leerlinggegevens!E79,PvE_SO,11,FALSE)+VLOOKUP(Leerlinggegevens!E79,PvE_SO,12,FALSE)*(VLOOKUP(Leerlinggegevens!E79,oppervlak,2,FALSE)+IF(Leerlinggegevens!D79="SO",VLOOKUP(Leerlinggegevens!E79,oppervlak,3,FALSE),VLOOKUP(Leerlinggegevens!E79,oppervlak,5,FALSE))+IF(Leerlinggegevens!D79="SO",VLOOKUP(Leerlinggegevens!E79,oppervlak,4,FALSE),VLOOKUP(Leerlinggegevens!E79,oppervlak,6,FALSE))*IF((Leerlinggegevens!K90-Leerlinggegevens!K83)&gt;Leerlinggegevens!I14/2,Leerlinggegevens!AF86,Leerlinggegevens!AF79))))</f>
        <v>1471.284</v>
      </c>
      <c r="L26" s="59"/>
      <c r="M26" s="25"/>
    </row>
    <row r="27" spans="2:13" s="107" customFormat="1" ht="12.75">
      <c r="B27" s="90"/>
      <c r="C27" s="122"/>
      <c r="D27" s="92" t="s">
        <v>37</v>
      </c>
      <c r="E27" s="92"/>
      <c r="F27" s="91"/>
      <c r="G27" s="92"/>
      <c r="H27" s="143">
        <f>SUM(H24:H26)</f>
        <v>12888.428000000002</v>
      </c>
      <c r="I27" s="143">
        <f>SUM(I24:I26)</f>
        <v>12888.428000000002</v>
      </c>
      <c r="J27" s="143">
        <f>SUM(J24:J26)</f>
        <v>12888.428000000002</v>
      </c>
      <c r="K27" s="143">
        <f>SUM(K24:K26)</f>
        <v>12888.428000000002</v>
      </c>
      <c r="L27" s="93"/>
      <c r="M27" s="94"/>
    </row>
    <row r="28" spans="2:13" ht="12.75">
      <c r="B28" s="21"/>
      <c r="C28" s="118"/>
      <c r="D28" s="61"/>
      <c r="E28" s="61"/>
      <c r="F28" s="56"/>
      <c r="G28" s="57"/>
      <c r="H28" s="119"/>
      <c r="I28" s="119"/>
      <c r="J28" s="119"/>
      <c r="K28" s="119"/>
      <c r="L28" s="59"/>
      <c r="M28" s="25"/>
    </row>
    <row r="29" spans="2:13" ht="12.75">
      <c r="B29" s="21"/>
      <c r="C29" s="118"/>
      <c r="D29" s="57" t="s">
        <v>86</v>
      </c>
      <c r="E29" s="57"/>
      <c r="F29" s="56"/>
      <c r="G29" s="57"/>
      <c r="H29" s="142">
        <f>IF(Leerlinggegevens!D25=0,0,IF(Leerlinggegevens!K25=0,0,VLOOKUP(Leerlinggegevens!E25,PvE_SO,13,FALSE)+VLOOKUP(Leerlinggegevens!E25,PvE_SO,14,FALSE)*(VLOOKUP(Leerlinggegevens!E25,oppervlak,2,FALSE)+IF(Leerlinggegevens!D25="SO",VLOOKUP(Leerlinggegevens!E25,oppervlak,3,FALSE),VLOOKUP(Leerlinggegevens!E25,oppervlak,5,FALSE))+IF(Leerlinggegevens!D25="SO",VLOOKUP(Leerlinggegevens!E25,oppervlak,4,FALSE),VLOOKUP(Leerlinggegevens!E25,oppervlak,6,FALSE))*IF((Leerlinggegevens!K36-Leerlinggegevens!K29)&gt;Leerlinggegevens!I14/2,Leerlinggegevens!AF32,Leerlinggegevens!AF25))))</f>
        <v>3316.25</v>
      </c>
      <c r="I29" s="142">
        <f>IF(Leerlinggegevens!D43=0,0,IF(Leerlinggegevens!K43=0,0,VLOOKUP(Leerlinggegevens!E43,PvE_SO,13,FALSE)+VLOOKUP(Leerlinggegevens!E43,PvE_SO,14,FALSE)*(VLOOKUP(Leerlinggegevens!E43,oppervlak,2,FALSE)+IF(Leerlinggegevens!D43="SO",VLOOKUP(Leerlinggegevens!E43,oppervlak,3,FALSE),VLOOKUP(Leerlinggegevens!E43,oppervlak,5,FALSE))+IF(Leerlinggegevens!D43="SO",VLOOKUP(Leerlinggegevens!E43,oppervlak,4,FALSE),VLOOKUP(Leerlinggegevens!E43,oppervlak,6,FALSE))*IF((Leerlinggegevens!K54-Leerlinggegevens!K47)&gt;Leerlinggegevens!I14/2,Leerlinggegevens!AF50,Leerlinggegevens!AF43))))</f>
        <v>3316.25</v>
      </c>
      <c r="J29" s="142">
        <f>IF(Leerlinggegevens!D61=0,0,IF(Leerlinggegevens!K61=0,0,VLOOKUP(Leerlinggegevens!E61,PvE_SO,13,FALSE)+VLOOKUP(Leerlinggegevens!E61,PvE_SO,14,FALSE)*(VLOOKUP(Leerlinggegevens!E61,oppervlak,2,FALSE)+IF(Leerlinggegevens!D61="SO",VLOOKUP(Leerlinggegevens!E61,oppervlak,3,FALSE),VLOOKUP(Leerlinggegevens!E61,oppervlak,5,FALSE))+IF(Leerlinggegevens!D61="SO",VLOOKUP(Leerlinggegevens!E61,oppervlak,4,FALSE),VLOOKUP(Leerlinggegevens!E61,oppervlak,6,FALSE))*IF((Leerlinggegevens!K72-Leerlinggegevens!K65)&gt;Leerlinggegevens!I14/2,Leerlinggegevens!AF68,Leerlinggegevens!AF61))))</f>
        <v>3316.25</v>
      </c>
      <c r="K29" s="142">
        <f>IF(Leerlinggegevens!D79=0,0,IF(Leerlinggegevens!K79=0,0,VLOOKUP(Leerlinggegevens!E79,PvE_SO,13,FALSE)+VLOOKUP(Leerlinggegevens!E79,PvE_SO,14,FALSE)*(VLOOKUP(Leerlinggegevens!E79,oppervlak,2,FALSE)+IF(Leerlinggegevens!D79="SO",VLOOKUP(Leerlinggegevens!E79,oppervlak,3,FALSE),VLOOKUP(Leerlinggegevens!E79,oppervlak,5,FALSE))+IF(Leerlinggegevens!D79="SO",VLOOKUP(Leerlinggegevens!E79,oppervlak,4,FALSE),VLOOKUP(Leerlinggegevens!E79,oppervlak,6,FALSE))*IF((Leerlinggegevens!K90-Leerlinggegevens!K83)&gt;Leerlinggegevens!I14/2,Leerlinggegevens!AF86,Leerlinggegevens!AF79))))</f>
        <v>3316.25</v>
      </c>
      <c r="L29" s="59"/>
      <c r="M29" s="25"/>
    </row>
    <row r="30" spans="2:13" ht="12.75">
      <c r="B30" s="21"/>
      <c r="C30" s="118"/>
      <c r="D30" s="57"/>
      <c r="E30" s="57"/>
      <c r="F30" s="56"/>
      <c r="G30" s="57"/>
      <c r="H30" s="153">
        <f>H21+H27+H29</f>
        <v>56943.797999999995</v>
      </c>
      <c r="I30" s="153">
        <f>I21+I27+I29</f>
        <v>56943.797999999995</v>
      </c>
      <c r="J30" s="153">
        <f>J21+J27+J29</f>
        <v>56943.797999999995</v>
      </c>
      <c r="K30" s="153">
        <f>K21+K27+K29</f>
        <v>56943.797999999995</v>
      </c>
      <c r="L30" s="59"/>
      <c r="M30" s="25"/>
    </row>
    <row r="31" spans="2:13" ht="12.75" customHeight="1">
      <c r="B31" s="21"/>
      <c r="C31" s="118"/>
      <c r="D31" s="61" t="s">
        <v>87</v>
      </c>
      <c r="E31" s="61"/>
      <c r="F31" s="56"/>
      <c r="G31" s="57"/>
      <c r="H31" s="144">
        <f>IF(Leerlinggegevens!D25=0,0,IF(Leerlinggegevens!K25=0,0,VLOOKUP(Leerlinggegevens!E25,groepsafhPvE,2,FALSE)+IF(Leerlinggegevens!D25="SO",VLOOKUP(Leerlinggegevens!E25,groepsafhPvE,3,FALSE),VLOOKUP(Leerlinggegevens!E25,groepsafhPvE,5,FALSE)))+IF(Leerlinggegevens!D25="SO",VLOOKUP(Leerlinggegevens!E25,groepsafhPvE,4,FALSE),VLOOKUP(Leerlinggegevens!E25,groepsafhPvE,6,FALSE))*IF((Leerlinggegevens!K36-Leerlinggegevens!K29)&gt;Leerlinggegevens!I14/2,Leerlinggegevens!AF32,Leerlinggegevens!AF25))</f>
        <v>56937.52</v>
      </c>
      <c r="I31" s="144">
        <f>IF(Leerlinggegevens!D43=0,0,IF(Leerlinggegevens!K43=0,0,VLOOKUP(Leerlinggegevens!E43,groepsafhPvE,2,FALSE)+IF(Leerlinggegevens!D43="SO",VLOOKUP(Leerlinggegevens!E43,groepsafhPvE,3,FALSE),VLOOKUP(Leerlinggegevens!E43,groepsafhPvE,5,FALSE)))+IF(Leerlinggegevens!D43="SO",VLOOKUP(Leerlinggegevens!E43,groepsafhPvE,4,FALSE),VLOOKUP(Leerlinggegevens!E43,groepsafhPvE,6,FALSE))*IF((Leerlinggegevens!K54-Leerlinggegevens!K47)&gt;Leerlinggegevens!I14/2,Leerlinggegevens!AF50,Leerlinggegevens!AF43))</f>
        <v>56937.52</v>
      </c>
      <c r="J31" s="144">
        <f>IF(Leerlinggegevens!D61=0,0,IF(Leerlinggegevens!K61=0,0,VLOOKUP(Leerlinggegevens!E61,groepsafhPvE,2,FALSE)+IF(Leerlinggegevens!D61="SO",VLOOKUP(Leerlinggegevens!E61,groepsafhPvE,3,FALSE),VLOOKUP(Leerlinggegevens!E61,groepsafhPvE,5,FALSE)))+IF(Leerlinggegevens!D61="SO",VLOOKUP(Leerlinggegevens!E61,groepsafhPvE,4,FALSE),VLOOKUP(Leerlinggegevens!E61,groepsafhPvE,6,FALSE))*IF((Leerlinggegevens!K72-Leerlinggegevens!K65)&gt;Leerlinggegevens!I14/2,Leerlinggegevens!AF68,Leerlinggegevens!AF61))</f>
        <v>56937.52</v>
      </c>
      <c r="K31" s="144">
        <f>IF(Leerlinggegevens!D79=0,0,IF(Leerlinggegevens!K79=0,0,VLOOKUP(Leerlinggegevens!E79,groepsafhPvE,2,FALSE)+IF(Leerlinggegevens!D79="SO",VLOOKUP(Leerlinggegevens!E79,groepsafhPvE,3,FALSE),VLOOKUP(Leerlinggegevens!E79,groepsafhPvE,5,FALSE)))+IF(Leerlinggegevens!D79="SO",VLOOKUP(Leerlinggegevens!E79,groepsafhPvE,4,FALSE),VLOOKUP(Leerlinggegevens!E79,groepsafhPvE,6,FALSE))*IF((Leerlinggegevens!K90-Leerlinggegevens!K83)&gt;Leerlinggegevens!I14/2,Leerlinggegevens!AF86,Leerlinggegevens!AF79))</f>
        <v>56937.52</v>
      </c>
      <c r="L31" s="59"/>
      <c r="M31" s="25"/>
    </row>
    <row r="32" spans="2:13" ht="12.75" customHeight="1">
      <c r="B32" s="21"/>
      <c r="C32" s="118"/>
      <c r="D32" s="61"/>
      <c r="E32" s="61"/>
      <c r="F32" s="56"/>
      <c r="G32" s="57"/>
      <c r="H32" s="120"/>
      <c r="I32" s="120"/>
      <c r="J32" s="120"/>
      <c r="K32" s="120"/>
      <c r="L32" s="59"/>
      <c r="M32" s="25"/>
    </row>
    <row r="33" spans="2:13" ht="12.75" customHeight="1">
      <c r="B33" s="21"/>
      <c r="C33" s="118"/>
      <c r="D33" s="57" t="s">
        <v>212</v>
      </c>
      <c r="E33" s="61"/>
      <c r="F33" s="85" t="s">
        <v>102</v>
      </c>
      <c r="G33" s="67"/>
      <c r="H33" s="142">
        <f>IF(F33="ja",IF(Leerlinggegevens!D25=0,0,VLOOKUP(Leerlinggegevens!E25,PvE_SO,4,FALSE)),0)</f>
        <v>0</v>
      </c>
      <c r="I33" s="142">
        <f>IF(F33="ja",IF(Leerlinggegevens!D43=0,0,VLOOKUP(Leerlinggegevens!E43,PvE_SO,4,FALSE)),0)</f>
        <v>0</v>
      </c>
      <c r="J33" s="142">
        <f>IF(F33="ja",IF(Leerlinggegevens!D61=0,0,VLOOKUP(Leerlinggegevens!E61,PvE_SO,4,FALSE)),0)</f>
        <v>0</v>
      </c>
      <c r="K33" s="142">
        <f>IF(F33="ja",IF(Leerlinggegevens!D79=0,0,VLOOKUP(Leerlinggegevens!E79,PvE_SO,4,FALSE)),0)</f>
        <v>0</v>
      </c>
      <c r="L33" s="59"/>
      <c r="M33" s="25"/>
    </row>
    <row r="34" spans="2:13" ht="12.75" customHeight="1">
      <c r="B34" s="21"/>
      <c r="C34" s="118"/>
      <c r="D34" s="57"/>
      <c r="E34" s="57"/>
      <c r="F34" s="56"/>
      <c r="G34" s="57"/>
      <c r="H34" s="120"/>
      <c r="I34" s="120"/>
      <c r="J34" s="120"/>
      <c r="K34" s="120"/>
      <c r="L34" s="59"/>
      <c r="M34" s="25"/>
    </row>
    <row r="35" spans="2:13" ht="12.75" customHeight="1">
      <c r="B35" s="21"/>
      <c r="C35" s="118" t="s">
        <v>122</v>
      </c>
      <c r="D35" s="61" t="s">
        <v>42</v>
      </c>
      <c r="E35" s="61"/>
      <c r="F35" s="56"/>
      <c r="G35" s="57"/>
      <c r="H35" s="119"/>
      <c r="I35" s="119"/>
      <c r="J35" s="119"/>
      <c r="K35" s="119"/>
      <c r="L35" s="59"/>
      <c r="M35" s="25"/>
    </row>
    <row r="36" spans="2:13" ht="12.75" customHeight="1">
      <c r="B36" s="21"/>
      <c r="C36" s="118"/>
      <c r="D36" s="92" t="s">
        <v>80</v>
      </c>
      <c r="E36" s="61"/>
      <c r="F36" s="56"/>
      <c r="G36" s="57"/>
      <c r="H36" s="119"/>
      <c r="I36" s="119"/>
      <c r="J36" s="119"/>
      <c r="K36" s="119"/>
      <c r="L36" s="59"/>
      <c r="M36" s="25"/>
    </row>
    <row r="37" spans="2:13" ht="12.75">
      <c r="B37" s="21"/>
      <c r="C37" s="118"/>
      <c r="D37" s="57" t="s">
        <v>34</v>
      </c>
      <c r="E37" s="57"/>
      <c r="F37" s="56"/>
      <c r="G37" s="57"/>
      <c r="H37" s="142">
        <f>IF(Leerlinggegevens!D25=0,0,IF(Leerlinggegevens!K25=0,0,VLOOKUP(Leerlinggegevens!E25,PvE_SO,15,FALSE)+IF(Leerlinggegevens!D25="SO",VLOOKUP(Leerlinggegevens!E25,PvE_SO,16,FALSE),VLOOKUP(Leerlinggegevens!E25,PvE_VSO,16,FALSE))*Leerlinggegevens!AC25))</f>
        <v>224.01999999999998</v>
      </c>
      <c r="I37" s="142">
        <f>IF(Leerlinggegevens!D43=0,0,IF(Leerlinggegevens!K43=0,0,VLOOKUP(Leerlinggegevens!E43,PvE_SO,15,FALSE)+IF(Leerlinggegevens!D43="SO",VLOOKUP(Leerlinggegevens!E43,PvE_SO,16,FALSE),VLOOKUP(Leerlinggegevens!E43,PvE_VSO,16,FALSE))*Leerlinggegevens!AC43))</f>
        <v>224.01999999999998</v>
      </c>
      <c r="J37" s="142">
        <f>IF(Leerlinggegevens!D61=0,0,IF(Leerlinggegevens!K61=0,0,VLOOKUP(Leerlinggegevens!E61,PvE_SO,15,FALSE)+IF(Leerlinggegevens!D61="SO",VLOOKUP(Leerlinggegevens!E61,PvE_SO,16,FALSE),VLOOKUP(Leerlinggegevens!E61,PvE_VSO,16,FALSE))*Leerlinggegevens!AC61))</f>
        <v>224.01999999999998</v>
      </c>
      <c r="K37" s="142">
        <f>IF(Leerlinggegevens!D79=0,0,IF(Leerlinggegevens!K79=0,0,VLOOKUP(Leerlinggegevens!E79,PvE_SO,15,FALSE)+IF(Leerlinggegevens!D79="SO",VLOOKUP(Leerlinggegevens!E79,PvE_SO,16,FALSE),VLOOKUP(Leerlinggegevens!E79,PvE_VSO,16,FALSE))*Leerlinggegevens!AC79))</f>
        <v>224.01999999999998</v>
      </c>
      <c r="L37" s="59"/>
      <c r="M37" s="25"/>
    </row>
    <row r="38" spans="2:13" ht="12.75">
      <c r="B38" s="21"/>
      <c r="C38" s="118"/>
      <c r="D38" s="57" t="s">
        <v>88</v>
      </c>
      <c r="E38" s="57"/>
      <c r="F38" s="56"/>
      <c r="G38" s="57"/>
      <c r="H38" s="142">
        <f>IF(Leerlinggegevens!D25=0,0,IF(Leerlinggegevens!K25=0,0,VLOOKUP(Leerlinggegevens!E25,PvE_SO,17,FALSE)+IF(Leerlinggegevens!D25="SO",VLOOKUP(Leerlinggegevens!E25,PvE_SO,18,FALSE),VLOOKUP(Leerlinggegevens!E25,PvE_VSO,18,FALSE))*Leerlinggegevens!AC25))</f>
        <v>148.01999999999998</v>
      </c>
      <c r="I38" s="142">
        <f>IF(Leerlinggegevens!D43=0,0,IF(Leerlinggegevens!K43=0,0,VLOOKUP(Leerlinggegevens!E43,PvE_SO,17,FALSE)+IF(Leerlinggegevens!D43="SO",VLOOKUP(Leerlinggegevens!E43,PvE_SO,18,FALSE),VLOOKUP(Leerlinggegevens!E43,PvE_VSO,18,FALSE))*Leerlinggegevens!AC43))</f>
        <v>148.01999999999998</v>
      </c>
      <c r="J38" s="142">
        <f>IF(Leerlinggegevens!D61=0,0,IF(Leerlinggegevens!K61=0,0,VLOOKUP(Leerlinggegevens!E61,PvE_SO,17,FALSE)+IF(Leerlinggegevens!D61="SO",VLOOKUP(Leerlinggegevens!E61,PvE_SO,18,FALSE),VLOOKUP(Leerlinggegevens!E61,PvE_VSO,18,FALSE))*Leerlinggegevens!AC61))</f>
        <v>148.01999999999998</v>
      </c>
      <c r="K38" s="142">
        <f>IF(Leerlinggegevens!D79=0,0,IF(Leerlinggegevens!K79=0,0,VLOOKUP(Leerlinggegevens!E79,PvE_SO,17,FALSE)+IF(Leerlinggegevens!D79="SO",VLOOKUP(Leerlinggegevens!E79,PvE_SO,18,FALSE),VLOOKUP(Leerlinggegevens!E79,PvE_VSO,18,FALSE))*Leerlinggegevens!AC79))</f>
        <v>148.01999999999998</v>
      </c>
      <c r="L38" s="59"/>
      <c r="M38" s="25"/>
    </row>
    <row r="39" spans="2:13" ht="12.75">
      <c r="B39" s="21"/>
      <c r="C39" s="118"/>
      <c r="D39" s="57" t="s">
        <v>35</v>
      </c>
      <c r="E39" s="57"/>
      <c r="F39" s="56"/>
      <c r="G39" s="57"/>
      <c r="H39" s="142">
        <f>IF(Leerlinggegevens!D25=0,0,IF(Leerlinggegevens!K25=0,0,VLOOKUP(Leerlinggegevens!E25,PvE_SO,19,FALSE)+IF(Leerlinggegevens!D25="SO",VLOOKUP(Leerlinggegevens!E25,PvE_SO,20,FALSE),VLOOKUP(Leerlinggegevens!E25,PvE_VSO,20,FALSE))*Leerlinggegevens!AC25))</f>
        <v>68.85</v>
      </c>
      <c r="I39" s="142">
        <f>IF(Leerlinggegevens!D43=0,0,IF(Leerlinggegevens!K43=0,0,VLOOKUP(Leerlinggegevens!E43,PvE_SO,19,FALSE)+IF(Leerlinggegevens!D43="SO",VLOOKUP(Leerlinggegevens!E43,PvE_SO,20,FALSE),VLOOKUP(Leerlinggegevens!E43,PvE_VSO,20,FALSE))*Leerlinggegevens!AC43))</f>
        <v>68.85</v>
      </c>
      <c r="J39" s="142">
        <f>IF(Leerlinggegevens!D61=0,0,IF(Leerlinggegevens!K61=0,0,VLOOKUP(Leerlinggegevens!E61,PvE_SO,19,FALSE)+IF(Leerlinggegevens!D61="SO",VLOOKUP(Leerlinggegevens!E61,PvE_SO,20,FALSE),VLOOKUP(Leerlinggegevens!E61,PvE_VSO,20,FALSE))*Leerlinggegevens!AC61))</f>
        <v>68.85</v>
      </c>
      <c r="K39" s="142">
        <f>IF(Leerlinggegevens!D79=0,0,IF(Leerlinggegevens!K79=0,0,VLOOKUP(Leerlinggegevens!E79,PvE_SO,19,FALSE)+IF(Leerlinggegevens!D79="SO",VLOOKUP(Leerlinggegevens!E79,PvE_SO,20,FALSE),VLOOKUP(Leerlinggegevens!E79,PvE_VSO,20,FALSE))*Leerlinggegevens!AC79))</f>
        <v>68.85</v>
      </c>
      <c r="L39" s="59"/>
      <c r="M39" s="25"/>
    </row>
    <row r="40" spans="2:13" ht="12.75">
      <c r="B40" s="21"/>
      <c r="C40" s="118"/>
      <c r="D40" s="57" t="s">
        <v>36</v>
      </c>
      <c r="E40" s="57"/>
      <c r="F40" s="56"/>
      <c r="G40" s="57"/>
      <c r="H40" s="142">
        <f>IF(Leerlinggegevens!D25=0,0,IF(Leerlinggegevens!K25=0,0,VLOOKUP(Leerlinggegevens!E25,PvE_SO,21,FALSE)+IF(Leerlinggegevens!D25="SO",VLOOKUP(Leerlinggegevens!E25,PvE_SO,22,FALSE),VLOOKUP(Leerlinggegevens!E25,PvE_VSO,22,FALSE))*Leerlinggegevens!AC25))</f>
        <v>566.7299999999999</v>
      </c>
      <c r="I40" s="142">
        <f>IF(Leerlinggegevens!D43=0,0,IF(Leerlinggegevens!K43=0,0,VLOOKUP(Leerlinggegevens!E43,PvE_SO,21,FALSE)+IF(Leerlinggegevens!D43="SO",VLOOKUP(Leerlinggegevens!E43,PvE_SO,22,FALSE),VLOOKUP(Leerlinggegevens!E43,PvE_VSO,22,FALSE))*Leerlinggegevens!AC43))</f>
        <v>566.7299999999999</v>
      </c>
      <c r="J40" s="142">
        <f>IF(Leerlinggegevens!D61=0,0,IF(Leerlinggegevens!K61=0,0,VLOOKUP(Leerlinggegevens!E61,PvE_SO,21,FALSE)+IF(Leerlinggegevens!D61="SO",VLOOKUP(Leerlinggegevens!E61,PvE_SO,22,FALSE),VLOOKUP(Leerlinggegevens!E61,PvE_VSO,22,FALSE))*Leerlinggegevens!AC61))</f>
        <v>566.7299999999999</v>
      </c>
      <c r="K40" s="142">
        <f>IF(Leerlinggegevens!D79=0,0,IF(Leerlinggegevens!K79=0,0,VLOOKUP(Leerlinggegevens!E79,PvE_SO,21,FALSE)+IF(Leerlinggegevens!D79="SO",VLOOKUP(Leerlinggegevens!E79,PvE_SO,22,FALSE),VLOOKUP(Leerlinggegevens!E79,PvE_VSO,22,FALSE))*Leerlinggegevens!AC79))</f>
        <v>566.7299999999999</v>
      </c>
      <c r="L40" s="59"/>
      <c r="M40" s="25"/>
    </row>
    <row r="41" spans="2:13" ht="12.75">
      <c r="B41" s="21"/>
      <c r="C41" s="118"/>
      <c r="D41" s="57" t="s">
        <v>114</v>
      </c>
      <c r="E41" s="57"/>
      <c r="F41" s="56"/>
      <c r="G41" s="57"/>
      <c r="H41" s="142">
        <f>IF(Leerlinggegevens!D25=0,0,IF(Leerlinggegevens!K25=0,0,VLOOKUP(Leerlinggegevens!E25,PvE_SO,23,FALSE)+IF(Leerlinggegevens!D25="SO",VLOOKUP(Leerlinggegevens!E25,PvE_SO,24,FALSE),VLOOKUP(Leerlinggegevens!E25,PvE_VSO,24,FALSE))*Leerlinggegevens!AC25))</f>
        <v>5928.85</v>
      </c>
      <c r="I41" s="142">
        <f>IF(Leerlinggegevens!D43=0,0,IF(Leerlinggegevens!K43=0,0,VLOOKUP(Leerlinggegevens!E43,PvE_SO,23,FALSE)+IF(Leerlinggegevens!D43="SO",VLOOKUP(Leerlinggegevens!E43,PvE_SO,24,FALSE),VLOOKUP(Leerlinggegevens!E43,PvE_VSO,24,FALSE))*Leerlinggegevens!AC43))</f>
        <v>5928.85</v>
      </c>
      <c r="J41" s="142">
        <f>IF(Leerlinggegevens!D61=0,0,IF(Leerlinggegevens!K61=0,0,VLOOKUP(Leerlinggegevens!E61,PvE_SO,23,FALSE)+IF(Leerlinggegevens!D61="SO",VLOOKUP(Leerlinggegevens!E61,PvE_SO,24,FALSE),VLOOKUP(Leerlinggegevens!E61,PvE_VSO,24,FALSE))*Leerlinggegevens!AC61))</f>
        <v>5928.85</v>
      </c>
      <c r="K41" s="142">
        <f>IF(Leerlinggegevens!D79=0,0,IF(Leerlinggegevens!K79=0,0,VLOOKUP(Leerlinggegevens!E79,PvE_SO,23,FALSE)+IF(Leerlinggegevens!D79="SO",VLOOKUP(Leerlinggegevens!E79,PvE_SO,24,FALSE),VLOOKUP(Leerlinggegevens!E79,PvE_VSO,24,FALSE))*Leerlinggegevens!AC79))</f>
        <v>5928.85</v>
      </c>
      <c r="L41" s="59"/>
      <c r="M41" s="25"/>
    </row>
    <row r="42" spans="2:13" ht="12.75">
      <c r="B42" s="21"/>
      <c r="C42" s="118"/>
      <c r="D42" s="131" t="s">
        <v>115</v>
      </c>
      <c r="E42" s="92"/>
      <c r="F42" s="56"/>
      <c r="G42" s="57"/>
      <c r="H42" s="143">
        <f>IF(Leerlinggegevens!D25=0,0,IF(Leerlinggegevens!K25=0,0,VLOOKUP(Leerlinggegevens!E25,PvE_SO,25,FALSE)+IF(Leerlinggegevens!D25="SO",VLOOKUP(Leerlinggegevens!E25,PvE_SO,26,FALSE),VLOOKUP(Leerlinggegevens!E25,PvE_VSO,26,FALSE))*Leerlinggegevens!AC25))</f>
        <v>1787.31</v>
      </c>
      <c r="I42" s="143">
        <f>IF(Leerlinggegevens!D43=0,0,IF(Leerlinggegevens!K43=0,0,VLOOKUP(Leerlinggegevens!E43,PvE_SO,25,FALSE)+IF(Leerlinggegevens!D43="SO",VLOOKUP(Leerlinggegevens!E43,PvE_SO,26,FALSE),VLOOKUP(Leerlinggegevens!E43,PvE_VSO,26,FALSE))*Leerlinggegevens!AC43))</f>
        <v>1787.31</v>
      </c>
      <c r="J42" s="143">
        <f>IF(Leerlinggegevens!D61=0,0,IF(Leerlinggegevens!K61=0,0,VLOOKUP(Leerlinggegevens!E61,PvE_SO,25,FALSE)+IF(Leerlinggegevens!D61="SO",VLOOKUP(Leerlinggegevens!E61,PvE_SO,26,FALSE),VLOOKUP(Leerlinggegevens!E61,PvE_VSO,26,FALSE))*Leerlinggegevens!AC61))</f>
        <v>1787.31</v>
      </c>
      <c r="K42" s="143">
        <f>IF(Leerlinggegevens!D79=0,0,IF(Leerlinggegevens!K79=0,0,VLOOKUP(Leerlinggegevens!E79,PvE_SO,25,FALSE)+IF(Leerlinggegevens!D79="SO",VLOOKUP(Leerlinggegevens!E79,PvE_SO,26,FALSE),VLOOKUP(Leerlinggegevens!E79,PvE_VSO,26,FALSE))*Leerlinggegevens!AC79))</f>
        <v>1787.31</v>
      </c>
      <c r="L42" s="59"/>
      <c r="M42" s="25"/>
    </row>
    <row r="43" spans="2:13" ht="12.75">
      <c r="B43" s="21"/>
      <c r="C43" s="118"/>
      <c r="D43" s="57" t="s">
        <v>81</v>
      </c>
      <c r="E43" s="57"/>
      <c r="F43" s="56"/>
      <c r="G43" s="57"/>
      <c r="H43" s="142">
        <f>IF(Leerlinggegevens!D25=0,0,IF(Leerlinggegevens!K25=0,0,VLOOKUP(Leerlinggegevens!E25,PvE_SO,27,FALSE)+IF(Leerlinggegevens!D25="SO",VLOOKUP(Leerlinggegevens!E25,PvE_SO,28,FALSE),VLOOKUP(Leerlinggegevens!E25,PvE_VSO,28,FALSE))*Leerlinggegevens!AC25))</f>
        <v>2061</v>
      </c>
      <c r="I43" s="142">
        <f>IF(Leerlinggegevens!D43=0,0,IF(Leerlinggegevens!K43=0,0,VLOOKUP(Leerlinggegevens!E43,PvE_SO,27,FALSE)+IF(Leerlinggegevens!D43="SO",VLOOKUP(Leerlinggegevens!E43,PvE_SO,28,FALSE),VLOOKUP(Leerlinggegevens!E43,PvE_VSO,28,FALSE))*Leerlinggegevens!AC43))</f>
        <v>2061</v>
      </c>
      <c r="J43" s="142">
        <f>IF(Leerlinggegevens!D61=0,0,IF(Leerlinggegevens!K61=0,0,VLOOKUP(Leerlinggegevens!E61,PvE_SO,27,FALSE)+IF(Leerlinggegevens!D61="SO",VLOOKUP(Leerlinggegevens!E61,PvE_SO,28,FALSE),VLOOKUP(Leerlinggegevens!E61,PvE_VSO,28,FALSE))*Leerlinggegevens!AC61))</f>
        <v>2061</v>
      </c>
      <c r="K43" s="142">
        <f>IF(Leerlinggegevens!D79=0,0,IF(Leerlinggegevens!K79=0,0,VLOOKUP(Leerlinggegevens!E79,PvE_SO,27,FALSE)+IF(Leerlinggegevens!D79="SO",VLOOKUP(Leerlinggegevens!E79,PvE_SO,28,FALSE),VLOOKUP(Leerlinggegevens!E79,PvE_VSO,28,FALSE))*Leerlinggegevens!AC79))</f>
        <v>2061</v>
      </c>
      <c r="L43" s="59"/>
      <c r="M43" s="25"/>
    </row>
    <row r="44" spans="2:13" ht="12.75">
      <c r="B44" s="21"/>
      <c r="C44" s="118"/>
      <c r="D44" s="57" t="s">
        <v>118</v>
      </c>
      <c r="E44" s="57"/>
      <c r="F44" s="56"/>
      <c r="G44" s="57"/>
      <c r="H44" s="142">
        <f>IF(Leerlinggegevens!D25=0,0,IF(Leerlinggegevens!K25=0,0,VLOOKUP(Leerlinggegevens!E25,PvE_SO,29,FALSE)+IF(Leerlinggegevens!D25="SO",VLOOKUP(Leerlinggegevens!E25,PvE_SO,30,FALSE),VLOOKUP(Leerlinggegevens!E25,PvE_VSO,30,FALSE))*Leerlinggegevens!AC25))</f>
        <v>6479.000000000001</v>
      </c>
      <c r="I44" s="142">
        <f>IF(Leerlinggegevens!D43=0,0,IF(Leerlinggegevens!K43=0,0,VLOOKUP(Leerlinggegevens!E43,PvE_SO,29,FALSE)+IF(Leerlinggegevens!D43="SO",VLOOKUP(Leerlinggegevens!E43,PvE_SO,30,FALSE),VLOOKUP(Leerlinggegevens!E43,PvE_VSO,30,FALSE))*Leerlinggegevens!AC43))</f>
        <v>6479.000000000001</v>
      </c>
      <c r="J44" s="142">
        <f>IF(Leerlinggegevens!D61=0,0,IF(Leerlinggegevens!K61=0,0,VLOOKUP(Leerlinggegevens!E61,PvE_SO,29,FALSE)+IF(Leerlinggegevens!D61="SO",VLOOKUP(Leerlinggegevens!E61,PvE_SO,30,FALSE),VLOOKUP(Leerlinggegevens!E61,PvE_VSO,30,FALSE))*Leerlinggegevens!AC61))</f>
        <v>6479.000000000001</v>
      </c>
      <c r="K44" s="142">
        <f>IF(Leerlinggegevens!D79=0,0,IF(Leerlinggegevens!K79=0,0,VLOOKUP(Leerlinggegevens!E79,PvE_SO,29,FALSE)+IF(Leerlinggegevens!D79="SO",VLOOKUP(Leerlinggegevens!E79,PvE_SO,30,FALSE),VLOOKUP(Leerlinggegevens!E79,PvE_VSO,30,FALSE))*Leerlinggegevens!AC79))</f>
        <v>6479.000000000001</v>
      </c>
      <c r="L44" s="59"/>
      <c r="M44" s="25"/>
    </row>
    <row r="45" spans="2:13" ht="12.75">
      <c r="B45" s="21"/>
      <c r="C45" s="118"/>
      <c r="D45" s="57" t="s">
        <v>119</v>
      </c>
      <c r="E45" s="57"/>
      <c r="F45" s="56"/>
      <c r="G45" s="57"/>
      <c r="H45" s="142">
        <f>IF(Leerlinggegevens!D25=0,0,IF(Leerlinggegevens!K25=0,0,VLOOKUP(Leerlinggegevens!E25,PvE_SO,31,FALSE)+IF(Leerlinggegevens!D25="SO",VLOOKUP(Leerlinggegevens!E25,PvE_SO,32,FALSE),VLOOKUP(Leerlinggegevens!E25,PvE_VSO,32,FALSE))*Leerlinggegevens!AC25))</f>
        <v>3433</v>
      </c>
      <c r="I45" s="142">
        <f>IF(Leerlinggegevens!D43=0,0,IF(Leerlinggegevens!K43=0,0,VLOOKUP(Leerlinggegevens!E43,PvE_SO,31,FALSE)+IF(Leerlinggegevens!D43="SO",VLOOKUP(Leerlinggegevens!E43,PvE_SO,32,FALSE),VLOOKUP(Leerlinggegevens!E43,PvE_VSO,32,FALSE))*Leerlinggegevens!AC43))</f>
        <v>3433</v>
      </c>
      <c r="J45" s="142">
        <f>IF(Leerlinggegevens!D61=0,0,IF(Leerlinggegevens!K61=0,0,VLOOKUP(Leerlinggegevens!E61,PvE_SO,31,FALSE)+IF(Leerlinggegevens!D61="SO",VLOOKUP(Leerlinggegevens!E61,PvE_SO,32,FALSE),VLOOKUP(Leerlinggegevens!E61,PvE_VSO,32,FALSE))*Leerlinggegevens!AC61))</f>
        <v>3433</v>
      </c>
      <c r="K45" s="142">
        <f>IF(Leerlinggegevens!D79=0,0,IF(Leerlinggegevens!K79=0,0,VLOOKUP(Leerlinggegevens!E79,PvE_SO,31,FALSE)+IF(Leerlinggegevens!D79="SO",VLOOKUP(Leerlinggegevens!E79,PvE_SO,32,FALSE),VLOOKUP(Leerlinggegevens!E79,PvE_VSO,32,FALSE))*Leerlinggegevens!AC79))</f>
        <v>3433</v>
      </c>
      <c r="L45" s="59"/>
      <c r="M45" s="25"/>
    </row>
    <row r="46" spans="2:13" ht="12.75">
      <c r="B46" s="21"/>
      <c r="C46" s="118"/>
      <c r="D46" s="57" t="s">
        <v>116</v>
      </c>
      <c r="E46" s="57"/>
      <c r="F46" s="56"/>
      <c r="G46" s="57"/>
      <c r="H46" s="142">
        <f>IF(Leerlinggegevens!D25=0,0,IF(Leerlinggegevens!K25=0,0,+tabellen!AJ4+IF(Leerlinggegevens!D25="SO",VLOOKUP(Leerlinggegevens!E25,PvE_SO,33,FALSE),VLOOKUP(Leerlinggegevens!E25,PvE_VSO,33,FALSE))+IF(Leerlinggegevens!D25="SO",VLOOKUP(Leerlinggegevens!E25,PvE_SO,34,FALSE),VLOOKUP(Leerlinggegevens!E25,PvE_VSO,34,FALSE))*Leerlinggegevens!AC25))</f>
        <v>38088.05</v>
      </c>
      <c r="I46" s="142">
        <f>IF(Leerlinggegevens!D43=0,0,IF(Leerlinggegevens!K43=0,0,+tabellen!AJ4+IF(Leerlinggegevens!D43="SO",VLOOKUP(Leerlinggegevens!E43,PvE_SO,33,FALSE),VLOOKUP(Leerlinggegevens!E43,PvE_VSO,33,FALSE))+IF(Leerlinggegevens!D43="SO",VLOOKUP(Leerlinggegevens!E43,PvE_SO,34,FALSE),VLOOKUP(Leerlinggegevens!E43,PvE_VSO,34,FALSE))*Leerlinggegevens!AC43))</f>
        <v>38088.05</v>
      </c>
      <c r="J46" s="142">
        <f>IF(Leerlinggegevens!D61=0,0,IF(Leerlinggegevens!K61=0,0,+tabellen!AJ4+IF(Leerlinggegevens!D61="SO",VLOOKUP(Leerlinggegevens!E61,PvE_SO,33,FALSE),VLOOKUP(Leerlinggegevens!E61,PvE_VSO,33,FALSE))+IF(Leerlinggegevens!D61="SO",VLOOKUP(Leerlinggegevens!E61,PvE_SO,34,FALSE),VLOOKUP(Leerlinggegevens!E61,PvE_VSO,34,FALSE))*Leerlinggegevens!AC61))</f>
        <v>38088.05</v>
      </c>
      <c r="K46" s="142">
        <f>IF(Leerlinggegevens!D79=0,0,IF(Leerlinggegevens!K79=0,0,+tabellen!AJ4+IF(Leerlinggegevens!D79="SO",VLOOKUP(Leerlinggegevens!E79,PvE_SO,33,FALSE),VLOOKUP(Leerlinggegevens!E79,PvE_VSO,33,FALSE))+IF(Leerlinggegevens!D79="SO",VLOOKUP(Leerlinggegevens!E79,PvE_SO,34,FALSE),VLOOKUP(Leerlinggegevens!E79,PvE_VSO,34,FALSE))*Leerlinggegevens!AC79))</f>
        <v>38088.05</v>
      </c>
      <c r="L46" s="59"/>
      <c r="M46" s="25"/>
    </row>
    <row r="47" spans="2:13" ht="12.75">
      <c r="B47" s="21"/>
      <c r="C47" s="118"/>
      <c r="D47" s="131" t="s">
        <v>120</v>
      </c>
      <c r="E47" s="92"/>
      <c r="F47" s="56"/>
      <c r="G47" s="57"/>
      <c r="H47" s="143">
        <f>IF(Leerlinggegevens!D25=0,0,IF(Leerlinggegevens!K25=0,0,IF(Leerlinggegevens!D25="SO",VLOOKUP(Leerlinggegevens!E25,PvE_SO,35,FALSE),VLOOKUP(Leerlinggegevens!E25,PvE_VSO,35,FALSE))+IF(Leerlinggegevens!D25="SO",VLOOKUP(Leerlinggegevens!E25,PvE_SO,36,FALSE),VLOOKUP(Leerlinggegevens!E25,PvE_VSO,36,FALSE))*Leerlinggegevens!AC25))</f>
        <v>14023.84</v>
      </c>
      <c r="I47" s="143">
        <f>IF(Leerlinggegevens!D43=0,0,IF(Leerlinggegevens!K43=0,0,IF(Leerlinggegevens!D43="SO",VLOOKUP(Leerlinggegevens!E43,PvE_SO,35,FALSE),VLOOKUP(Leerlinggegevens!E43,PvE_VSO,35,FALSE))+IF(Leerlinggegevens!D43="SO",VLOOKUP(Leerlinggegevens!E43,PvE_SO,36,FALSE),VLOOKUP(Leerlinggegevens!E43,PvE_VSO,36,FALSE))*Leerlinggegevens!AC43))</f>
        <v>14023.84</v>
      </c>
      <c r="J47" s="143">
        <f>IF(Leerlinggegevens!D61=0,0,IF(Leerlinggegevens!K61=0,0,IF(Leerlinggegevens!D61="SO",VLOOKUP(Leerlinggegevens!E61,PvE_SO,35,FALSE),VLOOKUP(Leerlinggegevens!E61,PvE_VSO,35,FALSE))+IF(Leerlinggegevens!D61="SO",VLOOKUP(Leerlinggegevens!E61,PvE_SO,36,FALSE),VLOOKUP(Leerlinggegevens!E61,PvE_VSO,36,FALSE))*Leerlinggegevens!AC61))</f>
        <v>14023.84</v>
      </c>
      <c r="K47" s="143">
        <f>IF(Leerlinggegevens!D79=0,0,IF(Leerlinggegevens!K79=0,0,IF(Leerlinggegevens!D79="SO",VLOOKUP(Leerlinggegevens!E79,PvE_SO,35,FALSE),VLOOKUP(Leerlinggegevens!E79,PvE_VSO,35,FALSE))+IF(Leerlinggegevens!D79="SO",VLOOKUP(Leerlinggegevens!E79,PvE_SO,36,FALSE),VLOOKUP(Leerlinggegevens!E79,PvE_VSO,36,FALSE))*Leerlinggegevens!AC79))</f>
        <v>14023.84</v>
      </c>
      <c r="L47" s="59"/>
      <c r="M47" s="25"/>
    </row>
    <row r="48" spans="2:13" ht="12.75">
      <c r="B48" s="21"/>
      <c r="C48" s="118"/>
      <c r="D48" s="57" t="s">
        <v>117</v>
      </c>
      <c r="E48" s="57"/>
      <c r="F48" s="56"/>
      <c r="G48" s="57"/>
      <c r="H48" s="142">
        <f>IF(Leerlinggegevens!D25=0,0,IF(Leerlinggegevens!K25=0,0,+tabellen!AN4+IF(Leerlinggegevens!D25="SO",VLOOKUP(Leerlinggegevens!E25,PvE_SO,37,FALSE),VLOOKUP(Leerlinggegevens!E25,PvE_VSO,37,FALSE))+IF(Leerlinggegevens!D25="SO",VLOOKUP(Leerlinggegevens!E25,PvE_SO,38,FALSE),VLOOKUP(Leerlinggegevens!E25,PvE_VSO,38,FALSE))*Leerlinggegevens!AC25))</f>
        <v>4824.47</v>
      </c>
      <c r="I48" s="142">
        <f>IF(Leerlinggegevens!D43=0,0,IF(Leerlinggegevens!K43=0,0,+tabellen!AN4+IF(Leerlinggegevens!D43="SO",VLOOKUP(Leerlinggegevens!E43,PvE_SO,37,FALSE),VLOOKUP(Leerlinggegevens!E43,PvE_VSO,37,FALSE))+IF(Leerlinggegevens!D43="SO",VLOOKUP(Leerlinggegevens!E43,PvE_SO,38,FALSE),VLOOKUP(Leerlinggegevens!E43,PvE_VSO,38,FALSE))*Leerlinggegevens!AC43))</f>
        <v>4824.47</v>
      </c>
      <c r="J48" s="142">
        <f>IF(Leerlinggegevens!D61=0,0,IF(Leerlinggegevens!K61=0,0,+tabellen!AN4+IF(Leerlinggegevens!D61="SO",VLOOKUP(Leerlinggegevens!E61,PvE_SO,37,FALSE),VLOOKUP(Leerlinggegevens!E61,PvE_VSO,37,FALSE))+IF(Leerlinggegevens!D61="SO",VLOOKUP(Leerlinggegevens!E61,PvE_SO,38,FALSE),VLOOKUP(Leerlinggegevens!E61,PvE_VSO,38,FALSE))*Leerlinggegevens!AC61))</f>
        <v>4824.47</v>
      </c>
      <c r="K48" s="142">
        <f>IF(Leerlinggegevens!D79=0,0,IF(Leerlinggegevens!K79=0,0,+tabellen!AN4+IF(Leerlinggegevens!D79="SO",VLOOKUP(Leerlinggegevens!E79,PvE_SO,37,FALSE),VLOOKUP(Leerlinggegevens!E79,PvE_VSO,37,FALSE))+IF(Leerlinggegevens!D79="SO",VLOOKUP(Leerlinggegevens!E79,PvE_SO,38,FALSE),VLOOKUP(Leerlinggegevens!E79,PvE_VSO,38,FALSE))*Leerlinggegevens!AC79))</f>
        <v>4824.47</v>
      </c>
      <c r="L48" s="59"/>
      <c r="M48" s="25"/>
    </row>
    <row r="49" spans="2:13" s="107" customFormat="1" ht="12.75">
      <c r="B49" s="90"/>
      <c r="C49" s="130"/>
      <c r="D49" s="92" t="s">
        <v>37</v>
      </c>
      <c r="E49" s="92"/>
      <c r="F49" s="91"/>
      <c r="G49" s="92"/>
      <c r="H49" s="143">
        <f>SUM(H37:H48)-H42-H47</f>
        <v>61821.990000000005</v>
      </c>
      <c r="I49" s="143">
        <f>SUM(I37:I48)-I42-I47</f>
        <v>61821.990000000005</v>
      </c>
      <c r="J49" s="143">
        <f>SUM(J37:J48)-J42-J47</f>
        <v>61821.990000000005</v>
      </c>
      <c r="K49" s="143">
        <f>SUM(K37:K48)-K42-K47</f>
        <v>61821.990000000005</v>
      </c>
      <c r="L49" s="93"/>
      <c r="M49" s="94"/>
    </row>
    <row r="50" spans="2:13" ht="12.75">
      <c r="B50" s="21"/>
      <c r="C50" s="118"/>
      <c r="D50" s="57"/>
      <c r="E50" s="57"/>
      <c r="F50" s="56"/>
      <c r="G50" s="57"/>
      <c r="H50" s="119"/>
      <c r="I50" s="119"/>
      <c r="J50" s="119"/>
      <c r="K50" s="119"/>
      <c r="L50" s="59"/>
      <c r="M50" s="25"/>
    </row>
    <row r="51" spans="2:13" ht="12.75">
      <c r="B51" s="21"/>
      <c r="C51" s="118"/>
      <c r="D51" s="92" t="s">
        <v>43</v>
      </c>
      <c r="E51" s="61"/>
      <c r="F51" s="56"/>
      <c r="G51" s="57"/>
      <c r="H51" s="120"/>
      <c r="I51" s="120"/>
      <c r="J51" s="120"/>
      <c r="K51" s="120"/>
      <c r="L51" s="59"/>
      <c r="M51" s="25"/>
    </row>
    <row r="52" spans="2:13" ht="12.75">
      <c r="B52" s="21"/>
      <c r="C52" s="118"/>
      <c r="D52" s="57" t="s">
        <v>38</v>
      </c>
      <c r="E52" s="57"/>
      <c r="F52" s="56"/>
      <c r="G52" s="57"/>
      <c r="H52" s="142">
        <f>IF(Leerlinggegevens!D25=0,0,IF(Leerlinggegevens!K25=0,0,+IF(Leerlinggegevens!D25="SO",VLOOKUP(Leerlinggegevens!E25,PvE_SO,39,FALSE),VLOOKUP(Leerlinggegevens!E25,PvE_VSO,39,FALSE))+IF(Leerlinggegevens!D25="SO",VLOOKUP(Leerlinggegevens!E25,PvE_SO,40,FALSE),VLOOKUP(Leerlinggegevens!E25,PvE_VSO,40,FALSE))*Leerlinggegevens!AC25))</f>
        <v>8273.92</v>
      </c>
      <c r="I52" s="142">
        <f>IF(Leerlinggegevens!D43=0,0,IF(Leerlinggegevens!K43=0,0,+IF(Leerlinggegevens!D43="SO",VLOOKUP(Leerlinggegevens!E43,PvE_SO,39,FALSE),VLOOKUP(Leerlinggegevens!E43,PvE_VSO,39,FALSE))+IF(Leerlinggegevens!D43="SO",VLOOKUP(Leerlinggegevens!E43,PvE_SO,40,FALSE),VLOOKUP(Leerlinggegevens!E43,PvE_VSO,40,FALSE))*Leerlinggegevens!AC43))</f>
        <v>8273.92</v>
      </c>
      <c r="J52" s="142">
        <f>IF(Leerlinggegevens!D61=0,0,IF(Leerlinggegevens!K61=0,0,+IF(Leerlinggegevens!D61="SO",VLOOKUP(Leerlinggegevens!E61,PvE_SO,39,FALSE),VLOOKUP(Leerlinggegevens!E61,PvE_VSO,39,FALSE))+IF(Leerlinggegevens!D61="SO",VLOOKUP(Leerlinggegevens!E61,PvE_SO,40,FALSE),VLOOKUP(Leerlinggegevens!E61,PvE_VSO,40,FALSE))*Leerlinggegevens!AC61))</f>
        <v>8273.92</v>
      </c>
      <c r="K52" s="142">
        <f>IF(Leerlinggegevens!D79=0,0,IF(Leerlinggegevens!K79=0,0,+IF(Leerlinggegevens!D79="SO",VLOOKUP(Leerlinggegevens!E79,PvE_SO,39,FALSE),VLOOKUP(Leerlinggegevens!E79,PvE_VSO,39,FALSE))+IF(Leerlinggegevens!D79="SO",VLOOKUP(Leerlinggegevens!E79,PvE_SO,40,FALSE),VLOOKUP(Leerlinggegevens!E79,PvE_VSO,40,FALSE))*Leerlinggegevens!AC79))</f>
        <v>8273.92</v>
      </c>
      <c r="L52" s="59"/>
      <c r="M52" s="25"/>
    </row>
    <row r="53" spans="2:13" ht="12.75">
      <c r="B53" s="21"/>
      <c r="C53" s="118"/>
      <c r="D53" s="57" t="s">
        <v>39</v>
      </c>
      <c r="E53" s="57"/>
      <c r="F53" s="56"/>
      <c r="G53" s="57"/>
      <c r="H53" s="142">
        <f>IF(Leerlinggegevens!D25=0,0,IF(Leerlinggegevens!K25=0,0,+IF(Leerlinggegevens!D25="SO",VLOOKUP(Leerlinggegevens!E25,PvE_SO,41,FALSE),VLOOKUP(Leerlinggegevens!E25,PvE_VSO,41,FALSE))+IF(Leerlinggegevens!D25="SO",VLOOKUP(Leerlinggegevens!E25,PvE_SO,42,FALSE),VLOOKUP(Leerlinggegevens!E25,PvE_VSO,42,FALSE))*Leerlinggegevens!AC25))</f>
        <v>1567</v>
      </c>
      <c r="I53" s="142">
        <f>IF(Leerlinggegevens!D43=0,0,IF(Leerlinggegevens!K43=0,0,+IF(Leerlinggegevens!D43="SO",VLOOKUP(Leerlinggegevens!E43,PvE_SO,41,FALSE),VLOOKUP(Leerlinggegevens!E43,PvE_VSO,41,FALSE))+IF(Leerlinggegevens!D43="SO",VLOOKUP(Leerlinggegevens!E43,PvE_SO,42,FALSE),VLOOKUP(Leerlinggegevens!E43,PvE_VSO,42,FALSE))*Leerlinggegevens!AC43))</f>
        <v>1567</v>
      </c>
      <c r="J53" s="142">
        <f>IF(Leerlinggegevens!D61=0,0,IF(Leerlinggegevens!K61=0,0,+IF(Leerlinggegevens!D61="SO",VLOOKUP(Leerlinggegevens!E61,PvE_SO,41,FALSE),VLOOKUP(Leerlinggegevens!E61,PvE_VSO,41,FALSE))+IF(Leerlinggegevens!D61="SO",VLOOKUP(Leerlinggegevens!E61,PvE_SO,42,FALSE),VLOOKUP(Leerlinggegevens!E61,PvE_VSO,42,FALSE))*Leerlinggegevens!AC61))</f>
        <v>1567</v>
      </c>
      <c r="K53" s="142">
        <f>IF(Leerlinggegevens!D79=0,0,IF(Leerlinggegevens!K79=0,0,+IF(Leerlinggegevens!D79="SO",VLOOKUP(Leerlinggegevens!E79,PvE_SO,41,FALSE),VLOOKUP(Leerlinggegevens!E79,PvE_VSO,41,FALSE))+IF(Leerlinggegevens!D79="SO",VLOOKUP(Leerlinggegevens!E79,PvE_SO,42,FALSE),VLOOKUP(Leerlinggegevens!E79,PvE_VSO,42,FALSE))*Leerlinggegevens!AC79))</f>
        <v>1567</v>
      </c>
      <c r="L53" s="59"/>
      <c r="M53" s="25"/>
    </row>
    <row r="54" spans="2:13" ht="12.75">
      <c r="B54" s="21"/>
      <c r="C54" s="118"/>
      <c r="D54" s="57" t="s">
        <v>40</v>
      </c>
      <c r="E54" s="57"/>
      <c r="F54" s="56"/>
      <c r="G54" s="57"/>
      <c r="H54" s="142">
        <f>IF(Leerlinggegevens!D25=0,0,IF(Leerlinggegevens!K25=0,0,+IF(Leerlinggegevens!D25="SO",VLOOKUP(Leerlinggegevens!E25,PvE_SO,43,FALSE),VLOOKUP(Leerlinggegevens!E25,PvE_VSO,43,FALSE))+IF(Leerlinggegevens!D25="SO",VLOOKUP(Leerlinggegevens!E25,PvE_SO,44,FALSE),VLOOKUP(Leerlinggegevens!E25,PvE_VSO,44,FALSE))*Leerlinggegevens!AC25))</f>
        <v>4275.59</v>
      </c>
      <c r="I54" s="142">
        <f>IF(Leerlinggegevens!D43=0,0,IF(Leerlinggegevens!K43=0,0,+IF(Leerlinggegevens!D43="SO",VLOOKUP(Leerlinggegevens!E43,PvE_SO,43,FALSE),VLOOKUP(Leerlinggegevens!E43,PvE_VSO,43,FALSE))+IF(Leerlinggegevens!D43="SO",VLOOKUP(Leerlinggegevens!E43,PvE_SO,44,FALSE),VLOOKUP(Leerlinggegevens!E43,PvE_VSO,44,FALSE))*Leerlinggegevens!AC43))</f>
        <v>4275.59</v>
      </c>
      <c r="J54" s="142">
        <f>IF(Leerlinggegevens!D61=0,0,IF(Leerlinggegevens!K61=0,0,+IF(Leerlinggegevens!D61="SO",VLOOKUP(Leerlinggegevens!E61,PvE_SO,43,FALSE),VLOOKUP(Leerlinggegevens!E61,PvE_VSO,43,FALSE))+IF(Leerlinggegevens!D61="SO",VLOOKUP(Leerlinggegevens!E61,PvE_SO,44,FALSE),VLOOKUP(Leerlinggegevens!E61,PvE_VSO,44,FALSE))*Leerlinggegevens!AC61))</f>
        <v>4275.59</v>
      </c>
      <c r="K54" s="142">
        <f>IF(Leerlinggegevens!D79=0,0,IF(Leerlinggegevens!K79=0,0,+IF(Leerlinggegevens!D79="SO",VLOOKUP(Leerlinggegevens!E79,PvE_SO,43,FALSE),VLOOKUP(Leerlinggegevens!E79,PvE_VSO,43,FALSE))+IF(Leerlinggegevens!D79="SO",VLOOKUP(Leerlinggegevens!E79,PvE_SO,44,FALSE),VLOOKUP(Leerlinggegevens!E79,PvE_VSO,44,FALSE))*Leerlinggegevens!AC79))</f>
        <v>4275.59</v>
      </c>
      <c r="L54" s="59"/>
      <c r="M54" s="25"/>
    </row>
    <row r="55" spans="2:13" s="107" customFormat="1" ht="12.75">
      <c r="B55" s="90"/>
      <c r="C55" s="130"/>
      <c r="D55" s="92" t="s">
        <v>37</v>
      </c>
      <c r="E55" s="92"/>
      <c r="F55" s="91"/>
      <c r="G55" s="92"/>
      <c r="H55" s="143">
        <f>SUM(H52:H54)</f>
        <v>14116.51</v>
      </c>
      <c r="I55" s="143">
        <f>SUM(I52:I54)</f>
        <v>14116.51</v>
      </c>
      <c r="J55" s="143">
        <f>SUM(J52:J54)</f>
        <v>14116.51</v>
      </c>
      <c r="K55" s="143">
        <f>SUM(K52:K54)</f>
        <v>14116.51</v>
      </c>
      <c r="L55" s="93"/>
      <c r="M55" s="94"/>
    </row>
    <row r="56" spans="2:13" ht="12.75">
      <c r="B56" s="21"/>
      <c r="C56" s="118"/>
      <c r="D56" s="61"/>
      <c r="E56" s="61"/>
      <c r="F56" s="56"/>
      <c r="G56" s="57"/>
      <c r="H56" s="152">
        <f>H49+H55</f>
        <v>75938.5</v>
      </c>
      <c r="I56" s="152">
        <f>I49+I55</f>
        <v>75938.5</v>
      </c>
      <c r="J56" s="152">
        <f>J49+J55</f>
        <v>75938.5</v>
      </c>
      <c r="K56" s="152">
        <f>K49+K55</f>
        <v>75938.5</v>
      </c>
      <c r="L56" s="59"/>
      <c r="M56" s="25"/>
    </row>
    <row r="57" spans="2:13" ht="12.75">
      <c r="B57" s="21"/>
      <c r="C57" s="118"/>
      <c r="D57" s="61" t="s">
        <v>87</v>
      </c>
      <c r="E57" s="61"/>
      <c r="F57" s="56"/>
      <c r="G57" s="57"/>
      <c r="H57" s="144">
        <f>IF(Leerlinggegevens!D25=0,0,IF(Leerlinggegevens!K25=0,0,VLOOKUP(Leerlinggegevens!E25,leerlingafhPvE,2,FALSE)+IF(Leerlinggegevens!D25="SO",VLOOKUP(Leerlinggegevens!E25,leerlingafhPvE,3,FALSE),VLOOKUP(Leerlinggegevens!E25,leerlingafhPvE,5,FALSE))+IF(Leerlinggegevens!D25="SO",VLOOKUP(Leerlinggegevens!E25,leerlingafhPvE,4,FALSE),VLOOKUP(Leerlinggegevens!E25,leerlingafhPvE,6,FALSE))*Leerlinggegevens!AC25))</f>
        <v>75938.5</v>
      </c>
      <c r="I57" s="144">
        <f>IF(Leerlinggegevens!D43=0,0,IF(Leerlinggegevens!K43=0,0,VLOOKUP(Leerlinggegevens!E43,leerlingafhPvE,2,FALSE)+IF(Leerlinggegevens!D43="SO",VLOOKUP(Leerlinggegevens!E43,leerlingafhPvE,3,FALSE),VLOOKUP(Leerlinggegevens!E43,leerlingafhPvE,5,FALSE))+IF(Leerlinggegevens!D43="SO",VLOOKUP(Leerlinggegevens!E43,leerlingafhPvE,4,FALSE),VLOOKUP(Leerlinggegevens!E43,leerlingafhPvE,6,FALSE))*Leerlinggegevens!AC43))</f>
        <v>75938.5</v>
      </c>
      <c r="J57" s="144">
        <f>IF(Leerlinggegevens!D61=0,0,IF(Leerlinggegevens!K61=0,0,VLOOKUP(Leerlinggegevens!E61,leerlingafhPvE,2,FALSE)+IF(Leerlinggegevens!D61="SO",VLOOKUP(Leerlinggegevens!E61,leerlingafhPvE,3,FALSE),VLOOKUP(Leerlinggegevens!E61,leerlingafhPvE,5,FALSE))+IF(Leerlinggegevens!D61="SO",VLOOKUP(Leerlinggegevens!E61,leerlingafhPvE,4,FALSE),VLOOKUP(Leerlinggegevens!E61,leerlingafhPvE,6,FALSE))*Leerlinggegevens!AC61))</f>
        <v>75938.5</v>
      </c>
      <c r="K57" s="144">
        <f>IF(Leerlinggegevens!D79=0,0,IF(Leerlinggegevens!K79=0,0,VLOOKUP(Leerlinggegevens!E79,leerlingafhPvE,2,FALSE)+IF(Leerlinggegevens!D79="SO",VLOOKUP(Leerlinggegevens!E79,leerlingafhPvE,3,FALSE),VLOOKUP(Leerlinggegevens!E79,leerlingafhPvE,5,FALSE))+IF(Leerlinggegevens!D79="SO",VLOOKUP(Leerlinggegevens!E79,leerlingafhPvE,4,FALSE),VLOOKUP(Leerlinggegevens!E79,leerlingafhPvE,6,FALSE))*Leerlinggegevens!AC79))</f>
        <v>75938.5</v>
      </c>
      <c r="L57" s="59"/>
      <c r="M57" s="25"/>
    </row>
    <row r="58" spans="2:13" ht="12.75">
      <c r="B58" s="21"/>
      <c r="C58" s="118"/>
      <c r="D58" s="61"/>
      <c r="E58" s="61"/>
      <c r="F58" s="56"/>
      <c r="G58" s="57"/>
      <c r="H58" s="119"/>
      <c r="I58" s="119"/>
      <c r="J58" s="119"/>
      <c r="K58" s="119"/>
      <c r="L58" s="59"/>
      <c r="M58" s="25"/>
    </row>
    <row r="59" spans="2:13" ht="12.75">
      <c r="B59" s="21"/>
      <c r="C59" s="118"/>
      <c r="D59" s="61" t="s">
        <v>140</v>
      </c>
      <c r="E59" s="61"/>
      <c r="F59" s="56"/>
      <c r="G59" s="57"/>
      <c r="H59" s="144">
        <f>+H31+H33+H57</f>
        <v>132876.02</v>
      </c>
      <c r="I59" s="144">
        <f>+I31+I33+I57</f>
        <v>132876.02</v>
      </c>
      <c r="J59" s="144">
        <f>+J31+J33+J57</f>
        <v>132876.02</v>
      </c>
      <c r="K59" s="144">
        <f>+K31+K33+K57</f>
        <v>132876.02</v>
      </c>
      <c r="L59" s="59"/>
      <c r="M59" s="25"/>
    </row>
    <row r="60" spans="2:13" ht="12.75">
      <c r="B60" s="21"/>
      <c r="C60" s="118"/>
      <c r="D60" s="57"/>
      <c r="E60" s="57"/>
      <c r="F60" s="56"/>
      <c r="G60" s="57"/>
      <c r="H60" s="120"/>
      <c r="I60" s="120"/>
      <c r="J60" s="120"/>
      <c r="K60" s="120"/>
      <c r="L60" s="59"/>
      <c r="M60" s="25"/>
    </row>
    <row r="61" spans="2:13" ht="12.75">
      <c r="B61" s="21"/>
      <c r="C61" s="118" t="s">
        <v>123</v>
      </c>
      <c r="D61" s="61" t="s">
        <v>16</v>
      </c>
      <c r="E61" s="61"/>
      <c r="F61" s="56"/>
      <c r="G61" s="57"/>
      <c r="H61" s="119"/>
      <c r="I61" s="119"/>
      <c r="J61" s="119"/>
      <c r="K61" s="119"/>
      <c r="L61" s="59"/>
      <c r="M61" s="25"/>
    </row>
    <row r="62" spans="2:13" ht="12.75">
      <c r="B62" s="21"/>
      <c r="C62" s="121"/>
      <c r="D62" s="57" t="s">
        <v>195</v>
      </c>
      <c r="E62" s="61"/>
      <c r="F62" s="85" t="s">
        <v>102</v>
      </c>
      <c r="G62" s="67"/>
      <c r="H62" s="142">
        <f>IF($F62="ja",IF(Leerlinggegevens!D25=0,0,tabellen!$G126),0)</f>
        <v>0</v>
      </c>
      <c r="I62" s="142">
        <f>IF($F62="ja",IF(Leerlinggegevens!D43=0,0,tabellen!$G126),0)</f>
        <v>0</v>
      </c>
      <c r="J62" s="142">
        <f>IF($F62="ja",IF(Leerlinggegevens!D61=0,0,tabellen!$G126),0)</f>
        <v>0</v>
      </c>
      <c r="K62" s="142">
        <f>IF($F62="ja",IF(Leerlinggegevens!D79=0,0,tabellen!$G126),0)</f>
        <v>0</v>
      </c>
      <c r="L62" s="59"/>
      <c r="M62" s="25"/>
    </row>
    <row r="63" spans="2:13" ht="12.75">
      <c r="B63" s="21"/>
      <c r="C63" s="121"/>
      <c r="D63" s="57" t="s">
        <v>196</v>
      </c>
      <c r="E63" s="61"/>
      <c r="F63" s="85" t="s">
        <v>102</v>
      </c>
      <c r="G63" s="67"/>
      <c r="H63" s="142">
        <f>IF($F63="ja",IF(Leerlinggegevens!D25=0,0,VLOOKUP(Leerlinggegevens!$E25,schoolbaden,4,FALSE)),0)</f>
        <v>0</v>
      </c>
      <c r="I63" s="142">
        <f>IF($F63="ja",IF(Leerlinggegevens!D43=0,0,VLOOKUP(Leerlinggegevens!$E43,schoolbaden,4,FALSE)),0)</f>
        <v>0</v>
      </c>
      <c r="J63" s="142">
        <f>IF($F63="ja",IF(Leerlinggegevens!D61=0,0,VLOOKUP(Leerlinggegevens!$E61,schoolbaden,4,FALSE)),0)</f>
        <v>0</v>
      </c>
      <c r="K63" s="142">
        <f>IF($F63="ja",IF(Leerlinggegevens!D79=0,0,VLOOKUP(Leerlinggegevens!$E79,schoolbaden,4,FALSE)),0)</f>
        <v>0</v>
      </c>
      <c r="L63" s="59"/>
      <c r="M63" s="25"/>
    </row>
    <row r="64" spans="2:13" ht="12.75">
      <c r="B64" s="21"/>
      <c r="C64" s="121"/>
      <c r="D64" s="57" t="s">
        <v>203</v>
      </c>
      <c r="E64" s="61"/>
      <c r="F64" s="85">
        <v>0</v>
      </c>
      <c r="G64" s="67"/>
      <c r="H64" s="142">
        <f>IF($F64&lt;1,0,IF(Leerlinggegevens!D25=0,0,VLOOKUP(Leerlinggegevens!$E25,schoolbaden,5,FALSE))*$F$64)</f>
        <v>0</v>
      </c>
      <c r="I64" s="142">
        <f>IF($F64&lt;1,0,IF(Leerlinggegevens!D43=0,0,VLOOKUP(Leerlinggegevens!$E43,schoolbaden,5,FALSE))*$F$64)</f>
        <v>0</v>
      </c>
      <c r="J64" s="142">
        <f>IF($F64&lt;1,0,IF(Leerlinggegevens!D61=0,0,VLOOKUP(Leerlinggegevens!$E61,schoolbaden,5,FALSE))*$F$64)</f>
        <v>0</v>
      </c>
      <c r="K64" s="142">
        <f>IF($F64&lt;1,0,IF(Leerlinggegevens!D79=0,0,VLOOKUP(Leerlinggegevens!$E79,schoolbaden,5,FALSE))*$F$64)</f>
        <v>0</v>
      </c>
      <c r="L64" s="59"/>
      <c r="M64" s="25"/>
    </row>
    <row r="65" spans="2:13" ht="12.75">
      <c r="B65" s="21"/>
      <c r="C65" s="121"/>
      <c r="D65" s="57" t="s">
        <v>204</v>
      </c>
      <c r="E65" s="61"/>
      <c r="F65" s="85" t="s">
        <v>102</v>
      </c>
      <c r="G65" s="67"/>
      <c r="H65" s="142">
        <f>IF($F65="ja",tabellen!$G$125+(tabellen!$H$125*$F$64),0)</f>
        <v>0</v>
      </c>
      <c r="I65" s="142">
        <f>IF($F65="ja",tabellen!$G$125+(tabellen!$H$125*$F$64),0)</f>
        <v>0</v>
      </c>
      <c r="J65" s="142">
        <f>IF($F65="ja",tabellen!$G$125+(tabellen!$H$125*$F$64),0)</f>
        <v>0</v>
      </c>
      <c r="K65" s="142">
        <f>IF($F65="ja",tabellen!$G$125+(tabellen!$H$125*$F$64),0)</f>
        <v>0</v>
      </c>
      <c r="L65" s="59"/>
      <c r="M65" s="25"/>
    </row>
    <row r="66" spans="2:13" ht="12.75">
      <c r="B66" s="21"/>
      <c r="C66" s="118"/>
      <c r="D66" s="133" t="s">
        <v>37</v>
      </c>
      <c r="E66" s="92"/>
      <c r="F66" s="92"/>
      <c r="G66" s="92"/>
      <c r="H66" s="150">
        <f>SUM(H62:H65)</f>
        <v>0</v>
      </c>
      <c r="I66" s="150">
        <f>SUM(I62:I65)</f>
        <v>0</v>
      </c>
      <c r="J66" s="150">
        <f>SUM(J62:J65)</f>
        <v>0</v>
      </c>
      <c r="K66" s="150">
        <f>SUM(K62:K65)</f>
        <v>0</v>
      </c>
      <c r="L66" s="59"/>
      <c r="M66" s="25"/>
    </row>
    <row r="67" spans="2:13" ht="12.75">
      <c r="B67" s="21"/>
      <c r="C67" s="118"/>
      <c r="D67" s="61"/>
      <c r="E67" s="61"/>
      <c r="F67" s="56"/>
      <c r="G67" s="57"/>
      <c r="H67" s="120"/>
      <c r="I67" s="120"/>
      <c r="J67" s="120"/>
      <c r="K67" s="120"/>
      <c r="L67" s="59"/>
      <c r="M67" s="25"/>
    </row>
    <row r="68" spans="2:13" ht="12.75">
      <c r="B68" s="21"/>
      <c r="C68" s="118" t="s">
        <v>124</v>
      </c>
      <c r="D68" s="61" t="s">
        <v>71</v>
      </c>
      <c r="E68" s="61"/>
      <c r="F68" s="56"/>
      <c r="G68" s="57"/>
      <c r="H68" s="120"/>
      <c r="I68" s="120"/>
      <c r="J68" s="120"/>
      <c r="K68" s="120"/>
      <c r="L68" s="59"/>
      <c r="M68" s="25"/>
    </row>
    <row r="69" spans="2:13" ht="12.75">
      <c r="B69" s="21"/>
      <c r="C69" s="121"/>
      <c r="D69" s="57" t="s">
        <v>197</v>
      </c>
      <c r="E69" s="61"/>
      <c r="F69" s="151">
        <f>+tabellen!G130</f>
        <v>1003.72</v>
      </c>
      <c r="G69" s="132"/>
      <c r="H69" s="120"/>
      <c r="I69" s="120"/>
      <c r="J69" s="120"/>
      <c r="K69" s="120"/>
      <c r="L69" s="59"/>
      <c r="M69" s="25"/>
    </row>
    <row r="70" spans="2:13" ht="12.75">
      <c r="B70" s="21"/>
      <c r="C70" s="121"/>
      <c r="D70" s="57" t="s">
        <v>125</v>
      </c>
      <c r="E70" s="61"/>
      <c r="F70" s="85">
        <v>0</v>
      </c>
      <c r="G70" s="67"/>
      <c r="H70" s="142">
        <f>+F70*$F69</f>
        <v>0</v>
      </c>
      <c r="I70" s="142">
        <f>+H70</f>
        <v>0</v>
      </c>
      <c r="J70" s="142">
        <f>+I70</f>
        <v>0</v>
      </c>
      <c r="K70" s="142">
        <f>+J70</f>
        <v>0</v>
      </c>
      <c r="L70" s="59"/>
      <c r="M70" s="25"/>
    </row>
    <row r="71" spans="2:13" ht="12.75">
      <c r="B71" s="21"/>
      <c r="C71" s="118"/>
      <c r="D71" s="57" t="s">
        <v>198</v>
      </c>
      <c r="E71" s="61"/>
      <c r="F71" s="56"/>
      <c r="G71" s="57"/>
      <c r="H71" s="120"/>
      <c r="I71" s="120"/>
      <c r="J71" s="120"/>
      <c r="K71" s="120"/>
      <c r="L71" s="59"/>
      <c r="M71" s="25"/>
    </row>
    <row r="72" spans="2:13" ht="12.75">
      <c r="B72" s="21"/>
      <c r="C72" s="118"/>
      <c r="D72" s="57" t="s">
        <v>199</v>
      </c>
      <c r="E72" s="61"/>
      <c r="F72" s="85">
        <v>0</v>
      </c>
      <c r="G72" s="67"/>
      <c r="H72" s="142">
        <f>+$F72*tabellen!$G135</f>
        <v>0</v>
      </c>
      <c r="I72" s="142">
        <f>+H72</f>
        <v>0</v>
      </c>
      <c r="J72" s="142">
        <f>+I72</f>
        <v>0</v>
      </c>
      <c r="K72" s="142">
        <f>+J72</f>
        <v>0</v>
      </c>
      <c r="L72" s="59"/>
      <c r="M72" s="25"/>
    </row>
    <row r="73" spans="2:13" s="107" customFormat="1" ht="12.75">
      <c r="B73" s="90"/>
      <c r="C73" s="130"/>
      <c r="D73" s="57"/>
      <c r="E73" s="57"/>
      <c r="F73" s="57"/>
      <c r="G73" s="57"/>
      <c r="H73" s="57"/>
      <c r="I73" s="57"/>
      <c r="J73" s="57"/>
      <c r="K73" s="57"/>
      <c r="L73" s="93"/>
      <c r="M73" s="94"/>
    </row>
    <row r="74" spans="2:13" ht="12.75">
      <c r="B74" s="21"/>
      <c r="C74" s="118" t="s">
        <v>141</v>
      </c>
      <c r="D74" s="61" t="s">
        <v>166</v>
      </c>
      <c r="E74" s="61"/>
      <c r="F74" s="56"/>
      <c r="G74" s="57"/>
      <c r="H74" s="149">
        <v>0</v>
      </c>
      <c r="I74" s="149">
        <v>0</v>
      </c>
      <c r="J74" s="149">
        <v>0</v>
      </c>
      <c r="K74" s="149">
        <v>0</v>
      </c>
      <c r="L74" s="59"/>
      <c r="M74" s="25"/>
    </row>
    <row r="75" spans="2:13" ht="12.75">
      <c r="B75" s="21"/>
      <c r="C75" s="118"/>
      <c r="D75" s="57" t="s">
        <v>167</v>
      </c>
      <c r="E75" s="61"/>
      <c r="F75" s="56"/>
      <c r="G75" s="57"/>
      <c r="H75" s="149">
        <v>0</v>
      </c>
      <c r="I75" s="149">
        <v>0</v>
      </c>
      <c r="J75" s="149">
        <v>0</v>
      </c>
      <c r="K75" s="149">
        <v>0</v>
      </c>
      <c r="L75" s="59"/>
      <c r="M75" s="25"/>
    </row>
    <row r="76" spans="2:13" s="107" customFormat="1" ht="12.75">
      <c r="B76" s="90"/>
      <c r="C76" s="130"/>
      <c r="D76" s="133" t="s">
        <v>37</v>
      </c>
      <c r="E76" s="92"/>
      <c r="F76" s="92"/>
      <c r="G76" s="92"/>
      <c r="H76" s="150">
        <f>SUM(H74:H75)</f>
        <v>0</v>
      </c>
      <c r="I76" s="150">
        <f>SUM(I74:I75)</f>
        <v>0</v>
      </c>
      <c r="J76" s="150">
        <f>SUM(J74:J75)</f>
        <v>0</v>
      </c>
      <c r="K76" s="150">
        <f>SUM(K74:K75)</f>
        <v>0</v>
      </c>
      <c r="L76" s="93"/>
      <c r="M76" s="94"/>
    </row>
    <row r="77" spans="2:13" ht="12.75">
      <c r="B77" s="21"/>
      <c r="C77" s="118"/>
      <c r="D77" s="57"/>
      <c r="E77" s="57"/>
      <c r="F77" s="56"/>
      <c r="G77" s="57"/>
      <c r="H77" s="120"/>
      <c r="I77" s="120"/>
      <c r="J77" s="120"/>
      <c r="K77" s="120"/>
      <c r="L77" s="59"/>
      <c r="M77" s="25"/>
    </row>
    <row r="78" spans="2:13" ht="12.75">
      <c r="B78" s="21"/>
      <c r="C78" s="118" t="s">
        <v>142</v>
      </c>
      <c r="D78" s="61" t="s">
        <v>149</v>
      </c>
      <c r="E78" s="61"/>
      <c r="F78" s="56"/>
      <c r="G78" s="57"/>
      <c r="H78" s="119"/>
      <c r="I78" s="119"/>
      <c r="J78" s="119"/>
      <c r="K78" s="119"/>
      <c r="L78" s="59"/>
      <c r="M78" s="25"/>
    </row>
    <row r="79" spans="2:13" ht="12.75">
      <c r="B79" s="21"/>
      <c r="C79" s="118"/>
      <c r="D79" s="57" t="s">
        <v>145</v>
      </c>
      <c r="E79" s="61"/>
      <c r="F79" s="85">
        <v>0</v>
      </c>
      <c r="G79" s="67"/>
      <c r="H79" s="142">
        <f>IF(Leerlinggegevens!K25=0,0,F79*VLOOKUP(I14,TAB,2,FALSE))</f>
        <v>0</v>
      </c>
      <c r="I79" s="142">
        <f>IF(Leerlinggegevens!$K$43=0,0,+H79)</f>
        <v>0</v>
      </c>
      <c r="J79" s="142">
        <f>IF(Leerlinggegevens!$K$61=0,0,+I79)</f>
        <v>0</v>
      </c>
      <c r="K79" s="142">
        <f>IF(Leerlinggegevens!$K$79=0,0,+J79)</f>
        <v>0</v>
      </c>
      <c r="L79" s="59"/>
      <c r="M79" s="25"/>
    </row>
    <row r="80" spans="2:13" ht="12.75">
      <c r="B80" s="21"/>
      <c r="C80" s="118"/>
      <c r="D80" s="57" t="s">
        <v>146</v>
      </c>
      <c r="E80" s="61"/>
      <c r="F80" s="85">
        <v>0</v>
      </c>
      <c r="G80" s="67"/>
      <c r="H80" s="142">
        <f>IF(Leerlinggegevens!K25=0,0,F80*VLOOKUP(I14,TAB,3,FALSE))</f>
        <v>0</v>
      </c>
      <c r="I80" s="142">
        <f>IF(Leerlinggegevens!$K$43=0,0,+H80)</f>
        <v>0</v>
      </c>
      <c r="J80" s="142">
        <f>IF(Leerlinggegevens!$K$61=0,0,+I80)</f>
        <v>0</v>
      </c>
      <c r="K80" s="142">
        <f>IF(Leerlinggegevens!$K$79=0,0,+J80)</f>
        <v>0</v>
      </c>
      <c r="L80" s="59"/>
      <c r="M80" s="25"/>
    </row>
    <row r="81" spans="2:13" s="107" customFormat="1" ht="12.75">
      <c r="B81" s="90"/>
      <c r="C81" s="130"/>
      <c r="D81" s="92" t="s">
        <v>37</v>
      </c>
      <c r="E81" s="92"/>
      <c r="F81" s="91"/>
      <c r="G81" s="92"/>
      <c r="H81" s="150">
        <f>SUM(H79:H80)</f>
        <v>0</v>
      </c>
      <c r="I81" s="150">
        <f>SUM(I79:I80)</f>
        <v>0</v>
      </c>
      <c r="J81" s="150">
        <f>SUM(J79:J80)</f>
        <v>0</v>
      </c>
      <c r="K81" s="150">
        <f>SUM(K79:K80)</f>
        <v>0</v>
      </c>
      <c r="L81" s="93"/>
      <c r="M81" s="94"/>
    </row>
    <row r="82" spans="2:13" ht="12.75">
      <c r="B82" s="21"/>
      <c r="C82" s="118"/>
      <c r="D82" s="57"/>
      <c r="E82" s="57"/>
      <c r="F82" s="56"/>
      <c r="G82" s="57"/>
      <c r="H82" s="120"/>
      <c r="I82" s="120"/>
      <c r="J82" s="120"/>
      <c r="K82" s="120"/>
      <c r="L82" s="59"/>
      <c r="M82" s="25"/>
    </row>
    <row r="83" spans="2:13" ht="12.75">
      <c r="B83" s="21"/>
      <c r="C83" s="118"/>
      <c r="D83" s="61" t="s">
        <v>150</v>
      </c>
      <c r="E83" s="61"/>
      <c r="F83" s="56"/>
      <c r="G83" s="57"/>
      <c r="H83" s="120"/>
      <c r="I83" s="120"/>
      <c r="J83" s="120"/>
      <c r="K83" s="120"/>
      <c r="L83" s="59"/>
      <c r="M83" s="25"/>
    </row>
    <row r="84" spans="2:13" ht="12.75">
      <c r="B84" s="21"/>
      <c r="C84" s="118"/>
      <c r="D84" s="57" t="s">
        <v>145</v>
      </c>
      <c r="E84" s="61"/>
      <c r="F84" s="85">
        <v>0</v>
      </c>
      <c r="G84" s="67"/>
      <c r="H84" s="142">
        <f>IF(Leerlinggegevens!K25=0,0,F84*(VLOOKUP(I14,_LGF1,2,FALSE)*7/12+VLOOKUP(I14,_LGF2,2,FALSE)*5/12))</f>
        <v>0</v>
      </c>
      <c r="I84" s="142">
        <f>IF(Leerlinggegevens!$K$43=0,0,+H84)</f>
        <v>0</v>
      </c>
      <c r="J84" s="142">
        <f>IF(Leerlinggegevens!$K$61=0,0,+I84)</f>
        <v>0</v>
      </c>
      <c r="K84" s="142">
        <f>IF(Leerlinggegevens!$K$79=0,0,+J84)</f>
        <v>0</v>
      </c>
      <c r="L84" s="59"/>
      <c r="M84" s="25"/>
    </row>
    <row r="85" spans="2:13" ht="12.75">
      <c r="B85" s="21"/>
      <c r="C85" s="118"/>
      <c r="D85" s="57" t="s">
        <v>251</v>
      </c>
      <c r="E85" s="61"/>
      <c r="F85" s="85">
        <v>0</v>
      </c>
      <c r="G85" s="67"/>
      <c r="H85" s="142">
        <f>IF(Leerlinggegevens!K$25=0,0,F85*(VLOOKUP(I14,_LGF1,3,FALSE)*7/12+VLOOKUP(I14,_LGF2,3,FALSE)*5/12))</f>
        <v>0</v>
      </c>
      <c r="I85" s="142">
        <f>IF(Leerlinggegevens!$K$43=0,0,+H85)</f>
        <v>0</v>
      </c>
      <c r="J85" s="142">
        <f>IF(Leerlinggegevens!$K$61=0,0,+I85)</f>
        <v>0</v>
      </c>
      <c r="K85" s="142">
        <f>IF(Leerlinggegevens!$K$79=0,0,+J85)</f>
        <v>0</v>
      </c>
      <c r="L85" s="59"/>
      <c r="M85" s="25"/>
    </row>
    <row r="86" spans="2:13" ht="12.75">
      <c r="B86" s="21"/>
      <c r="C86" s="118"/>
      <c r="D86" s="57" t="s">
        <v>252</v>
      </c>
      <c r="E86" s="61"/>
      <c r="F86" s="85">
        <v>0</v>
      </c>
      <c r="G86" s="67"/>
      <c r="H86" s="142">
        <f>IF(Leerlinggegevens!K$25=0,0,F86*VLOOKUP(I14,_LGF3,2,FALSE))</f>
        <v>0</v>
      </c>
      <c r="I86" s="142">
        <f>IF(Leerlinggegevens!$K$43=0,0,+H86)</f>
        <v>0</v>
      </c>
      <c r="J86" s="142">
        <f>IF(Leerlinggegevens!$K$61=0,0,+I86)</f>
        <v>0</v>
      </c>
      <c r="K86" s="142">
        <f>IF(Leerlinggegevens!$K$79=0,0,+J86)</f>
        <v>0</v>
      </c>
      <c r="L86" s="59"/>
      <c r="M86" s="25"/>
    </row>
    <row r="87" spans="2:13" ht="12.75">
      <c r="B87" s="21"/>
      <c r="C87" s="118"/>
      <c r="D87" s="57" t="s">
        <v>253</v>
      </c>
      <c r="E87" s="61"/>
      <c r="F87" s="85">
        <v>0</v>
      </c>
      <c r="G87" s="67"/>
      <c r="H87" s="142">
        <f>IF(Leerlinggegevens!K$25=0,0,F87*VLOOKUP(I14,_LGF3,3,FALSE))</f>
        <v>0</v>
      </c>
      <c r="I87" s="142">
        <f>IF(Leerlinggegevens!$K$43=0,0,+H87)</f>
        <v>0</v>
      </c>
      <c r="J87" s="142">
        <f>IF(Leerlinggegevens!$K$61=0,0,+I87)</f>
        <v>0</v>
      </c>
      <c r="K87" s="142">
        <f>IF(Leerlinggegevens!$K$79=0,0,+J87)</f>
        <v>0</v>
      </c>
      <c r="L87" s="59"/>
      <c r="M87" s="25"/>
    </row>
    <row r="88" spans="2:13" s="107" customFormat="1" ht="12.75">
      <c r="B88" s="90"/>
      <c r="C88" s="130"/>
      <c r="D88" s="92" t="s">
        <v>37</v>
      </c>
      <c r="E88" s="92"/>
      <c r="F88" s="91"/>
      <c r="G88" s="92"/>
      <c r="H88" s="150">
        <f>SUM(H84:H87)</f>
        <v>0</v>
      </c>
      <c r="I88" s="150">
        <f>SUM(I84:I87)</f>
        <v>0</v>
      </c>
      <c r="J88" s="150">
        <f>SUM(J84:J87)</f>
        <v>0</v>
      </c>
      <c r="K88" s="150">
        <f>SUM(K84:K87)</f>
        <v>0</v>
      </c>
      <c r="L88" s="93"/>
      <c r="M88" s="94"/>
    </row>
    <row r="89" spans="2:13" ht="12.75">
      <c r="B89" s="21"/>
      <c r="C89" s="118"/>
      <c r="D89" s="57"/>
      <c r="E89" s="57"/>
      <c r="F89" s="56"/>
      <c r="G89" s="57"/>
      <c r="H89" s="120"/>
      <c r="I89" s="120"/>
      <c r="J89" s="120"/>
      <c r="K89" s="120"/>
      <c r="L89" s="59"/>
      <c r="M89" s="25"/>
    </row>
    <row r="90" spans="2:13" ht="12.75">
      <c r="B90" s="21"/>
      <c r="C90" s="118"/>
      <c r="D90" s="57"/>
      <c r="E90" s="57"/>
      <c r="F90" s="56"/>
      <c r="G90" s="57"/>
      <c r="H90" s="120"/>
      <c r="I90" s="120"/>
      <c r="J90" s="120"/>
      <c r="K90" s="120"/>
      <c r="L90" s="59"/>
      <c r="M90" s="25"/>
    </row>
    <row r="91" spans="2:13" ht="12.75">
      <c r="B91" s="21"/>
      <c r="C91" s="118"/>
      <c r="D91" s="61" t="s">
        <v>23</v>
      </c>
      <c r="E91" s="61"/>
      <c r="F91" s="56"/>
      <c r="G91" s="57"/>
      <c r="H91" s="144">
        <f>+H59+H66+H70+H72+H76+H81+H88</f>
        <v>132876.02</v>
      </c>
      <c r="I91" s="144">
        <f>+I59+I66+I70+I72+I76+I81+I88</f>
        <v>132876.02</v>
      </c>
      <c r="J91" s="144">
        <f>+J59+J66+J70+J72+J76+J81+J88</f>
        <v>132876.02</v>
      </c>
      <c r="K91" s="144">
        <f>+K59+K66+K70+K72+K76+K81+K88</f>
        <v>132876.02</v>
      </c>
      <c r="L91" s="59"/>
      <c r="M91" s="25"/>
    </row>
    <row r="92" spans="2:13" ht="12.75">
      <c r="B92" s="21"/>
      <c r="C92" s="123"/>
      <c r="D92" s="75"/>
      <c r="E92" s="75"/>
      <c r="F92" s="74"/>
      <c r="G92" s="75"/>
      <c r="H92" s="124"/>
      <c r="I92" s="124"/>
      <c r="J92" s="124"/>
      <c r="K92" s="124"/>
      <c r="L92" s="76"/>
      <c r="M92" s="25"/>
    </row>
    <row r="93" spans="2:13" ht="12.75">
      <c r="B93" s="21"/>
      <c r="C93" s="39"/>
      <c r="D93" s="22"/>
      <c r="E93" s="22"/>
      <c r="F93" s="24"/>
      <c r="G93" s="22"/>
      <c r="H93" s="111"/>
      <c r="I93" s="111"/>
      <c r="J93" s="111"/>
      <c r="K93" s="111"/>
      <c r="L93" s="22"/>
      <c r="M93" s="25"/>
    </row>
    <row r="94" spans="2:13" ht="12.75">
      <c r="B94" s="21"/>
      <c r="C94" s="39"/>
      <c r="D94" s="22"/>
      <c r="E94" s="22"/>
      <c r="F94" s="24"/>
      <c r="G94" s="22"/>
      <c r="H94" s="111"/>
      <c r="I94" s="111"/>
      <c r="J94" s="111"/>
      <c r="K94" s="111"/>
      <c r="L94" s="22"/>
      <c r="M94" s="25"/>
    </row>
    <row r="95" spans="2:13" ht="12.75">
      <c r="B95" s="96"/>
      <c r="C95" s="127"/>
      <c r="D95" s="97"/>
      <c r="E95" s="97"/>
      <c r="F95" s="100"/>
      <c r="G95" s="97"/>
      <c r="H95" s="128"/>
      <c r="I95" s="128"/>
      <c r="J95" s="128"/>
      <c r="K95" s="128"/>
      <c r="L95" s="237" t="s">
        <v>230</v>
      </c>
      <c r="M95" s="101"/>
    </row>
    <row r="96" spans="4:5" ht="12.75">
      <c r="D96" s="89"/>
      <c r="E96" s="89"/>
    </row>
    <row r="97" spans="4:5" ht="12.75">
      <c r="D97" s="2"/>
      <c r="E97" s="2"/>
    </row>
    <row r="98" spans="4:5" ht="12.75">
      <c r="D98" s="2"/>
      <c r="E98" s="2"/>
    </row>
    <row r="99" spans="4:5" ht="12.75">
      <c r="D99" s="2"/>
      <c r="E99" s="2"/>
    </row>
    <row r="100" spans="4:5" ht="12.75">
      <c r="D100" s="2"/>
      <c r="E100" s="2"/>
    </row>
    <row r="101" spans="4:5" ht="12.75">
      <c r="D101" s="10"/>
      <c r="E101" s="10"/>
    </row>
  </sheetData>
  <sheetProtection password="DFB1" sheet="1" objects="1" scenarios="1"/>
  <dataValidations count="2">
    <dataValidation type="list" allowBlank="1" showInputMessage="1" showErrorMessage="1" sqref="G62:G65 G33">
      <formula1>$Z$7:$Z$9</formula1>
    </dataValidation>
    <dataValidation type="list" allowBlank="1" showInputMessage="1" showErrorMessage="1" sqref="F62:F63 F65 F33">
      <formula1>"ja,nee"</formula1>
    </dataValidation>
  </dataValidations>
  <printOptions gridLines="1"/>
  <pageMargins left="0.75" right="0.75" top="1" bottom="1" header="0.5" footer="0.5"/>
  <pageSetup horizontalDpi="600" verticalDpi="600" orientation="portrait" paperSize="9" scale="59" r:id="rId2"/>
  <headerFooter alignWithMargins="0">
    <oddHeader>&amp;L&amp;"Arial,Vet"&amp;F&amp;R&amp;"Arial,Vet"&amp;A</oddHeader>
    <oddFooter>&amp;L&amp;"Arial,Vet"&amp;9goedhart / keizer&amp;C&amp;"Arial,Vet"&amp;9&amp;D&amp;R&amp;"Arial,Vet"&amp;9pagina &amp;P</oddFooter>
  </headerFooter>
  <drawing r:id="rId1"/>
</worksheet>
</file>

<file path=xl/worksheets/sheet4.xml><?xml version="1.0" encoding="utf-8"?>
<worksheet xmlns="http://schemas.openxmlformats.org/spreadsheetml/2006/main" xmlns:r="http://schemas.openxmlformats.org/officeDocument/2006/relationships">
  <dimension ref="B2:M95"/>
  <sheetViews>
    <sheetView zoomScale="85" zoomScaleNormal="85" zoomScalePageLayoutView="0" workbookViewId="0" topLeftCell="A1">
      <selection activeCell="B2" sqref="B2"/>
    </sheetView>
  </sheetViews>
  <sheetFormatPr defaultColWidth="9.140625" defaultRowHeight="12.75"/>
  <cols>
    <col min="1" max="1" width="3.7109375" style="102" customWidth="1"/>
    <col min="2" max="2" width="2.7109375" style="102" customWidth="1"/>
    <col min="3" max="3" width="2.7109375" style="104" customWidth="1"/>
    <col min="4" max="4" width="45.7109375" style="102" customWidth="1"/>
    <col min="5" max="5" width="2.7109375" style="102" customWidth="1"/>
    <col min="6" max="6" width="10.7109375" style="104" customWidth="1"/>
    <col min="7" max="7" width="2.7109375" style="102" customWidth="1"/>
    <col min="8" max="8" width="14.8515625" style="105" customWidth="1"/>
    <col min="9" max="11" width="16.7109375" style="105" customWidth="1"/>
    <col min="12" max="13" width="2.7109375" style="102" customWidth="1"/>
    <col min="14" max="16384" width="9.140625" style="102" customWidth="1"/>
  </cols>
  <sheetData>
    <row r="2" spans="2:13" ht="12.75">
      <c r="B2" s="16"/>
      <c r="C2" s="19"/>
      <c r="D2" s="17"/>
      <c r="E2" s="17"/>
      <c r="F2" s="19"/>
      <c r="G2" s="17"/>
      <c r="H2" s="110"/>
      <c r="I2" s="110"/>
      <c r="J2" s="110"/>
      <c r="K2" s="110"/>
      <c r="L2" s="17"/>
      <c r="M2" s="20"/>
    </row>
    <row r="3" spans="2:13" ht="12.75">
      <c r="B3" s="21"/>
      <c r="C3" s="24"/>
      <c r="D3" s="22"/>
      <c r="E3" s="22"/>
      <c r="F3" s="24"/>
      <c r="G3" s="22"/>
      <c r="H3" s="111"/>
      <c r="I3" s="111"/>
      <c r="J3" s="111"/>
      <c r="K3" s="111"/>
      <c r="L3" s="22"/>
      <c r="M3" s="25"/>
    </row>
    <row r="4" spans="2:13" s="106" customFormat="1" ht="18.75">
      <c r="B4" s="26"/>
      <c r="C4" s="112" t="s">
        <v>194</v>
      </c>
      <c r="D4" s="30"/>
      <c r="E4" s="30"/>
      <c r="F4" s="29"/>
      <c r="G4" s="30"/>
      <c r="H4" s="113"/>
      <c r="I4" s="113"/>
      <c r="J4" s="113"/>
      <c r="K4" s="113"/>
      <c r="L4" s="30"/>
      <c r="M4" s="31"/>
    </row>
    <row r="5" spans="2:13" s="106" customFormat="1" ht="18.75">
      <c r="B5" s="26"/>
      <c r="C5" s="114" t="str">
        <f>Leerlinggegevens!C5</f>
        <v>De Specialeschool</v>
      </c>
      <c r="D5" s="30"/>
      <c r="E5" s="30"/>
      <c r="F5" s="29"/>
      <c r="G5" s="30"/>
      <c r="H5" s="113"/>
      <c r="I5" s="113"/>
      <c r="J5" s="113"/>
      <c r="K5" s="113"/>
      <c r="L5" s="30"/>
      <c r="M5" s="31"/>
    </row>
    <row r="6" spans="2:13" ht="12.75">
      <c r="B6" s="21"/>
      <c r="C6" s="24"/>
      <c r="D6" s="22"/>
      <c r="E6" s="22"/>
      <c r="F6" s="24"/>
      <c r="G6" s="22"/>
      <c r="H6" s="111"/>
      <c r="I6" s="111"/>
      <c r="J6" s="111"/>
      <c r="K6" s="111"/>
      <c r="L6" s="22"/>
      <c r="M6" s="25"/>
    </row>
    <row r="7" spans="2:13" ht="12.75">
      <c r="B7" s="21"/>
      <c r="C7" s="82"/>
      <c r="D7" s="80"/>
      <c r="E7" s="80"/>
      <c r="F7" s="82"/>
      <c r="G7" s="80"/>
      <c r="H7" s="135"/>
      <c r="I7" s="135"/>
      <c r="J7" s="135"/>
      <c r="K7" s="135"/>
      <c r="L7" s="80"/>
      <c r="M7" s="25"/>
    </row>
    <row r="8" spans="2:13" ht="12.75">
      <c r="B8" s="21"/>
      <c r="C8" s="82"/>
      <c r="D8" s="136"/>
      <c r="E8" s="136"/>
      <c r="F8" s="137" t="s">
        <v>200</v>
      </c>
      <c r="G8" s="80"/>
      <c r="H8" s="138">
        <f>VLOOKUP(tabellen!$B$2,schooljaren,1,FALSE)</f>
        <v>2011</v>
      </c>
      <c r="I8" s="138">
        <f>VLOOKUP(tabellen!$B$2+1,schooljaren,1,FALSE)</f>
        <v>2012</v>
      </c>
      <c r="J8" s="138">
        <f>VLOOKUP(tabellen!$B$2+2,schooljaren,1,FALSE)</f>
        <v>2013</v>
      </c>
      <c r="K8" s="138">
        <f>VLOOKUP(tabellen!$B$2+3,schooljaren,1,FALSE)</f>
        <v>2014</v>
      </c>
      <c r="L8" s="80"/>
      <c r="M8" s="25"/>
    </row>
    <row r="9" spans="2:13" ht="12.75" customHeight="1">
      <c r="B9" s="21"/>
      <c r="C9" s="82"/>
      <c r="D9" s="80"/>
      <c r="E9" s="80"/>
      <c r="F9" s="139" t="s">
        <v>201</v>
      </c>
      <c r="G9" s="139"/>
      <c r="H9" s="140">
        <f>Leerlinggegevens!AD37</f>
        <v>40452</v>
      </c>
      <c r="I9" s="140">
        <f>+Leerlinggegevens!AD55</f>
        <v>40817</v>
      </c>
      <c r="J9" s="140">
        <f>+Leerlinggegevens!AD73</f>
        <v>41183</v>
      </c>
      <c r="K9" s="140">
        <f>+Leerlinggegevens!AD91</f>
        <v>41548</v>
      </c>
      <c r="L9" s="80"/>
      <c r="M9" s="25"/>
    </row>
    <row r="10" spans="2:13" ht="12.75">
      <c r="B10" s="21"/>
      <c r="C10" s="82"/>
      <c r="D10" s="80"/>
      <c r="E10" s="136"/>
      <c r="F10" s="82"/>
      <c r="G10" s="80"/>
      <c r="H10" s="135"/>
      <c r="I10" s="135"/>
      <c r="J10" s="135"/>
      <c r="K10" s="135"/>
      <c r="L10" s="80"/>
      <c r="M10" s="25"/>
    </row>
    <row r="11" spans="2:13" ht="12.75">
      <c r="B11" s="21"/>
      <c r="C11" s="125"/>
      <c r="D11" s="52"/>
      <c r="E11" s="129"/>
      <c r="F11" s="51"/>
      <c r="G11" s="52"/>
      <c r="H11" s="117"/>
      <c r="I11" s="117"/>
      <c r="J11" s="117"/>
      <c r="K11" s="117"/>
      <c r="L11" s="53"/>
      <c r="M11" s="25"/>
    </row>
    <row r="12" spans="2:13" s="108" customFormat="1" ht="12.75">
      <c r="B12" s="115"/>
      <c r="C12" s="116"/>
      <c r="D12" s="154" t="s">
        <v>210</v>
      </c>
      <c r="E12" s="129"/>
      <c r="F12" s="88"/>
      <c r="G12" s="129"/>
      <c r="H12" s="155"/>
      <c r="I12" s="155"/>
      <c r="J12" s="155"/>
      <c r="K12" s="155"/>
      <c r="L12" s="156"/>
      <c r="M12" s="40"/>
    </row>
    <row r="13" spans="2:13" ht="12.75">
      <c r="B13" s="21"/>
      <c r="C13" s="125"/>
      <c r="D13" s="52"/>
      <c r="E13" s="129"/>
      <c r="F13" s="51"/>
      <c r="G13" s="52"/>
      <c r="H13" s="117"/>
      <c r="I13" s="117"/>
      <c r="J13" s="117"/>
      <c r="K13" s="117"/>
      <c r="L13" s="53"/>
      <c r="M13" s="25"/>
    </row>
    <row r="14" spans="2:13" ht="12.75">
      <c r="B14" s="21"/>
      <c r="C14" s="121"/>
      <c r="D14" s="61" t="s">
        <v>187</v>
      </c>
      <c r="E14" s="61"/>
      <c r="F14" s="56"/>
      <c r="G14" s="57"/>
      <c r="H14" s="141" t="str">
        <f>+Leerlinggegevens!D26</f>
        <v>VSO</v>
      </c>
      <c r="I14" s="141" t="str">
        <f>+Leerlinggegevens!E26</f>
        <v>ZMLK</v>
      </c>
      <c r="J14" s="120"/>
      <c r="K14" s="120"/>
      <c r="L14" s="59"/>
      <c r="M14" s="25"/>
    </row>
    <row r="15" spans="2:13" ht="12.75">
      <c r="B15" s="21"/>
      <c r="C15" s="121"/>
      <c r="D15" s="61"/>
      <c r="E15" s="61"/>
      <c r="F15" s="56"/>
      <c r="G15" s="57"/>
      <c r="H15" s="120"/>
      <c r="I15" s="120"/>
      <c r="J15" s="120"/>
      <c r="K15" s="120"/>
      <c r="L15" s="59"/>
      <c r="M15" s="25"/>
    </row>
    <row r="16" spans="2:13" ht="12.75">
      <c r="B16" s="21"/>
      <c r="C16" s="118" t="s">
        <v>121</v>
      </c>
      <c r="D16" s="61" t="s">
        <v>41</v>
      </c>
      <c r="E16" s="61"/>
      <c r="F16" s="56"/>
      <c r="G16" s="57"/>
      <c r="H16" s="120"/>
      <c r="I16" s="120"/>
      <c r="J16" s="120"/>
      <c r="K16" s="120"/>
      <c r="L16" s="59"/>
      <c r="M16" s="25"/>
    </row>
    <row r="17" spans="2:13" ht="12.75">
      <c r="B17" s="21"/>
      <c r="C17" s="118"/>
      <c r="D17" s="92" t="s">
        <v>77</v>
      </c>
      <c r="E17" s="57"/>
      <c r="F17" s="56"/>
      <c r="G17" s="57"/>
      <c r="H17" s="119"/>
      <c r="I17" s="119"/>
      <c r="J17" s="119"/>
      <c r="K17" s="119"/>
      <c r="L17" s="59"/>
      <c r="M17" s="25"/>
    </row>
    <row r="18" spans="2:13" ht="12.75">
      <c r="B18" s="21"/>
      <c r="C18" s="121"/>
      <c r="D18" s="57" t="s">
        <v>82</v>
      </c>
      <c r="E18" s="57"/>
      <c r="F18" s="56"/>
      <c r="G18" s="57"/>
      <c r="H18" s="142">
        <f>IF(Leerlinggegevens!K26=0,0,IF(Leerlinggegevens!AF26=0,0,IF(Leerlinggegevens!D26=0,0,VLOOKUP(Leerlinggegevens!E26,PvE_SO,3,FALSE)*(IF(Leerlinggegevens!D26="SO",VLOOKUP(Leerlinggegevens!E26,oppervlak,3,FALSE),VLOOKUP(Leerlinggegevens!E26,oppervlak,5,FALSE))+IF(Leerlinggegevens!D26="SO",VLOOKUP(Leerlinggegevens!E26,oppervlak,4,FALSE),VLOOKUP(Leerlinggegevens!E26,oppervlak,6,FALSE))*IF((Leerlinggegevens!K36-Leerlinggegevens!K29)&gt;Leerlinggegevens!I14/2,Leerlinggegevens!AF33,Leerlinggegevens!AF26)))))</f>
        <v>4099.9962000000005</v>
      </c>
      <c r="I18" s="142">
        <f>IF(Leerlinggegevens!K44=0,0,IF(Leerlinggegevens!AF44=0,0,IF(Leerlinggegevens!D44=0,0,VLOOKUP(Leerlinggegevens!E44,PvE_SO,3,FALSE)*(IF(Leerlinggegevens!D44="SO",VLOOKUP(Leerlinggegevens!E44,oppervlak,3,FALSE),VLOOKUP(Leerlinggegevens!E44,oppervlak,5,FALSE))+IF(Leerlinggegevens!D44="SO",VLOOKUP(Leerlinggegevens!E44,oppervlak,4,FALSE),VLOOKUP(Leerlinggegevens!E44,oppervlak,6,FALSE))*IF((Leerlinggegevens!K54-Leerlinggegevens!K47)&gt;Leerlinggegevens!I14/2,Leerlinggegevens!AF51,Leerlinggegevens!AF44)))))</f>
        <v>4099.9962000000005</v>
      </c>
      <c r="J18" s="142">
        <f>IF(Leerlinggegevens!K62=0,0,IF(Leerlinggegevens!AF26=0,0,IF(Leerlinggegevens!D62=0,0,VLOOKUP(Leerlinggegevens!E62,PvE_SO,3,FALSE)*(IF(Leerlinggegevens!D62="SO",VLOOKUP(Leerlinggegevens!E62,oppervlak,3,FALSE),VLOOKUP(Leerlinggegevens!E62,oppervlak,5,FALSE))+IF(Leerlinggegevens!D62="SO",VLOOKUP(Leerlinggegevens!E62,oppervlak,4,FALSE),VLOOKUP(Leerlinggegevens!E62,oppervlak,6,FALSE))*IF((Leerlinggegevens!K72-Leerlinggegevens!K65)&gt;Leerlinggegevens!I14/2,Leerlinggegevens!AF69,Leerlinggegevens!AF62)))))</f>
        <v>4099.9962000000005</v>
      </c>
      <c r="K18" s="142">
        <f>IF(Leerlinggegevens!K79=0,0,IF(Leerlinggegevens!AF26=0,0,IF(Leerlinggegevens!D80=0,0,VLOOKUP(Leerlinggegevens!E80,PvE_SO,3,FALSE)*(IF(Leerlinggegevens!D80="SO",VLOOKUP(Leerlinggegevens!E80,oppervlak,3,FALSE),VLOOKUP(Leerlinggegevens!E80,oppervlak,5,FALSE))+IF(Leerlinggegevens!D80="SO",VLOOKUP(Leerlinggegevens!E80,oppervlak,4,FALSE),VLOOKUP(Leerlinggegevens!E80,oppervlak,6,FALSE))*IF((Leerlinggegevens!K90-Leerlinggegevens!K83)&gt;Leerlinggegevens!I14/2,Leerlinggegevens!AF87,Leerlinggegevens!AF80)))))</f>
        <v>4099.9962000000005</v>
      </c>
      <c r="L18" s="59"/>
      <c r="M18" s="25"/>
    </row>
    <row r="19" spans="2:13" ht="12.75">
      <c r="B19" s="21"/>
      <c r="C19" s="121"/>
      <c r="D19" s="57" t="s">
        <v>83</v>
      </c>
      <c r="E19" s="57"/>
      <c r="F19" s="56"/>
      <c r="G19" s="57"/>
      <c r="H19" s="142">
        <v>0</v>
      </c>
      <c r="I19" s="142">
        <v>0</v>
      </c>
      <c r="J19" s="142">
        <v>0</v>
      </c>
      <c r="K19" s="142">
        <v>0</v>
      </c>
      <c r="L19" s="59"/>
      <c r="M19" s="25"/>
    </row>
    <row r="20" spans="2:13" ht="12.75">
      <c r="B20" s="21"/>
      <c r="C20" s="121"/>
      <c r="D20" s="57" t="s">
        <v>84</v>
      </c>
      <c r="E20" s="57"/>
      <c r="F20" s="56"/>
      <c r="G20" s="57"/>
      <c r="H20" s="142">
        <f>IF(Leerlinggegevens!K26=0,0,IF(Leerlinggegevens!AF26=0,0,IF(Leerlinggegevens!D26=0,0,VLOOKUP(Leerlinggegevens!E26,PvE_SO,6,FALSE)*(IF(Leerlinggegevens!D26="SO",VLOOKUP(Leerlinggegevens!E26,oppervlak,3,FALSE),VLOOKUP(Leerlinggegevens!E26,oppervlak,5,FALSE))+IF(Leerlinggegevens!D26="SO",VLOOKUP(Leerlinggegevens!E26,oppervlak,4,FALSE),VLOOKUP(Leerlinggegevens!E26,oppervlak,6,FALSE))*IF((Leerlinggegevens!K36-Leerlinggegevens!K29)&gt;Leerlinggegevens!I14/2,Leerlinggegevens!AF33,Leerlinggegevens!AF26)))))</f>
        <v>6746.4292</v>
      </c>
      <c r="I20" s="142">
        <f>IF(Leerlinggegevens!K44=0,0,IF(Leerlinggegevens!AF44=0,0,IF(Leerlinggegevens!D44=0,0,VLOOKUP(Leerlinggegevens!E44,PvE_SO,6,FALSE)*(IF(Leerlinggegevens!D44="SO",VLOOKUP(Leerlinggegevens!E44,oppervlak,3,FALSE),VLOOKUP(Leerlinggegevens!E44,oppervlak,5,FALSE))+IF(Leerlinggegevens!D44="SO",VLOOKUP(Leerlinggegevens!E44,oppervlak,4,FALSE),VLOOKUP(Leerlinggegevens!E44,oppervlak,6,FALSE))*IF((Leerlinggegevens!K54-Leerlinggegevens!K47)&gt;Leerlinggegevens!I14/2,Leerlinggegevens!AF51,Leerlinggegevens!AF44)))))</f>
        <v>6746.4292</v>
      </c>
      <c r="J20" s="142">
        <f>IF(Leerlinggegevens!K62=0,0,IF(Leerlinggegevens!AF26=0,0,IF(Leerlinggegevens!D62=0,0,VLOOKUP(Leerlinggegevens!E62,PvE_SO,6,FALSE)*(IF(Leerlinggegevens!D62="SO",VLOOKUP(Leerlinggegevens!E62,oppervlak,3,FALSE),VLOOKUP(Leerlinggegevens!E62,oppervlak,5,FALSE))+IF(Leerlinggegevens!D62="SO",VLOOKUP(Leerlinggegevens!E62,oppervlak,4,FALSE),VLOOKUP(Leerlinggegevens!E62,oppervlak,6,FALSE))*IF((Leerlinggegevens!K72-Leerlinggegevens!K65)&gt;Leerlinggegevens!I14/2,Leerlinggegevens!AF69,Leerlinggegevens!AF62)))))</f>
        <v>6746.4292</v>
      </c>
      <c r="K20" s="142">
        <f>IF(Leerlinggegevens!K79=0,0,IF(Leerlinggegevens!AF26=0,0,IF(Leerlinggegevens!D80=0,0,VLOOKUP(Leerlinggegevens!E80,PvE_SO,6,FALSE)*(IF(Leerlinggegevens!D80="SO",VLOOKUP(Leerlinggegevens!E80,oppervlak,3,FALSE),VLOOKUP(Leerlinggegevens!E80,oppervlak,5,FALSE))+IF(Leerlinggegevens!D80="SO",VLOOKUP(Leerlinggegevens!E80,oppervlak,4,FALSE),VLOOKUP(Leerlinggegevens!E80,oppervlak,6,FALSE))*IF((Leerlinggegevens!K90-Leerlinggegevens!K83)&gt;Leerlinggegevens!I14/2,Leerlinggegevens!AF87,Leerlinggegevens!AF80)))))</f>
        <v>6746.4292</v>
      </c>
      <c r="L20" s="59"/>
      <c r="M20" s="25"/>
    </row>
    <row r="21" spans="2:13" s="107" customFormat="1" ht="12.75">
      <c r="B21" s="90"/>
      <c r="C21" s="130"/>
      <c r="D21" s="92" t="s">
        <v>37</v>
      </c>
      <c r="E21" s="92"/>
      <c r="F21" s="91"/>
      <c r="G21" s="92"/>
      <c r="H21" s="143">
        <f>SUM(H18:H20)</f>
        <v>10846.4254</v>
      </c>
      <c r="I21" s="143">
        <f>SUM(I18:I20)</f>
        <v>10846.4254</v>
      </c>
      <c r="J21" s="143">
        <f>SUM(J18:J20)</f>
        <v>10846.4254</v>
      </c>
      <c r="K21" s="143">
        <f>SUM(K18:K20)</f>
        <v>10846.4254</v>
      </c>
      <c r="L21" s="93"/>
      <c r="M21" s="94"/>
    </row>
    <row r="22" spans="2:13" ht="12.75">
      <c r="B22" s="21"/>
      <c r="C22" s="121"/>
      <c r="D22" s="61"/>
      <c r="E22" s="61"/>
      <c r="F22" s="56"/>
      <c r="G22" s="57"/>
      <c r="H22" s="119"/>
      <c r="I22" s="119"/>
      <c r="J22" s="119"/>
      <c r="K22" s="119"/>
      <c r="L22" s="59"/>
      <c r="M22" s="25"/>
    </row>
    <row r="23" spans="2:13" ht="12.75">
      <c r="B23" s="21"/>
      <c r="C23" s="121"/>
      <c r="D23" s="92" t="s">
        <v>78</v>
      </c>
      <c r="E23" s="57"/>
      <c r="F23" s="56"/>
      <c r="G23" s="57"/>
      <c r="H23" s="119"/>
      <c r="I23" s="119"/>
      <c r="J23" s="119"/>
      <c r="K23" s="119"/>
      <c r="L23" s="59"/>
      <c r="M23" s="25"/>
    </row>
    <row r="24" spans="2:13" ht="12.75">
      <c r="B24" s="21"/>
      <c r="C24" s="121"/>
      <c r="D24" s="57" t="s">
        <v>79</v>
      </c>
      <c r="E24" s="57"/>
      <c r="F24" s="56"/>
      <c r="G24" s="57"/>
      <c r="H24" s="142">
        <f>IF(Leerlinggegevens!K26=0,0,IF(Leerlinggegevens!AF26=0,0,IF(Leerlinggegevens!D26=0,0,VLOOKUP(Leerlinggegevens!E26,PvE_SO,8,FALSE)*(IF(Leerlinggegevens!D26="SO",VLOOKUP(Leerlinggegevens!E26,oppervlak,3,FALSE),VLOOKUP(Leerlinggegevens!E26,oppervlak,5,FALSE))+IF(Leerlinggegevens!D26="SO",VLOOKUP(Leerlinggegevens!E26,oppervlak,4,FALSE),VLOOKUP(Leerlinggegevens!E26,oppervlak,6,FALSE))*IF((Leerlinggegevens!K36-Leerlinggegevens!K29)&gt;Leerlinggegevens!I14/2,Leerlinggegevens!AF33,Leerlinggegevens!AF26)))))</f>
        <v>845.2786000000001</v>
      </c>
      <c r="I24" s="142">
        <f>IF(Leerlinggegevens!K44=0,0,IF(Leerlinggegevens!AF44=0,0,IF(Leerlinggegevens!D44=0,0,VLOOKUP(Leerlinggegevens!E44,PvE_SO,8,FALSE)*(IF(Leerlinggegevens!D44="SO",VLOOKUP(Leerlinggegevens!E44,oppervlak,3,FALSE),VLOOKUP(Leerlinggegevens!E44,oppervlak,5,FALSE))+IF(Leerlinggegevens!D44="SO",VLOOKUP(Leerlinggegevens!E44,oppervlak,4,FALSE),VLOOKUP(Leerlinggegevens!E44,oppervlak,6,FALSE))*IF((Leerlinggegevens!K54-Leerlinggegevens!K47)&gt;Leerlinggegevens!I14/2,Leerlinggegevens!AF51,Leerlinggegevens!AF44)))))</f>
        <v>845.2786000000001</v>
      </c>
      <c r="J24" s="142">
        <f>IF(Leerlinggegevens!K62=0,0,IF(Leerlinggegevens!AF26=0,0,IF(Leerlinggegevens!D62=0,0,VLOOKUP(Leerlinggegevens!E62,PvE_SO,8,FALSE)*(IF(Leerlinggegevens!D62="SO",VLOOKUP(Leerlinggegevens!E62,oppervlak,3,FALSE),VLOOKUP(Leerlinggegevens!E62,oppervlak,5,FALSE))+IF(Leerlinggegevens!D62="SO",VLOOKUP(Leerlinggegevens!E62,oppervlak,4,FALSE),VLOOKUP(Leerlinggegevens!E62,oppervlak,6,FALSE))*IF((Leerlinggegevens!K72-Leerlinggegevens!K65)&gt;Leerlinggegevens!I14/2,Leerlinggegevens!AF69,Leerlinggegevens!AF62)))))</f>
        <v>845.2786000000001</v>
      </c>
      <c r="K24" s="142">
        <f>IF(Leerlinggegevens!K79=0,0,IF(Leerlinggegevens!AF26=0,0,IF(Leerlinggegevens!D80=0,0,VLOOKUP(Leerlinggegevens!E80,PvE_SO,8,FALSE)*(IF(Leerlinggegevens!D80="SO",VLOOKUP(Leerlinggegevens!E80,oppervlak,3,FALSE),VLOOKUP(Leerlinggegevens!E80,oppervlak,5,FALSE))+IF(Leerlinggegevens!D80="SO",VLOOKUP(Leerlinggegevens!E80,oppervlak,4,FALSE),VLOOKUP(Leerlinggegevens!E80,oppervlak,6,FALSE))*IF((Leerlinggegevens!K90-Leerlinggegevens!K83)&gt;Leerlinggegevens!I14/2,Leerlinggegevens!AF87,Leerlinggegevens!AF80)))))</f>
        <v>845.2786000000001</v>
      </c>
      <c r="L24" s="59"/>
      <c r="M24" s="25"/>
    </row>
    <row r="25" spans="2:13" ht="12.75">
      <c r="B25" s="21"/>
      <c r="C25" s="121"/>
      <c r="D25" s="57" t="s">
        <v>33</v>
      </c>
      <c r="E25" s="57"/>
      <c r="F25" s="56"/>
      <c r="G25" s="57"/>
      <c r="H25" s="142">
        <f>IF(Leerlinggegevens!K26=0,0,IF(Leerlinggegevens!AF26=0,0,IF(Leerlinggegevens!D26=0,0,VLOOKUP(Leerlinggegevens!E26,PvE_SO,10,FALSE)*(IF(Leerlinggegevens!D26="SO",VLOOKUP(Leerlinggegevens!E26,oppervlak,3,FALSE),VLOOKUP(Leerlinggegevens!E26,oppervlak,5,FALSE))+IF(Leerlinggegevens!D26="SO",VLOOKUP(Leerlinggegevens!E26,oppervlak,4,FALSE),VLOOKUP(Leerlinggegevens!E26,oppervlak,6,FALSE))*IF((Leerlinggegevens!K36-Leerlinggegevens!K29)&gt;Leerlinggegevens!I14/2,Leerlinggegevens!AF33,Leerlinggegevens!AF26)))))</f>
        <v>2244.33318</v>
      </c>
      <c r="I25" s="142">
        <f>IF(Leerlinggegevens!K44=0,0,IF(Leerlinggegevens!AF44=0,0,IF(Leerlinggegevens!D44=0,0,VLOOKUP(Leerlinggegevens!E44,PvE_SO,10,FALSE)*(IF(Leerlinggegevens!D44="SO",VLOOKUP(Leerlinggegevens!E44,oppervlak,3,FALSE),VLOOKUP(Leerlinggegevens!E44,oppervlak,5,FALSE))+IF(Leerlinggegevens!D44="SO",VLOOKUP(Leerlinggegevens!E44,oppervlak,4,FALSE),VLOOKUP(Leerlinggegevens!E44,oppervlak,6,FALSE))*IF((Leerlinggegevens!K54-Leerlinggegevens!K47)&gt;Leerlinggegevens!I14/2,Leerlinggegevens!AF51,Leerlinggegevens!AF44)))))</f>
        <v>2244.33318</v>
      </c>
      <c r="J25" s="142">
        <f>IF(Leerlinggegevens!K62=0,0,IF(Leerlinggegevens!AF26=0,0,IF(Leerlinggegevens!D62=0,0,VLOOKUP(Leerlinggegevens!E62,PvE_SO,10,FALSE)*(IF(Leerlinggegevens!D62="SO",VLOOKUP(Leerlinggegevens!E62,oppervlak,3,FALSE),VLOOKUP(Leerlinggegevens!E62,oppervlak,5,FALSE))+IF(Leerlinggegevens!D62="SO",VLOOKUP(Leerlinggegevens!E62,oppervlak,4,FALSE),VLOOKUP(Leerlinggegevens!E62,oppervlak,6,FALSE))*IF((Leerlinggegevens!K72-Leerlinggegevens!K65)&gt;Leerlinggegevens!I14/2,Leerlinggegevens!AF69,Leerlinggegevens!AF62)))))</f>
        <v>2244.33318</v>
      </c>
      <c r="K25" s="142">
        <f>IF(Leerlinggegevens!K79=0,0,IF(Leerlinggegevens!AF26=0,0,IF(Leerlinggegevens!D80=0,0,VLOOKUP(Leerlinggegevens!E80,PvE_SO,10,FALSE)*(IF(Leerlinggegevens!D80="SO",VLOOKUP(Leerlinggegevens!E80,oppervlak,3,FALSE),VLOOKUP(Leerlinggegevens!E80,oppervlak,5,FALSE))+IF(Leerlinggegevens!D80="SO",VLOOKUP(Leerlinggegevens!E80,oppervlak,4,FALSE),VLOOKUP(Leerlinggegevens!E80,oppervlak,6,FALSE))*IF((Leerlinggegevens!K90-Leerlinggegevens!K83)&gt;Leerlinggegevens!I14/2,Leerlinggegevens!AF87,Leerlinggegevens!AF80)))))</f>
        <v>2244.33318</v>
      </c>
      <c r="L25" s="59"/>
      <c r="M25" s="25"/>
    </row>
    <row r="26" spans="2:13" ht="12.75">
      <c r="B26" s="21"/>
      <c r="C26" s="121"/>
      <c r="D26" s="57" t="s">
        <v>85</v>
      </c>
      <c r="E26" s="57"/>
      <c r="F26" s="56"/>
      <c r="G26" s="57"/>
      <c r="H26" s="142">
        <f>IF(Leerlinggegevens!K26=0,0,IF(Leerlinggegevens!AF26=0,0,IF(Leerlinggegevens!D26=0,0,VLOOKUP(Leerlinggegevens!E26,PvE_SO,12,FALSE)*(IF(Leerlinggegevens!D26="SO",VLOOKUP(Leerlinggegevens!E26,oppervlak,3,FALSE),VLOOKUP(Leerlinggegevens!E26,oppervlak,5,FALSE))+IF(Leerlinggegevens!D26="SO",VLOOKUP(Leerlinggegevens!E26,oppervlak,4,FALSE),VLOOKUP(Leerlinggegevens!E26,oppervlak,6,FALSE))*IF((Leerlinggegevens!K36-Leerlinggegevens!K29)&gt;Leerlinggegevens!I14/2,Leerlinggegevens!AF33,Leerlinggegevens!AF26)))))</f>
        <v>397.75493000000006</v>
      </c>
      <c r="I26" s="142">
        <f>IF(Leerlinggegevens!K44=0,0,IF(Leerlinggegevens!AF44=0,0,IF(Leerlinggegevens!D44=0,0,VLOOKUP(Leerlinggegevens!E44,PvE_SO,12,FALSE)*(IF(Leerlinggegevens!D44="SO",VLOOKUP(Leerlinggegevens!E44,oppervlak,3,FALSE),VLOOKUP(Leerlinggegevens!E44,oppervlak,5,FALSE))+IF(Leerlinggegevens!D44="SO",VLOOKUP(Leerlinggegevens!E44,oppervlak,4,FALSE),VLOOKUP(Leerlinggegevens!E44,oppervlak,6,FALSE))*IF((Leerlinggegevens!K54-Leerlinggegevens!K47)&gt;Leerlinggegevens!I14/2,Leerlinggegevens!AF51,Leerlinggegevens!AF44)))))</f>
        <v>397.75493000000006</v>
      </c>
      <c r="J26" s="142">
        <f>IF(Leerlinggegevens!K62=0,0,IF(Leerlinggegevens!AF26=0,0,IF(Leerlinggegevens!D62=0,0,VLOOKUP(Leerlinggegevens!E62,PvE_SO,12,FALSE)*(IF(Leerlinggegevens!D62="SO",VLOOKUP(Leerlinggegevens!E62,oppervlak,3,FALSE),VLOOKUP(Leerlinggegevens!E62,oppervlak,5,FALSE))+IF(Leerlinggegevens!D62="SO",VLOOKUP(Leerlinggegevens!E62,oppervlak,4,FALSE),VLOOKUP(Leerlinggegevens!E62,oppervlak,6,FALSE))*IF((Leerlinggegevens!K72-Leerlinggegevens!K65)&gt;Leerlinggegevens!I14/2,Leerlinggegevens!AF69,Leerlinggegevens!AF62)))))</f>
        <v>397.75493000000006</v>
      </c>
      <c r="K26" s="142">
        <f>IF(Leerlinggegevens!K79=0,0,IF(Leerlinggegevens!AF26=0,0,IF(Leerlinggegevens!D80=0,0,VLOOKUP(Leerlinggegevens!E80,PvE_SO,12,FALSE)*(IF(Leerlinggegevens!D80="SO",VLOOKUP(Leerlinggegevens!E80,oppervlak,3,FALSE),VLOOKUP(Leerlinggegevens!E80,oppervlak,5,FALSE))+IF(Leerlinggegevens!D80="SO",VLOOKUP(Leerlinggegevens!E80,oppervlak,4,FALSE),VLOOKUP(Leerlinggegevens!E80,oppervlak,6,FALSE))*IF((Leerlinggegevens!K90-Leerlinggegevens!K83)&gt;Leerlinggegevens!I14/2,Leerlinggegevens!AF87,Leerlinggegevens!AF80)))))</f>
        <v>397.75493000000006</v>
      </c>
      <c r="L26" s="59"/>
      <c r="M26" s="25"/>
    </row>
    <row r="27" spans="2:13" s="107" customFormat="1" ht="12.75">
      <c r="B27" s="90"/>
      <c r="C27" s="130"/>
      <c r="D27" s="92" t="s">
        <v>37</v>
      </c>
      <c r="E27" s="92"/>
      <c r="F27" s="91"/>
      <c r="G27" s="92"/>
      <c r="H27" s="143">
        <f>SUM(H24:H26)</f>
        <v>3487.3667100000002</v>
      </c>
      <c r="I27" s="143">
        <f>SUM(I24:I26)</f>
        <v>3487.3667100000002</v>
      </c>
      <c r="J27" s="143">
        <f>SUM(J24:J26)</f>
        <v>3487.3667100000002</v>
      </c>
      <c r="K27" s="143">
        <f>SUM(K24:K26)</f>
        <v>3487.3667100000002</v>
      </c>
      <c r="L27" s="93"/>
      <c r="M27" s="94"/>
    </row>
    <row r="28" spans="2:13" ht="12.75">
      <c r="B28" s="21"/>
      <c r="C28" s="121"/>
      <c r="D28" s="61"/>
      <c r="E28" s="61"/>
      <c r="F28" s="56"/>
      <c r="G28" s="57"/>
      <c r="H28" s="119"/>
      <c r="I28" s="119"/>
      <c r="J28" s="119"/>
      <c r="K28" s="119"/>
      <c r="L28" s="59"/>
      <c r="M28" s="25"/>
    </row>
    <row r="29" spans="2:13" ht="12.75">
      <c r="B29" s="21"/>
      <c r="C29" s="121"/>
      <c r="D29" s="57" t="s">
        <v>86</v>
      </c>
      <c r="E29" s="57"/>
      <c r="F29" s="56"/>
      <c r="G29" s="57"/>
      <c r="H29" s="142">
        <f>IF(Leerlinggegevens!K26=0,0,IF(Leerlinggegevens!AF26=0,0,IF(Leerlinggegevens!D26=0,0,VLOOKUP(Leerlinggegevens!E26,PvE_SO,14,FALSE)*(IF(Leerlinggegevens!D26="SO",VLOOKUP(Leerlinggegevens!E26,oppervlak,3,FALSE),VLOOKUP(Leerlinggegevens!E26,oppervlak,5,FALSE))+IF(Leerlinggegevens!D26="SO",VLOOKUP(Leerlinggegevens!E26,oppervlak,4,FALSE),VLOOKUP(Leerlinggegevens!E26,oppervlak,6,FALSE))*IF((Leerlinggegevens!K36-Leerlinggegevens!K29)&gt;Leerlinggegevens!I14/2,Leerlinggegevens!AF33,Leerlinggegevens!AF26)))))</f>
        <v>821.5792</v>
      </c>
      <c r="I29" s="142">
        <f>IF(Leerlinggegevens!K44=0,0,IF(Leerlinggegevens!AF44=0,0,IF(Leerlinggegevens!D44=0,0,VLOOKUP(Leerlinggegevens!E44,PvE_SO,14,FALSE)*(IF(Leerlinggegevens!D44="SO",VLOOKUP(Leerlinggegevens!E44,oppervlak,3,FALSE),VLOOKUP(Leerlinggegevens!E44,oppervlak,5,FALSE))+IF(Leerlinggegevens!D44="SO",VLOOKUP(Leerlinggegevens!E44,oppervlak,4,FALSE),VLOOKUP(Leerlinggegevens!E44,oppervlak,6,FALSE))*IF((Leerlinggegevens!K54-Leerlinggegevens!K47)&gt;Leerlinggegevens!I14/2,Leerlinggegevens!AF51,Leerlinggegevens!AF44)))))</f>
        <v>821.5792</v>
      </c>
      <c r="J29" s="142">
        <f>IF(Leerlinggegevens!K62=0,0,IF(Leerlinggegevens!AF26=0,0,IF(Leerlinggegevens!D62=0,0,VLOOKUP(Leerlinggegevens!E62,PvE_SO,14,FALSE)*(IF(Leerlinggegevens!D62="SO",VLOOKUP(Leerlinggegevens!E62,oppervlak,3,FALSE),VLOOKUP(Leerlinggegevens!E62,oppervlak,5,FALSE))+IF(Leerlinggegevens!D62="SO",VLOOKUP(Leerlinggegevens!E62,oppervlak,4,FALSE),VLOOKUP(Leerlinggegevens!E62,oppervlak,6,FALSE))*IF((Leerlinggegevens!K72-Leerlinggegevens!K65)&gt;Leerlinggegevens!I14/2,Leerlinggegevens!AF69,Leerlinggegevens!AF62)))))</f>
        <v>821.5792</v>
      </c>
      <c r="K29" s="142">
        <f>IF(Leerlinggegevens!K79=0,0,IF(Leerlinggegevens!AF26=0,0,IF(Leerlinggegevens!D80=0,0,VLOOKUP(Leerlinggegevens!E80,PvE_SO,14,FALSE)*(IF(Leerlinggegevens!D80="SO",VLOOKUP(Leerlinggegevens!E80,oppervlak,3,FALSE),VLOOKUP(Leerlinggegevens!E80,oppervlak,5,FALSE))+IF(Leerlinggegevens!D80="SO",VLOOKUP(Leerlinggegevens!E80,oppervlak,4,FALSE),VLOOKUP(Leerlinggegevens!E80,oppervlak,6,FALSE))*IF((Leerlinggegevens!K90-Leerlinggegevens!K83)&gt;Leerlinggegevens!I14/2,Leerlinggegevens!AF87,Leerlinggegevens!AF80)))))</f>
        <v>821.5792</v>
      </c>
      <c r="L29" s="59"/>
      <c r="M29" s="25"/>
    </row>
    <row r="30" spans="2:13" ht="12.75">
      <c r="B30" s="21"/>
      <c r="C30" s="121"/>
      <c r="D30" s="57"/>
      <c r="E30" s="57"/>
      <c r="F30" s="56"/>
      <c r="G30" s="57"/>
      <c r="H30" s="153">
        <f>H21+H27+H29</f>
        <v>15155.37131</v>
      </c>
      <c r="I30" s="153">
        <f>I21+I27+I29</f>
        <v>15155.37131</v>
      </c>
      <c r="J30" s="153">
        <f>J21+J27+J29</f>
        <v>15155.37131</v>
      </c>
      <c r="K30" s="153">
        <f>K21+K27+K29</f>
        <v>15155.37131</v>
      </c>
      <c r="L30" s="59"/>
      <c r="M30" s="25"/>
    </row>
    <row r="31" spans="2:13" ht="12.75" customHeight="1">
      <c r="B31" s="21"/>
      <c r="C31" s="121"/>
      <c r="D31" s="61" t="s">
        <v>87</v>
      </c>
      <c r="E31" s="61"/>
      <c r="F31" s="56"/>
      <c r="G31" s="57"/>
      <c r="H31" s="144">
        <f>IF(Leerlinggegevens!K26=0,0,IF(Leerlinggegevens!AF26=0,0,IF(Leerlinggegevens!D26=0,0,IF(Leerlinggegevens!D26="SO",VLOOKUP(Leerlinggegevens!E26,groepsafhPvE,3,FALSE),VLOOKUP(Leerlinggegevens!E26,groepsafhPvE,5,FALSE))+IF(Leerlinggegevens!D26="SO",VLOOKUP(Leerlinggegevens!E26,groepsafhPvE,4,FALSE),VLOOKUP(Leerlinggegevens!E26,groepsafhPvE,6,FALSE))*IF((Leerlinggegevens!K36-Leerlinggegevens!K29)&gt;Leerlinggegevens!I14/2,Leerlinggegevens!AF33,Leerlinggegevens!AF26))))</f>
        <v>15153.630000000001</v>
      </c>
      <c r="I31" s="144">
        <f>IF(Leerlinggegevens!K44=0,0,IF(Leerlinggegevens!AF44=0,0,IF(Leerlinggegevens!D44=0,0,IF(Leerlinggegevens!D44="SO",VLOOKUP(Leerlinggegevens!E44,groepsafhPvE,3,FALSE),VLOOKUP(Leerlinggegevens!E44,groepsafhPvE,5,FALSE))+IF(Leerlinggegevens!D44="SO",VLOOKUP(Leerlinggegevens!E44,groepsafhPvE,4,FALSE),VLOOKUP(Leerlinggegevens!E44,groepsafhPvE,6,FALSE))*IF((Leerlinggegevens!K54-Leerlinggegevens!K47)&gt;Leerlinggegevens!I14/2,Leerlinggegevens!AF51,Leerlinggegevens!AF44))))</f>
        <v>15153.630000000001</v>
      </c>
      <c r="J31" s="144">
        <f>IF(Leerlinggegevens!K62=0,0,IF(Leerlinggegevens!AF62=0,0,IF(Leerlinggegevens!D62=0,0,IF(Leerlinggegevens!D62="SO",VLOOKUP(Leerlinggegevens!E62,groepsafhPvE,3,FALSE),VLOOKUP(Leerlinggegevens!E62,groepsafhPvE,5,FALSE))+IF(Leerlinggegevens!D62="SO",VLOOKUP(Leerlinggegevens!E62,groepsafhPvE,4,FALSE),VLOOKUP(Leerlinggegevens!E62,groepsafhPvE,6,FALSE))*IF((Leerlinggegevens!K72-Leerlinggegevens!K65)&gt;Leerlinggegevens!I14/2,Leerlinggegevens!AF69,Leerlinggegevens!AF62))))</f>
        <v>15153.630000000001</v>
      </c>
      <c r="K31" s="144">
        <f>IF(Leerlinggegevens!K79=0,0,IF(Leerlinggegevens!AF80=0,0,IF(Leerlinggegevens!D80=0,0,IF(Leerlinggegevens!D80="SO",VLOOKUP(Leerlinggegevens!E80,groepsafhPvE,3,FALSE),VLOOKUP(Leerlinggegevens!E80,groepsafhPvE,5,FALSE))+IF(Leerlinggegevens!D80="SO",VLOOKUP(Leerlinggegevens!E80,groepsafhPvE,4,FALSE),VLOOKUP(Leerlinggegevens!E80,groepsafhPvE,6,FALSE))*IF((Leerlinggegevens!K90-Leerlinggegevens!K83)&gt;Leerlinggegevens!I14/2,Leerlinggegevens!AF87,Leerlinggegevens!AF80))))</f>
        <v>15153.630000000001</v>
      </c>
      <c r="L31" s="59"/>
      <c r="M31" s="25"/>
    </row>
    <row r="32" spans="2:13" ht="12.75" customHeight="1">
      <c r="B32" s="21"/>
      <c r="C32" s="121"/>
      <c r="D32" s="61"/>
      <c r="E32" s="61"/>
      <c r="F32" s="56"/>
      <c r="G32" s="57"/>
      <c r="H32" s="120"/>
      <c r="I32" s="120"/>
      <c r="J32" s="120"/>
      <c r="K32" s="120"/>
      <c r="L32" s="59"/>
      <c r="M32" s="25"/>
    </row>
    <row r="33" spans="2:13" ht="12.75" customHeight="1">
      <c r="B33" s="21"/>
      <c r="C33" s="121"/>
      <c r="D33" s="57" t="s">
        <v>212</v>
      </c>
      <c r="E33" s="61"/>
      <c r="F33" s="85" t="s">
        <v>102</v>
      </c>
      <c r="G33" s="67"/>
      <c r="H33" s="142">
        <f>IF(Leerlinggegevens!K26=0,0,IF(F33="ja",IF(Leerlinggegevens!D26=0,0,VLOOKUP(Leerlinggegevens!E26,PvE_SO,4,FALSE)),0))</f>
        <v>0</v>
      </c>
      <c r="I33" s="142">
        <f>IF(Leerlinggegevens!K44=0,0,IF(F33="ja",IF(Leerlinggegevens!D44=0,0,VLOOKUP(Leerlinggegevens!E44,PvE_SO,4,FALSE)),0))</f>
        <v>0</v>
      </c>
      <c r="J33" s="142">
        <f>IF(Leerlinggegevens!K62=0,0,IF(F33="ja",IF(Leerlinggegevens!D62=0,0,VLOOKUP(Leerlinggegevens!E62,PvE_SO,4,FALSE)),0))</f>
        <v>0</v>
      </c>
      <c r="K33" s="142">
        <f>IF(Leerlinggegevens!K79=0,0,IF(F33="ja",IF(Leerlinggegevens!D80=0,0,VLOOKUP(Leerlinggegevens!E80,PvE_SO,4,FALSE)),0))</f>
        <v>0</v>
      </c>
      <c r="L33" s="59"/>
      <c r="M33" s="25"/>
    </row>
    <row r="34" spans="2:13" ht="12.75" customHeight="1">
      <c r="B34" s="21"/>
      <c r="C34" s="121"/>
      <c r="D34" s="57"/>
      <c r="E34" s="57"/>
      <c r="F34" s="56"/>
      <c r="G34" s="57"/>
      <c r="H34" s="120"/>
      <c r="I34" s="120"/>
      <c r="J34" s="120"/>
      <c r="K34" s="120"/>
      <c r="L34" s="59"/>
      <c r="M34" s="25"/>
    </row>
    <row r="35" spans="2:13" ht="12.75" customHeight="1">
      <c r="B35" s="21"/>
      <c r="C35" s="118" t="s">
        <v>122</v>
      </c>
      <c r="D35" s="61" t="s">
        <v>42</v>
      </c>
      <c r="E35" s="61"/>
      <c r="F35" s="56"/>
      <c r="G35" s="57"/>
      <c r="H35" s="119"/>
      <c r="I35" s="119"/>
      <c r="J35" s="119"/>
      <c r="K35" s="119"/>
      <c r="L35" s="59"/>
      <c r="M35" s="25"/>
    </row>
    <row r="36" spans="2:13" ht="12.75" customHeight="1">
      <c r="B36" s="21"/>
      <c r="C36" s="118"/>
      <c r="D36" s="92" t="s">
        <v>80</v>
      </c>
      <c r="E36" s="61"/>
      <c r="F36" s="56"/>
      <c r="G36" s="57"/>
      <c r="H36" s="119"/>
      <c r="I36" s="119"/>
      <c r="J36" s="119"/>
      <c r="K36" s="119"/>
      <c r="L36" s="59"/>
      <c r="M36" s="25"/>
    </row>
    <row r="37" spans="2:13" ht="12.75">
      <c r="B37" s="21"/>
      <c r="C37" s="121"/>
      <c r="D37" s="57" t="s">
        <v>34</v>
      </c>
      <c r="E37" s="57"/>
      <c r="F37" s="56"/>
      <c r="G37" s="57"/>
      <c r="H37" s="142">
        <f>IF(Leerlinggegevens!D26=0,0,IF(Leerlinggegevens!D26="SO",VLOOKUP(Leerlinggegevens!E26,PvE_SO,16,FALSE),VLOOKUP(Leerlinggegevens!E26,PvE_VSO,16,FALSE))*Leerlinggegevens!AC26)</f>
        <v>13.5</v>
      </c>
      <c r="I37" s="142">
        <f>IF(Leerlinggegevens!D44=0,0,IF(Leerlinggegevens!D44="SO",VLOOKUP(Leerlinggegevens!E44,PvE_SO,16,FALSE),VLOOKUP(Leerlinggegevens!E44,PvE_VSO,16,FALSE))*Leerlinggegevens!AC44)</f>
        <v>13.5</v>
      </c>
      <c r="J37" s="142">
        <f>IF(Leerlinggegevens!D62=0,0,IF(Leerlinggegevens!D62="SO",VLOOKUP(Leerlinggegevens!E62,PvE_SO,16,FALSE),VLOOKUP(Leerlinggegevens!E62,PvE_VSO,16,FALSE))*Leerlinggegevens!AC62)</f>
        <v>13.5</v>
      </c>
      <c r="K37" s="142">
        <f>IF(Leerlinggegevens!D80=0,0,IF(Leerlinggegevens!D80="SO",VLOOKUP(Leerlinggegevens!E80,PvE_SO,16,FALSE),VLOOKUP(Leerlinggegevens!E80,PvE_VSO,16,FALSE))*Leerlinggegevens!AC80)</f>
        <v>13.5</v>
      </c>
      <c r="L37" s="59"/>
      <c r="M37" s="25"/>
    </row>
    <row r="38" spans="2:13" ht="12.75">
      <c r="B38" s="21"/>
      <c r="C38" s="121"/>
      <c r="D38" s="57" t="s">
        <v>88</v>
      </c>
      <c r="E38" s="57"/>
      <c r="F38" s="56"/>
      <c r="G38" s="57"/>
      <c r="H38" s="142">
        <f>IF(Leerlinggegevens!D26=0,0,IF(Leerlinggegevens!D26="SO",VLOOKUP(Leerlinggegevens!E26,PvE_SO,18,FALSE),VLOOKUP(Leerlinggegevens!E26,PvE_VSO,18,FALSE))*Leerlinggegevens!AC26)</f>
        <v>5.8999999999999995</v>
      </c>
      <c r="I38" s="142">
        <f>IF(Leerlinggegevens!D44=0,0,IF(Leerlinggegevens!D44="SO",VLOOKUP(Leerlinggegevens!E44,PvE_SO,18,FALSE),VLOOKUP(Leerlinggegevens!E44,PvE_VSO,18,FALSE))*Leerlinggegevens!AC44)</f>
        <v>5.8999999999999995</v>
      </c>
      <c r="J38" s="142">
        <f>IF(Leerlinggegevens!D62=0,0,IF(Leerlinggegevens!D62="SO",VLOOKUP(Leerlinggegevens!E62,PvE_SO,18,FALSE),VLOOKUP(Leerlinggegevens!E62,PvE_VSO,18,FALSE))*Leerlinggegevens!AC62)</f>
        <v>5.8999999999999995</v>
      </c>
      <c r="K38" s="142">
        <f>IF(Leerlinggegevens!D80=0,0,IF(Leerlinggegevens!D80="SO",VLOOKUP(Leerlinggegevens!E80,PvE_SO,18,FALSE),VLOOKUP(Leerlinggegevens!E80,PvE_VSO,18,FALSE))*Leerlinggegevens!AC80)</f>
        <v>5.8999999999999995</v>
      </c>
      <c r="L38" s="59"/>
      <c r="M38" s="25"/>
    </row>
    <row r="39" spans="2:13" ht="12.75">
      <c r="B39" s="21"/>
      <c r="C39" s="121"/>
      <c r="D39" s="57" t="s">
        <v>35</v>
      </c>
      <c r="E39" s="57"/>
      <c r="F39" s="56"/>
      <c r="G39" s="57"/>
      <c r="H39" s="142">
        <f>IF(Leerlinggegevens!D26=0,0,IF(Leerlinggegevens!D26="SO",VLOOKUP(Leerlinggegevens!E26,PvE_SO,20,FALSE),VLOOKUP(Leerlinggegevens!E26,PvE_VSO,20,FALSE))*Leerlinggegevens!AC26)</f>
        <v>2.2</v>
      </c>
      <c r="I39" s="142">
        <f>IF(Leerlinggegevens!D44=0,0,IF(Leerlinggegevens!D44="SO",VLOOKUP(Leerlinggegevens!E44,PvE_SO,20,FALSE),VLOOKUP(Leerlinggegevens!E44,PvE_VSO,20,FALSE))*Leerlinggegevens!AC44)</f>
        <v>2.2</v>
      </c>
      <c r="J39" s="142">
        <f>IF(Leerlinggegevens!D62=0,0,IF(Leerlinggegevens!D62="SO",VLOOKUP(Leerlinggegevens!E62,PvE_SO,20,FALSE),VLOOKUP(Leerlinggegevens!E62,PvE_VSO,20,FALSE))*Leerlinggegevens!AC62)</f>
        <v>2.2</v>
      </c>
      <c r="K39" s="142">
        <f>IF(Leerlinggegevens!D80=0,0,IF(Leerlinggegevens!D80="SO",VLOOKUP(Leerlinggegevens!E80,PvE_SO,20,FALSE),VLOOKUP(Leerlinggegevens!E80,PvE_VSO,20,FALSE))*Leerlinggegevens!AC80)</f>
        <v>2.2</v>
      </c>
      <c r="L39" s="59"/>
      <c r="M39" s="25"/>
    </row>
    <row r="40" spans="2:13" ht="12.75">
      <c r="B40" s="21"/>
      <c r="C40" s="121"/>
      <c r="D40" s="57" t="s">
        <v>36</v>
      </c>
      <c r="E40" s="57"/>
      <c r="F40" s="56"/>
      <c r="G40" s="57"/>
      <c r="H40" s="142">
        <f>IF(Leerlinggegevens!D26=0,0,IF(Leerlinggegevens!D26="SO",VLOOKUP(Leerlinggegevens!E26,PvE_SO,22,FALSE),VLOOKUP(Leerlinggegevens!E26,PvE_VSO,22,FALSE))*Leerlinggegevens!AC26)</f>
        <v>51</v>
      </c>
      <c r="I40" s="142">
        <f>IF(Leerlinggegevens!D44=0,0,IF(Leerlinggegevens!D44="SO",VLOOKUP(Leerlinggegevens!E44,PvE_SO,22,FALSE),VLOOKUP(Leerlinggegevens!E44,PvE_VSO,22,FALSE))*Leerlinggegevens!AC44)</f>
        <v>51</v>
      </c>
      <c r="J40" s="142">
        <f>IF(Leerlinggegevens!D62=0,0,IF(Leerlinggegevens!D62="SO",VLOOKUP(Leerlinggegevens!E62,PvE_SO,22,FALSE),VLOOKUP(Leerlinggegevens!E62,PvE_VSO,22,FALSE))*Leerlinggegevens!AC62)</f>
        <v>51</v>
      </c>
      <c r="K40" s="142">
        <f>IF(Leerlinggegevens!D80=0,0,IF(Leerlinggegevens!D80="SO",VLOOKUP(Leerlinggegevens!E80,PvE_SO,22,FALSE),VLOOKUP(Leerlinggegevens!E80,PvE_VSO,22,FALSE))*Leerlinggegevens!AC80)</f>
        <v>51</v>
      </c>
      <c r="L40" s="59"/>
      <c r="M40" s="25"/>
    </row>
    <row r="41" spans="2:13" ht="12.75">
      <c r="B41" s="21"/>
      <c r="C41" s="121"/>
      <c r="D41" s="57" t="s">
        <v>114</v>
      </c>
      <c r="E41" s="57"/>
      <c r="F41" s="56"/>
      <c r="G41" s="57"/>
      <c r="H41" s="142">
        <f>IF(Leerlinggegevens!D26=0,0,IF(Leerlinggegevens!D26="SO",VLOOKUP(Leerlinggegevens!E26,PvE_SO,24,FALSE),VLOOKUP(Leerlinggegevens!E26,PvE_VSO,24,FALSE))*Leerlinggegevens!AC26)</f>
        <v>764.9</v>
      </c>
      <c r="I41" s="142">
        <f>IF(Leerlinggegevens!D44=0,0,IF(Leerlinggegevens!D44="SO",VLOOKUP(Leerlinggegevens!E44,PvE_SO,24,FALSE),VLOOKUP(Leerlinggegevens!E44,PvE_VSO,24,FALSE))*Leerlinggegevens!AC44)</f>
        <v>764.9</v>
      </c>
      <c r="J41" s="142">
        <f>IF(Leerlinggegevens!D62=0,0,IF(Leerlinggegevens!D62="SO",VLOOKUP(Leerlinggegevens!E62,PvE_SO,24,FALSE),VLOOKUP(Leerlinggegevens!E62,PvE_VSO,24,FALSE))*Leerlinggegevens!AC62)</f>
        <v>764.9</v>
      </c>
      <c r="K41" s="142">
        <f>IF(Leerlinggegevens!D80=0,0,IF(Leerlinggegevens!D80="SO",VLOOKUP(Leerlinggegevens!E80,PvE_SO,24,FALSE),VLOOKUP(Leerlinggegevens!E80,PvE_VSO,24,FALSE))*Leerlinggegevens!AC80)</f>
        <v>764.9</v>
      </c>
      <c r="L41" s="59"/>
      <c r="M41" s="25"/>
    </row>
    <row r="42" spans="2:13" ht="12.75">
      <c r="B42" s="21"/>
      <c r="C42" s="121"/>
      <c r="D42" s="131" t="s">
        <v>115</v>
      </c>
      <c r="E42" s="92"/>
      <c r="F42" s="56"/>
      <c r="G42" s="57"/>
      <c r="H42" s="143">
        <f>IF(Leerlinggegevens!D26=0,0,IF(Leerlinggegevens!D26="SO",VLOOKUP(Leerlinggegevens!E26,PvE_SO,26,FALSE),VLOOKUP(Leerlinggegevens!E26,PvE_VSO,26,FALSE))*Leerlinggegevens!AC26)</f>
        <v>142.20000000000002</v>
      </c>
      <c r="I42" s="143">
        <f>IF(Leerlinggegevens!D44=0,0,IF(Leerlinggegevens!D44="SO",VLOOKUP(Leerlinggegevens!E44,PvE_SO,26,FALSE),VLOOKUP(Leerlinggegevens!E44,PvE_VSO,26,FALSE))*Leerlinggegevens!AC44)</f>
        <v>142.20000000000002</v>
      </c>
      <c r="J42" s="143">
        <f>IF(Leerlinggegevens!D62=0,0,IF(Leerlinggegevens!D62="SO",VLOOKUP(Leerlinggegevens!E62,PvE_SO,26,FALSE),VLOOKUP(Leerlinggegevens!E62,PvE_VSO,26,FALSE))*Leerlinggegevens!AC62)</f>
        <v>142.20000000000002</v>
      </c>
      <c r="K42" s="143">
        <f>IF(Leerlinggegevens!D80=0,0,IF(Leerlinggegevens!D80="SO",VLOOKUP(Leerlinggegevens!E80,PvE_SO,26,FALSE),VLOOKUP(Leerlinggegevens!E80,PvE_VSO,26,FALSE))*Leerlinggegevens!AC80)</f>
        <v>142.20000000000002</v>
      </c>
      <c r="L42" s="59"/>
      <c r="M42" s="25"/>
    </row>
    <row r="43" spans="2:13" ht="12.75">
      <c r="B43" s="21"/>
      <c r="C43" s="121"/>
      <c r="D43" s="57" t="s">
        <v>81</v>
      </c>
      <c r="E43" s="57"/>
      <c r="F43" s="56"/>
      <c r="G43" s="57"/>
      <c r="H43" s="142">
        <f>IF(Leerlinggegevens!D26=0,0,IF(Leerlinggegevens!D26="SO",VLOOKUP(Leerlinggegevens!E26,PvE_SO,28,FALSE),VLOOKUP(Leerlinggegevens!E26,PvE_VSO,28,FALSE))*Leerlinggegevens!AC26)</f>
        <v>266.3</v>
      </c>
      <c r="I43" s="142">
        <f>IF(Leerlinggegevens!D44=0,0,IF(Leerlinggegevens!D44="SO",VLOOKUP(Leerlinggegevens!E44,PvE_SO,28,FALSE),VLOOKUP(Leerlinggegevens!E44,PvE_VSO,28,FALSE))*Leerlinggegevens!AC44)</f>
        <v>266.3</v>
      </c>
      <c r="J43" s="142">
        <f>IF(Leerlinggegevens!D62=0,0,IF(Leerlinggegevens!D62="SO",VLOOKUP(Leerlinggegevens!E62,PvE_SO,28,FALSE),VLOOKUP(Leerlinggegevens!E62,PvE_VSO,28,FALSE))*Leerlinggegevens!AC62)</f>
        <v>266.3</v>
      </c>
      <c r="K43" s="142">
        <f>IF(Leerlinggegevens!D80=0,0,IF(Leerlinggegevens!D80="SO",VLOOKUP(Leerlinggegevens!E80,PvE_SO,28,FALSE),VLOOKUP(Leerlinggegevens!E80,PvE_VSO,28,FALSE))*Leerlinggegevens!AC80)</f>
        <v>266.3</v>
      </c>
      <c r="L43" s="59"/>
      <c r="M43" s="25"/>
    </row>
    <row r="44" spans="2:13" ht="12.75">
      <c r="B44" s="21"/>
      <c r="C44" s="121"/>
      <c r="D44" s="57" t="s">
        <v>118</v>
      </c>
      <c r="E44" s="57"/>
      <c r="F44" s="56"/>
      <c r="G44" s="57"/>
      <c r="H44" s="142">
        <f>IF(Leerlinggegevens!D26=0,0,IF(Leerlinggegevens!D26="SO",VLOOKUP(Leerlinggegevens!E26,PvE_SO,30,FALSE),VLOOKUP(Leerlinggegevens!E26,PvE_VSO,30,FALSE))*Leerlinggegevens!AC26)</f>
        <v>0</v>
      </c>
      <c r="I44" s="142">
        <f>IF(Leerlinggegevens!D44=0,0,IF(Leerlinggegevens!D44="SO",VLOOKUP(Leerlinggegevens!E44,PvE_SO,30,FALSE),VLOOKUP(Leerlinggegevens!E44,PvE_VSO,30,FALSE))*Leerlinggegevens!AC44)</f>
        <v>0</v>
      </c>
      <c r="J44" s="142">
        <f>IF(Leerlinggegevens!D62=0,0,IF(Leerlinggegevens!D62="SO",VLOOKUP(Leerlinggegevens!E62,PvE_SO,30,FALSE),VLOOKUP(Leerlinggegevens!E62,PvE_VSO,30,FALSE))*Leerlinggegevens!AC62)</f>
        <v>0</v>
      </c>
      <c r="K44" s="142">
        <f>IF(Leerlinggegevens!D80=0,0,IF(Leerlinggegevens!D80="SO",VLOOKUP(Leerlinggegevens!E80,PvE_SO,30,FALSE),VLOOKUP(Leerlinggegevens!E80,PvE_VSO,30,FALSE))*Leerlinggegevens!AC80)</f>
        <v>0</v>
      </c>
      <c r="L44" s="59"/>
      <c r="M44" s="25"/>
    </row>
    <row r="45" spans="2:13" ht="12.75">
      <c r="B45" s="21"/>
      <c r="C45" s="121"/>
      <c r="D45" s="57" t="s">
        <v>119</v>
      </c>
      <c r="E45" s="57"/>
      <c r="F45" s="56"/>
      <c r="G45" s="57"/>
      <c r="H45" s="142">
        <f>IF(Leerlinggegevens!D26=0,0,IF(Leerlinggegevens!D26="SO",VLOOKUP(Leerlinggegevens!E26,PvE_SO,32,FALSE),VLOOKUP(Leerlinggegevens!E26,PvE_VSO,32,FALSE))*Leerlinggegevens!AC26)</f>
        <v>0</v>
      </c>
      <c r="I45" s="142">
        <f>IF(Leerlinggegevens!D44=0,0,IF(Leerlinggegevens!D44="SO",VLOOKUP(Leerlinggegevens!E44,PvE_SO,32,FALSE),VLOOKUP(Leerlinggegevens!E44,PvE_VSO,32,FALSE))*Leerlinggegevens!AC44)</f>
        <v>0</v>
      </c>
      <c r="J45" s="142">
        <f>IF(Leerlinggegevens!D62=0,0,IF(Leerlinggegevens!D62="SO",VLOOKUP(Leerlinggegevens!E62,PvE_SO,32,FALSE),VLOOKUP(Leerlinggegevens!E62,PvE_VSO,32,FALSE))*Leerlinggegevens!AC62)</f>
        <v>0</v>
      </c>
      <c r="K45" s="142">
        <f>IF(Leerlinggegevens!D80=0,0,IF(Leerlinggegevens!D80="SO",VLOOKUP(Leerlinggegevens!E80,PvE_SO,32,FALSE),VLOOKUP(Leerlinggegevens!E80,PvE_VSO,32,FALSE))*Leerlinggegevens!AC80)</f>
        <v>0</v>
      </c>
      <c r="L45" s="59"/>
      <c r="M45" s="25"/>
    </row>
    <row r="46" spans="2:13" ht="12.75">
      <c r="B46" s="21"/>
      <c r="C46" s="121"/>
      <c r="D46" s="57" t="s">
        <v>116</v>
      </c>
      <c r="E46" s="57"/>
      <c r="F46" s="56"/>
      <c r="G46" s="57"/>
      <c r="H46" s="142">
        <f>IF(Leerlinggegevens!AC26=0,0,IF(Leerlinggegevens!D26=0,0,IF(Leerlinggegevens!$G26="ja",0,IF(Leerlinggegevens!D26="SO",VLOOKUP(Leerlinggegevens!E26,PvE_SO,33,FALSE),VLOOKUP(Leerlinggegevens!E26,PvE_VSO,33,FALSE)))+IF(Leerlinggegevens!D26="SO",VLOOKUP(Leerlinggegevens!E26,PvE_SO,34,FALSE),VLOOKUP(Leerlinggegevens!E26,PvE_VSO,34,FALSE))*Leerlinggegevens!AC26))</f>
        <v>13281.3</v>
      </c>
      <c r="I46" s="142">
        <f>IF(Leerlinggegevens!AC44=0,0,IF(Leerlinggegevens!D44=0,0,IF(Leerlinggegevens!$G44="ja",0,IF(Leerlinggegevens!D44="SO",VLOOKUP(Leerlinggegevens!E44,PvE_SO,33,FALSE),VLOOKUP(Leerlinggegevens!E44,PvE_VSO,33,FALSE)))+IF(Leerlinggegevens!D44="SO",VLOOKUP(Leerlinggegevens!E44,PvE_SO,34,FALSE),VLOOKUP(Leerlinggegevens!E44,PvE_VSO,34,FALSE))*Leerlinggegevens!AC44))</f>
        <v>13281.3</v>
      </c>
      <c r="J46" s="142">
        <f>IF(Leerlinggegevens!AC62=0,0,IF(Leerlinggegevens!D62=0,0,IF(Leerlinggegevens!$G26="ja",0,IF(Leerlinggegevens!D62="SO",VLOOKUP(Leerlinggegevens!E62,PvE_SO,33,FALSE),VLOOKUP(Leerlinggegevens!E62,PvE_VSO,33,FALSE)))+IF(Leerlinggegevens!D62="SO",VLOOKUP(Leerlinggegevens!E62,PvE_SO,34,FALSE),VLOOKUP(Leerlinggegevens!E62,PvE_VSO,34,FALSE))*Leerlinggegevens!AC62))</f>
        <v>13281.3</v>
      </c>
      <c r="K46" s="142">
        <f>IF(Leerlinggegevens!AC80=0,0,IF(Leerlinggegevens!D80=0,0,IF(Leerlinggegevens!$G26="ja",0,IF(Leerlinggegevens!D80="SO",VLOOKUP(Leerlinggegevens!E80,PvE_SO,33,FALSE),VLOOKUP(Leerlinggegevens!E80,PvE_VSO,33,FALSE)))+IF(Leerlinggegevens!D80="SO",VLOOKUP(Leerlinggegevens!E80,PvE_SO,34,FALSE),VLOOKUP(Leerlinggegevens!E80,PvE_VSO,34,FALSE))*Leerlinggegevens!AC80))</f>
        <v>13281.3</v>
      </c>
      <c r="L46" s="59"/>
      <c r="M46" s="25"/>
    </row>
    <row r="47" spans="2:13" ht="12.75">
      <c r="B47" s="21"/>
      <c r="C47" s="121"/>
      <c r="D47" s="131" t="s">
        <v>120</v>
      </c>
      <c r="E47" s="92"/>
      <c r="F47" s="56"/>
      <c r="G47" s="57"/>
      <c r="H47" s="143">
        <f>IF(Leerlinggegevens!D26=0,0,IF(Leerlinggegevens!D26="SO",VLOOKUP(Leerlinggegevens!E26,PvE_SO,36,FALSE),VLOOKUP(Leerlinggegevens!E26,PvE_VSO,36,FALSE))*Leerlinggegevens!AC26)</f>
        <v>1229</v>
      </c>
      <c r="I47" s="143">
        <f>IF(Leerlinggegevens!D44=0,0,IF(Leerlinggegevens!D44="SO",VLOOKUP(Leerlinggegevens!E44,PvE_SO,36,FALSE),VLOOKUP(Leerlinggegevens!E44,PvE_VSO,36,FALSE))*Leerlinggegevens!AC44)</f>
        <v>1229</v>
      </c>
      <c r="J47" s="143">
        <f>IF(Leerlinggegevens!D62=0,0,IF(Leerlinggegevens!D62="SO",VLOOKUP(Leerlinggegevens!E62,PvE_SO,36,FALSE),VLOOKUP(Leerlinggegevens!E62,PvE_VSO,36,FALSE))*Leerlinggegevens!AC62)</f>
        <v>1229</v>
      </c>
      <c r="K47" s="143">
        <f>IF(Leerlinggegevens!D80=0,0,IF(Leerlinggegevens!D80="SO",VLOOKUP(Leerlinggegevens!E80,PvE_SO,36,FALSE),VLOOKUP(Leerlinggegevens!E80,PvE_VSO,36,FALSE))*Leerlinggegevens!AC80)</f>
        <v>1229</v>
      </c>
      <c r="L47" s="59"/>
      <c r="M47" s="25"/>
    </row>
    <row r="48" spans="2:13" ht="12.75">
      <c r="B48" s="21"/>
      <c r="C48" s="121"/>
      <c r="D48" s="57" t="s">
        <v>117</v>
      </c>
      <c r="E48" s="57"/>
      <c r="F48" s="56"/>
      <c r="G48" s="57"/>
      <c r="H48" s="142">
        <f>IF(Leerlinggegevens!AC26=0,0,IF(Leerlinggegevens!D26=0,0,IF(Leerlinggegevens!$G26="ja",0,IF(Leerlinggegevens!D26="SO",VLOOKUP(Leerlinggegevens!E26,PvE_SO,37,FALSE),VLOOKUP(Leerlinggegevens!E26,PvE_VSO,37,FALSE)))+IF(Leerlinggegevens!D26="SO",VLOOKUP(Leerlinggegevens!E26,PvE_SO,38,FALSE),VLOOKUP(Leerlinggegevens!E26,PvE_VSO,38,FALSE))*Leerlinggegevens!AC26))</f>
        <v>746.6</v>
      </c>
      <c r="I48" s="142">
        <f>IF(Leerlinggegevens!AC44=0,0,IF(Leerlinggegevens!D44=0,0,IF(Leerlinggegevens!$G44="ja",0,IF(Leerlinggegevens!D44="SO",VLOOKUP(Leerlinggegevens!E44,PvE_SO,37,FALSE),VLOOKUP(Leerlinggegevens!E44,PvE_VSO,37,FALSE)))+IF(Leerlinggegevens!D44="SO",VLOOKUP(Leerlinggegevens!E44,PvE_SO,38,FALSE),VLOOKUP(Leerlinggegevens!E44,PvE_VSO,38,FALSE))*Leerlinggegevens!AC44))</f>
        <v>746.6</v>
      </c>
      <c r="J48" s="142">
        <f>IF(Leerlinggegevens!AC62=0,0,IF(Leerlinggegevens!D62=0,0,IF(Leerlinggegevens!$G26="ja",0,IF(Leerlinggegevens!D62="SO",VLOOKUP(Leerlinggegevens!E62,PvE_SO,37,FALSE),VLOOKUP(Leerlinggegevens!E62,PvE_VSO,37,FALSE)))+IF(Leerlinggegevens!D62="SO",VLOOKUP(Leerlinggegevens!E62,PvE_SO,38,FALSE),VLOOKUP(Leerlinggegevens!E62,PvE_VSO,38,FALSE))*Leerlinggegevens!AC62))</f>
        <v>746.6</v>
      </c>
      <c r="K48" s="142">
        <f>IF(Leerlinggegevens!AC80=0,0,IF(Leerlinggegevens!D80=0,0,IF(Leerlinggegevens!$G26="ja",0,IF(Leerlinggegevens!D80="SO",VLOOKUP(Leerlinggegevens!E80,PvE_SO,37,FALSE),VLOOKUP(Leerlinggegevens!E80,PvE_VSO,37,FALSE)))+IF(Leerlinggegevens!D80="SO",VLOOKUP(Leerlinggegevens!E80,PvE_SO,38,FALSE),VLOOKUP(Leerlinggegevens!E80,PvE_VSO,38,FALSE))*Leerlinggegevens!AC80))</f>
        <v>746.6</v>
      </c>
      <c r="L48" s="59"/>
      <c r="M48" s="25"/>
    </row>
    <row r="49" spans="2:13" s="107" customFormat="1" ht="12.75">
      <c r="B49" s="90"/>
      <c r="C49" s="130"/>
      <c r="D49" s="92" t="s">
        <v>37</v>
      </c>
      <c r="E49" s="92"/>
      <c r="F49" s="91"/>
      <c r="G49" s="92"/>
      <c r="H49" s="143">
        <f>SUM(H37:H48)-H42-H47</f>
        <v>15131.699999999997</v>
      </c>
      <c r="I49" s="143">
        <f>SUM(I37:I48)-I42-I47</f>
        <v>15131.699999999997</v>
      </c>
      <c r="J49" s="143">
        <f>SUM(J37:J48)-J42-J47</f>
        <v>15131.699999999997</v>
      </c>
      <c r="K49" s="143">
        <f>SUM(K37:K48)-K42-K47</f>
        <v>15131.699999999997</v>
      </c>
      <c r="L49" s="93"/>
      <c r="M49" s="94"/>
    </row>
    <row r="50" spans="2:13" ht="12.75">
      <c r="B50" s="21"/>
      <c r="C50" s="121"/>
      <c r="D50" s="57"/>
      <c r="E50" s="57"/>
      <c r="F50" s="56"/>
      <c r="G50" s="57"/>
      <c r="H50" s="119"/>
      <c r="I50" s="119"/>
      <c r="J50" s="119"/>
      <c r="K50" s="119"/>
      <c r="L50" s="59"/>
      <c r="M50" s="25"/>
    </row>
    <row r="51" spans="2:13" ht="12.75">
      <c r="B51" s="21"/>
      <c r="C51" s="121"/>
      <c r="D51" s="92" t="s">
        <v>43</v>
      </c>
      <c r="E51" s="61"/>
      <c r="F51" s="56"/>
      <c r="G51" s="57"/>
      <c r="H51" s="120"/>
      <c r="I51" s="120"/>
      <c r="J51" s="120"/>
      <c r="K51" s="120"/>
      <c r="L51" s="59"/>
      <c r="M51" s="25"/>
    </row>
    <row r="52" spans="2:13" ht="12.75">
      <c r="B52" s="21"/>
      <c r="C52" s="121"/>
      <c r="D52" s="57" t="s">
        <v>38</v>
      </c>
      <c r="E52" s="57"/>
      <c r="F52" s="56"/>
      <c r="G52" s="57"/>
      <c r="H52" s="142">
        <f>IF(Leerlinggegevens!D26=0,0,IF(Leerlinggegevens!D26="SO",VLOOKUP(Leerlinggegevens!E26,PvE_SO,40,FALSE),VLOOKUP(Leerlinggegevens!E26,PvE_VSO,40,FALSE))*Leerlinggegevens!AC26)</f>
        <v>410.90000000000003</v>
      </c>
      <c r="I52" s="142">
        <f>IF(Leerlinggegevens!D44=0,0,IF(Leerlinggegevens!D44="SO",VLOOKUP(Leerlinggegevens!E44,PvE_SO,40,FALSE),VLOOKUP(Leerlinggegevens!E44,PvE_VSO,40,FALSE))*Leerlinggegevens!AC44)</f>
        <v>410.90000000000003</v>
      </c>
      <c r="J52" s="142">
        <f>IF(Leerlinggegevens!D62=0,0,IF(Leerlinggegevens!D62="SO",VLOOKUP(Leerlinggegevens!E62,PvE_SO,40,FALSE),VLOOKUP(Leerlinggegevens!E62,PvE_VSO,40,FALSE))*Leerlinggegevens!AC62)</f>
        <v>410.90000000000003</v>
      </c>
      <c r="K52" s="142">
        <f>IF(Leerlinggegevens!D80=0,0,IF(Leerlinggegevens!D80="SO",VLOOKUP(Leerlinggegevens!E80,PvE_SO,40,FALSE),VLOOKUP(Leerlinggegevens!E80,PvE_VSO,40,FALSE))*Leerlinggegevens!AC80)</f>
        <v>410.90000000000003</v>
      </c>
      <c r="L52" s="59"/>
      <c r="M52" s="25"/>
    </row>
    <row r="53" spans="2:13" ht="12.75">
      <c r="B53" s="21"/>
      <c r="C53" s="121"/>
      <c r="D53" s="57" t="s">
        <v>39</v>
      </c>
      <c r="E53" s="57"/>
      <c r="F53" s="56"/>
      <c r="G53" s="57"/>
      <c r="H53" s="142">
        <f>IF(Leerlinggegevens!AC26=0,0,IF(Leerlinggegevens!D26=0,0,IF(Leerlinggegevens!$G26="ja",0,+IF(Leerlinggegevens!D26="SO",VLOOKUP(Leerlinggegevens!E26,PvE_SO,41,FALSE),VLOOKUP(Leerlinggegevens!E26,PvE_VSO,41,FALSE)))+IF(Leerlinggegevens!D26="SO",VLOOKUP(Leerlinggegevens!E26,PvE_SO,42,FALSE),VLOOKUP(Leerlinggegevens!E26,PvE_VSO,42,FALSE))*Leerlinggegevens!AC26))</f>
        <v>285</v>
      </c>
      <c r="I53" s="142">
        <f>IF(Leerlinggegevens!AC44=0,0,IF(Leerlinggegevens!D44=0,0,IF(Leerlinggegevens!$G44="ja",0,+IF(Leerlinggegevens!D44="SO",VLOOKUP(Leerlinggegevens!E44,PvE_SO,41,FALSE),VLOOKUP(Leerlinggegevens!E44,PvE_VSO,41,FALSE)))+IF(Leerlinggegevens!D44="SO",VLOOKUP(Leerlinggegevens!E44,PvE_SO,42,FALSE),VLOOKUP(Leerlinggegevens!E44,PvE_VSO,42,FALSE))*Leerlinggegevens!AC44))</f>
        <v>285</v>
      </c>
      <c r="J53" s="142">
        <f>IF(Leerlinggegevens!AC62=0,0,IF(Leerlinggegevens!D62=0,0,IF(Leerlinggegevens!$G26="ja",0,+IF(Leerlinggegevens!D62="SO",VLOOKUP(Leerlinggegevens!E62,PvE_SO,41,FALSE),VLOOKUP(Leerlinggegevens!E62,PvE_VSO,41,FALSE)))+IF(Leerlinggegevens!D62="SO",VLOOKUP(Leerlinggegevens!E62,PvE_SO,42,FALSE),VLOOKUP(Leerlinggegevens!E62,PvE_VSO,42,FALSE))*Leerlinggegevens!AC62))</f>
        <v>285</v>
      </c>
      <c r="K53" s="142">
        <f>IF(Leerlinggegevens!AC80=0,0,IF(Leerlinggegevens!D80=0,0,IF(Leerlinggegevens!$G26="ja",0,+IF(Leerlinggegevens!D80="SO",VLOOKUP(Leerlinggegevens!E80,PvE_SO,41,FALSE),VLOOKUP(Leerlinggegevens!E80,PvE_VSO,41,FALSE)))+IF(Leerlinggegevens!D80="SO",VLOOKUP(Leerlinggegevens!E80,PvE_SO,42,FALSE),VLOOKUP(Leerlinggegevens!E80,PvE_VSO,42,FALSE))*Leerlinggegevens!AC80))</f>
        <v>285</v>
      </c>
      <c r="L53" s="59"/>
      <c r="M53" s="25"/>
    </row>
    <row r="54" spans="2:13" ht="12.75">
      <c r="B54" s="21"/>
      <c r="C54" s="121"/>
      <c r="D54" s="57" t="s">
        <v>40</v>
      </c>
      <c r="E54" s="57"/>
      <c r="F54" s="56"/>
      <c r="G54" s="57"/>
      <c r="H54" s="142">
        <f>IF(Leerlinggegevens!D26=0,0,IF(Leerlinggegevens!D26="SO",VLOOKUP(Leerlinggegevens!E26,PvE_SO,44,FALSE),VLOOKUP(Leerlinggegevens!E26,PvE_VSO,44,FALSE))*Leerlinggegevens!AC26)</f>
        <v>141.7</v>
      </c>
      <c r="I54" s="142">
        <f>IF(Leerlinggegevens!D44=0,0,IF(Leerlinggegevens!D44="SO",VLOOKUP(Leerlinggegevens!E44,PvE_SO,44,FALSE),VLOOKUP(Leerlinggegevens!E44,PvE_VSO,44,FALSE))*Leerlinggegevens!AC44)</f>
        <v>141.7</v>
      </c>
      <c r="J54" s="142">
        <f>IF(Leerlinggegevens!D62=0,0,IF(Leerlinggegevens!D62="SO",VLOOKUP(Leerlinggegevens!E62,PvE_SO,44,FALSE),VLOOKUP(Leerlinggegevens!E62,PvE_VSO,44,FALSE))*Leerlinggegevens!AC62)</f>
        <v>141.7</v>
      </c>
      <c r="K54" s="142">
        <f>IF(Leerlinggegevens!D80=0,0,IF(Leerlinggegevens!D80="SO",VLOOKUP(Leerlinggegevens!E80,PvE_SO,44,FALSE),VLOOKUP(Leerlinggegevens!E80,PvE_VSO,44,FALSE))*Leerlinggegevens!AC80)</f>
        <v>141.7</v>
      </c>
      <c r="L54" s="59"/>
      <c r="M54" s="25"/>
    </row>
    <row r="55" spans="2:13" s="107" customFormat="1" ht="12.75">
      <c r="B55" s="90"/>
      <c r="C55" s="130"/>
      <c r="D55" s="92" t="s">
        <v>37</v>
      </c>
      <c r="E55" s="92"/>
      <c r="F55" s="91"/>
      <c r="G55" s="92"/>
      <c r="H55" s="143">
        <f>SUM(H52:H54)</f>
        <v>837.6000000000001</v>
      </c>
      <c r="I55" s="143">
        <f>SUM(I52:I54)</f>
        <v>837.6000000000001</v>
      </c>
      <c r="J55" s="143">
        <f>SUM(J52:J54)</f>
        <v>837.6000000000001</v>
      </c>
      <c r="K55" s="143">
        <f>SUM(K52:K54)</f>
        <v>837.6000000000001</v>
      </c>
      <c r="L55" s="93"/>
      <c r="M55" s="94"/>
    </row>
    <row r="56" spans="2:13" ht="12.75">
      <c r="B56" s="21"/>
      <c r="C56" s="121"/>
      <c r="D56" s="61"/>
      <c r="E56" s="61"/>
      <c r="F56" s="56"/>
      <c r="G56" s="57"/>
      <c r="H56" s="152">
        <f>H49+H55</f>
        <v>15969.299999999997</v>
      </c>
      <c r="I56" s="152">
        <f>I49+I55</f>
        <v>15969.299999999997</v>
      </c>
      <c r="J56" s="152">
        <f>J49+J55</f>
        <v>15969.299999999997</v>
      </c>
      <c r="K56" s="152">
        <f>K49+K55</f>
        <v>15969.299999999997</v>
      </c>
      <c r="L56" s="59"/>
      <c r="M56" s="25"/>
    </row>
    <row r="57" spans="2:13" ht="12.75">
      <c r="B57" s="21"/>
      <c r="C57" s="121"/>
      <c r="D57" s="61" t="s">
        <v>87</v>
      </c>
      <c r="E57" s="61"/>
      <c r="F57" s="56"/>
      <c r="G57" s="57"/>
      <c r="H57" s="144">
        <f>IF(Leerlinggegevens!AC26=0,0,IF(Leerlinggegevens!D26=0,0,IF(Leerlinggegevens!$G26="ja",0,IF(Leerlinggegevens!D26="SO",VLOOKUP(Leerlinggegevens!E26,leerlingafhPvE,3,FALSE),VLOOKUP(Leerlinggegevens!E26,leerlingafhPvE,5,FALSE)))+IF(Leerlinggegevens!D26="SO",VLOOKUP(Leerlinggegevens!E26,leerlingafhPvE,4,FALSE),VLOOKUP(Leerlinggegevens!E26,leerlingafhPvE,6,FALSE))*Leerlinggegevens!AC26))</f>
        <v>15969.3</v>
      </c>
      <c r="I57" s="144">
        <f>IF(Leerlinggegevens!AC44=0,0,IF(Leerlinggegevens!D44=0,0,IF(Leerlinggegevens!$G44="ja",0,IF(Leerlinggegevens!D44="SO",VLOOKUP(Leerlinggegevens!E44,leerlingafhPvE,3,FALSE),VLOOKUP(Leerlinggegevens!E44,leerlingafhPvE,5,FALSE)))+IF(Leerlinggegevens!D44="SO",VLOOKUP(Leerlinggegevens!E44,leerlingafhPvE,4,FALSE),VLOOKUP(Leerlinggegevens!E44,leerlingafhPvE,6,FALSE))*Leerlinggegevens!AC44))</f>
        <v>15969.3</v>
      </c>
      <c r="J57" s="144">
        <f>IF(Leerlinggegevens!AC62=0,0,IF(Leerlinggegevens!D62=0,0,IF(Leerlinggegevens!$G26="ja",0,IF(Leerlinggegevens!D62="SO",VLOOKUP(Leerlinggegevens!E62,leerlingafhPvE,3,FALSE),VLOOKUP(Leerlinggegevens!E62,leerlingafhPvE,5,FALSE)))+IF(Leerlinggegevens!D62="SO",VLOOKUP(Leerlinggegevens!E62,leerlingafhPvE,4,FALSE),VLOOKUP(Leerlinggegevens!E62,leerlingafhPvE,6,FALSE))*Leerlinggegevens!AC62))</f>
        <v>15969.3</v>
      </c>
      <c r="K57" s="144">
        <f>IF(Leerlinggegevens!AC80=0,0,IF(Leerlinggegevens!D80=0,0,IF(Leerlinggegevens!$G26="ja",0,IF(Leerlinggegevens!D80="SO",VLOOKUP(Leerlinggegevens!E80,leerlingafhPvE,3,FALSE),VLOOKUP(Leerlinggegevens!E80,leerlingafhPvE,5,FALSE)))+IF(Leerlinggegevens!D80="SO",VLOOKUP(Leerlinggegevens!E80,leerlingafhPvE,4,FALSE),VLOOKUP(Leerlinggegevens!E80,leerlingafhPvE,6,FALSE))*Leerlinggegevens!AC80))</f>
        <v>15969.3</v>
      </c>
      <c r="L57" s="59"/>
      <c r="M57" s="25"/>
    </row>
    <row r="58" spans="2:13" ht="12.75">
      <c r="B58" s="21"/>
      <c r="C58" s="121"/>
      <c r="D58" s="61"/>
      <c r="E58" s="61"/>
      <c r="F58" s="56"/>
      <c r="G58" s="57"/>
      <c r="H58" s="119"/>
      <c r="I58" s="119"/>
      <c r="J58" s="119"/>
      <c r="K58" s="119"/>
      <c r="L58" s="59"/>
      <c r="M58" s="25"/>
    </row>
    <row r="59" spans="2:13" ht="12.75">
      <c r="B59" s="21"/>
      <c r="C59" s="121"/>
      <c r="D59" s="61" t="s">
        <v>140</v>
      </c>
      <c r="E59" s="61"/>
      <c r="F59" s="56"/>
      <c r="G59" s="57"/>
      <c r="H59" s="144">
        <f>+H31+H33+H57</f>
        <v>31122.93</v>
      </c>
      <c r="I59" s="144">
        <f>+I31+I33+I57</f>
        <v>31122.93</v>
      </c>
      <c r="J59" s="144">
        <f>+J31+J33+J57</f>
        <v>31122.93</v>
      </c>
      <c r="K59" s="144">
        <f>+K31+K33+K57</f>
        <v>31122.93</v>
      </c>
      <c r="L59" s="59"/>
      <c r="M59" s="25"/>
    </row>
    <row r="60" spans="2:13" ht="12.75">
      <c r="B60" s="21"/>
      <c r="C60" s="121"/>
      <c r="D60" s="57"/>
      <c r="E60" s="57"/>
      <c r="F60" s="56"/>
      <c r="G60" s="57"/>
      <c r="H60" s="120"/>
      <c r="I60" s="120"/>
      <c r="J60" s="120"/>
      <c r="K60" s="120"/>
      <c r="L60" s="59"/>
      <c r="M60" s="25"/>
    </row>
    <row r="61" spans="2:13" ht="12.75">
      <c r="B61" s="21"/>
      <c r="C61" s="118" t="s">
        <v>123</v>
      </c>
      <c r="D61" s="61" t="s">
        <v>16</v>
      </c>
      <c r="E61" s="61"/>
      <c r="F61" s="56"/>
      <c r="G61" s="57"/>
      <c r="H61" s="119"/>
      <c r="I61" s="119"/>
      <c r="J61" s="119"/>
      <c r="K61" s="119"/>
      <c r="L61" s="59"/>
      <c r="M61" s="25"/>
    </row>
    <row r="62" spans="2:13" ht="12.75">
      <c r="B62" s="21"/>
      <c r="C62" s="121"/>
      <c r="D62" s="57" t="s">
        <v>195</v>
      </c>
      <c r="E62" s="61"/>
      <c r="F62" s="85" t="s">
        <v>102</v>
      </c>
      <c r="G62" s="67"/>
      <c r="H62" s="142">
        <f>IF($F62="ja",IF(Leerlinggegevens!D26=0,0,tabellen!$G126),0)</f>
        <v>0</v>
      </c>
      <c r="I62" s="142">
        <f>IF($F62="ja",IF(Leerlinggegevens!D44=0,0,tabellen!$G126),0)</f>
        <v>0</v>
      </c>
      <c r="J62" s="142">
        <f>IF($F62="ja",IF(Leerlinggegevens!D62=0,0,tabellen!$G126),0)</f>
        <v>0</v>
      </c>
      <c r="K62" s="142">
        <f>IF($F62="ja",IF(Leerlinggegevens!D80=0,0,tabellen!$G126),0)</f>
        <v>0</v>
      </c>
      <c r="L62" s="59"/>
      <c r="M62" s="25"/>
    </row>
    <row r="63" spans="2:13" ht="12.75">
      <c r="B63" s="21"/>
      <c r="C63" s="121"/>
      <c r="D63" s="57" t="s">
        <v>196</v>
      </c>
      <c r="E63" s="61"/>
      <c r="F63" s="85" t="s">
        <v>102</v>
      </c>
      <c r="G63" s="67"/>
      <c r="H63" s="142">
        <f>IF($F63="ja",IF(Leerlinggegevens!D26=0,0,VLOOKUP(Leerlinggegevens!$E26,schoolbaden,4,FALSE)),0)</f>
        <v>0</v>
      </c>
      <c r="I63" s="142">
        <f>IF($F63="ja",IF(Leerlinggegevens!D44=0,0,VLOOKUP(Leerlinggegevens!$E44,schoolbaden,4,FALSE)),0)</f>
        <v>0</v>
      </c>
      <c r="J63" s="142">
        <f>IF($F63="ja",IF(Leerlinggegevens!D62=0,0,VLOOKUP(Leerlinggegevens!$E62,schoolbaden,4,FALSE)),0)</f>
        <v>0</v>
      </c>
      <c r="K63" s="142">
        <f>IF($F63="ja",IF(Leerlinggegevens!D80=0,0,VLOOKUP(Leerlinggegevens!$E80,schoolbaden,4,FALSE)),0)</f>
        <v>0</v>
      </c>
      <c r="L63" s="59"/>
      <c r="M63" s="25"/>
    </row>
    <row r="64" spans="2:13" ht="12.75">
      <c r="B64" s="21"/>
      <c r="C64" s="121"/>
      <c r="D64" s="57" t="s">
        <v>203</v>
      </c>
      <c r="E64" s="61"/>
      <c r="F64" s="85">
        <v>0</v>
      </c>
      <c r="G64" s="67"/>
      <c r="H64" s="142">
        <f>IF($F64&lt;1,0,IF(Leerlinggegevens!D26=0,0,VLOOKUP(Leerlinggegevens!$E26,schoolbaden,5,FALSE))*$F$64)</f>
        <v>0</v>
      </c>
      <c r="I64" s="142">
        <f>IF($F64&lt;1,0,IF(Leerlinggegevens!D44=0,0,VLOOKUP(Leerlinggegevens!$E44,schoolbaden,5,FALSE))*$F$64)</f>
        <v>0</v>
      </c>
      <c r="J64" s="142">
        <f>IF($F64&lt;1,0,IF(Leerlinggegevens!D62=0,0,VLOOKUP(Leerlinggegevens!$E62,schoolbaden,5,FALSE))*$F$64)</f>
        <v>0</v>
      </c>
      <c r="K64" s="142">
        <f>IF($F64&lt;1,0,IF(Leerlinggegevens!D80=0,0,VLOOKUP(Leerlinggegevens!$E80,schoolbaden,5,FALSE))*$F$64)</f>
        <v>0</v>
      </c>
      <c r="L64" s="59"/>
      <c r="M64" s="25"/>
    </row>
    <row r="65" spans="2:13" ht="12.75">
      <c r="B65" s="21"/>
      <c r="C65" s="121"/>
      <c r="D65" s="57" t="s">
        <v>204</v>
      </c>
      <c r="E65" s="61"/>
      <c r="F65" s="85" t="s">
        <v>102</v>
      </c>
      <c r="G65" s="67"/>
      <c r="H65" s="142">
        <f>IF($F65="ja",tabellen!$G$125+(tabellen!$H$125*$F$64),0)</f>
        <v>0</v>
      </c>
      <c r="I65" s="142">
        <f>IF($F65="ja",tabellen!$G$125+(tabellen!$H$125*$F$64),0)</f>
        <v>0</v>
      </c>
      <c r="J65" s="142">
        <f>IF($F65="ja",tabellen!$G$125+(tabellen!$H$125*$F$64),0)</f>
        <v>0</v>
      </c>
      <c r="K65" s="142">
        <f>IF($F65="ja",tabellen!$G$125+(tabellen!$H$125*$F$64),0)</f>
        <v>0</v>
      </c>
      <c r="L65" s="59"/>
      <c r="M65" s="25"/>
    </row>
    <row r="66" spans="2:13" ht="12.75">
      <c r="B66" s="21"/>
      <c r="C66" s="118"/>
      <c r="D66" s="133" t="s">
        <v>37</v>
      </c>
      <c r="E66" s="92"/>
      <c r="F66" s="92"/>
      <c r="G66" s="92"/>
      <c r="H66" s="150">
        <f>SUM(H62:H65)</f>
        <v>0</v>
      </c>
      <c r="I66" s="150">
        <f>SUM(I62:I65)</f>
        <v>0</v>
      </c>
      <c r="J66" s="150">
        <f>SUM(J62:J65)</f>
        <v>0</v>
      </c>
      <c r="K66" s="150">
        <f>SUM(K62:K65)</f>
        <v>0</v>
      </c>
      <c r="L66" s="59"/>
      <c r="M66" s="25"/>
    </row>
    <row r="67" spans="2:13" ht="12.75">
      <c r="B67" s="21"/>
      <c r="C67" s="118"/>
      <c r="D67" s="61"/>
      <c r="E67" s="61"/>
      <c r="F67" s="56"/>
      <c r="G67" s="57"/>
      <c r="H67" s="120"/>
      <c r="I67" s="120"/>
      <c r="J67" s="120"/>
      <c r="K67" s="120"/>
      <c r="L67" s="59"/>
      <c r="M67" s="25"/>
    </row>
    <row r="68" spans="2:13" ht="12.75">
      <c r="B68" s="21"/>
      <c r="C68" s="118" t="s">
        <v>124</v>
      </c>
      <c r="D68" s="61" t="s">
        <v>71</v>
      </c>
      <c r="E68" s="61"/>
      <c r="F68" s="56"/>
      <c r="G68" s="57"/>
      <c r="H68" s="120"/>
      <c r="I68" s="120"/>
      <c r="J68" s="120"/>
      <c r="K68" s="120"/>
      <c r="L68" s="59"/>
      <c r="M68" s="25"/>
    </row>
    <row r="69" spans="2:13" ht="12.75">
      <c r="B69" s="21"/>
      <c r="C69" s="121"/>
      <c r="D69" s="57" t="s">
        <v>197</v>
      </c>
      <c r="E69" s="61"/>
      <c r="F69" s="151">
        <f>+tabellen!G130</f>
        <v>1003.72</v>
      </c>
      <c r="G69" s="132"/>
      <c r="H69" s="120"/>
      <c r="I69" s="120"/>
      <c r="J69" s="120"/>
      <c r="K69" s="120"/>
      <c r="L69" s="59"/>
      <c r="M69" s="25"/>
    </row>
    <row r="70" spans="2:13" ht="12.75">
      <c r="B70" s="21"/>
      <c r="C70" s="121"/>
      <c r="D70" s="57" t="s">
        <v>125</v>
      </c>
      <c r="E70" s="61"/>
      <c r="F70" s="85">
        <v>0</v>
      </c>
      <c r="G70" s="67"/>
      <c r="H70" s="142">
        <f>+F70*$F69</f>
        <v>0</v>
      </c>
      <c r="I70" s="142">
        <f>+H70</f>
        <v>0</v>
      </c>
      <c r="J70" s="142">
        <f>+I70</f>
        <v>0</v>
      </c>
      <c r="K70" s="142">
        <f>+J70</f>
        <v>0</v>
      </c>
      <c r="L70" s="59"/>
      <c r="M70" s="25"/>
    </row>
    <row r="71" spans="2:13" ht="12.75">
      <c r="B71" s="21"/>
      <c r="C71" s="118"/>
      <c r="D71" s="57" t="s">
        <v>198</v>
      </c>
      <c r="E71" s="61"/>
      <c r="F71" s="56"/>
      <c r="G71" s="57"/>
      <c r="H71" s="120"/>
      <c r="I71" s="120"/>
      <c r="J71" s="120"/>
      <c r="K71" s="120"/>
      <c r="L71" s="59"/>
      <c r="M71" s="25"/>
    </row>
    <row r="72" spans="2:13" ht="12.75">
      <c r="B72" s="21"/>
      <c r="C72" s="121"/>
      <c r="D72" s="57" t="s">
        <v>199</v>
      </c>
      <c r="E72" s="61"/>
      <c r="F72" s="85">
        <v>0</v>
      </c>
      <c r="G72" s="67"/>
      <c r="H72" s="142">
        <f>+$F72*tabellen!$G135</f>
        <v>0</v>
      </c>
      <c r="I72" s="142">
        <f>+$F72*tabellen!$G135</f>
        <v>0</v>
      </c>
      <c r="J72" s="142">
        <f>+$F72*tabellen!$G135</f>
        <v>0</v>
      </c>
      <c r="K72" s="142">
        <f>+$F72*tabellen!$G135</f>
        <v>0</v>
      </c>
      <c r="L72" s="59"/>
      <c r="M72" s="25"/>
    </row>
    <row r="73" spans="2:13" s="107" customFormat="1" ht="12.75">
      <c r="B73" s="90"/>
      <c r="C73" s="130"/>
      <c r="D73" s="57"/>
      <c r="E73" s="57"/>
      <c r="F73" s="57"/>
      <c r="G73" s="57"/>
      <c r="H73" s="57"/>
      <c r="I73" s="57"/>
      <c r="J73" s="57"/>
      <c r="K73" s="57"/>
      <c r="L73" s="93"/>
      <c r="M73" s="94"/>
    </row>
    <row r="74" spans="2:13" ht="12.75">
      <c r="B74" s="21"/>
      <c r="C74" s="118" t="s">
        <v>141</v>
      </c>
      <c r="D74" s="61" t="s">
        <v>166</v>
      </c>
      <c r="E74" s="61"/>
      <c r="F74" s="56"/>
      <c r="G74" s="57"/>
      <c r="H74" s="149">
        <v>0</v>
      </c>
      <c r="I74" s="149">
        <v>0</v>
      </c>
      <c r="J74" s="149">
        <v>0</v>
      </c>
      <c r="K74" s="149">
        <v>0</v>
      </c>
      <c r="L74" s="59"/>
      <c r="M74" s="25"/>
    </row>
    <row r="75" spans="2:13" ht="12.75">
      <c r="B75" s="21"/>
      <c r="C75" s="121"/>
      <c r="D75" s="57" t="s">
        <v>167</v>
      </c>
      <c r="E75" s="61"/>
      <c r="F75" s="56"/>
      <c r="G75" s="57"/>
      <c r="H75" s="149">
        <v>0</v>
      </c>
      <c r="I75" s="149">
        <v>0</v>
      </c>
      <c r="J75" s="149">
        <v>0</v>
      </c>
      <c r="K75" s="149">
        <v>0</v>
      </c>
      <c r="L75" s="59"/>
      <c r="M75" s="25"/>
    </row>
    <row r="76" spans="2:13" s="107" customFormat="1" ht="12.75">
      <c r="B76" s="90"/>
      <c r="C76" s="130"/>
      <c r="D76" s="133" t="s">
        <v>37</v>
      </c>
      <c r="E76" s="92"/>
      <c r="F76" s="92"/>
      <c r="G76" s="92"/>
      <c r="H76" s="150">
        <f>SUM(H74:H75)</f>
        <v>0</v>
      </c>
      <c r="I76" s="150">
        <f>SUM(I74:I75)</f>
        <v>0</v>
      </c>
      <c r="J76" s="150">
        <f>SUM(J74:J75)</f>
        <v>0</v>
      </c>
      <c r="K76" s="150">
        <f>SUM(K74:K75)</f>
        <v>0</v>
      </c>
      <c r="L76" s="93"/>
      <c r="M76" s="94"/>
    </row>
    <row r="77" spans="2:13" ht="12.75">
      <c r="B77" s="21"/>
      <c r="C77" s="121"/>
      <c r="D77" s="57"/>
      <c r="E77" s="57"/>
      <c r="F77" s="56"/>
      <c r="G77" s="57"/>
      <c r="H77" s="120"/>
      <c r="I77" s="120"/>
      <c r="J77" s="120"/>
      <c r="K77" s="120"/>
      <c r="L77" s="59"/>
      <c r="M77" s="25"/>
    </row>
    <row r="78" spans="2:13" ht="12.75">
      <c r="B78" s="21"/>
      <c r="C78" s="118" t="s">
        <v>142</v>
      </c>
      <c r="D78" s="61" t="s">
        <v>149</v>
      </c>
      <c r="E78" s="61"/>
      <c r="F78" s="56"/>
      <c r="G78" s="57"/>
      <c r="H78" s="119"/>
      <c r="I78" s="119"/>
      <c r="J78" s="119"/>
      <c r="K78" s="119"/>
      <c r="L78" s="59"/>
      <c r="M78" s="25"/>
    </row>
    <row r="79" spans="2:13" ht="12.75">
      <c r="B79" s="21"/>
      <c r="C79" s="121"/>
      <c r="D79" s="57" t="s">
        <v>145</v>
      </c>
      <c r="E79" s="61"/>
      <c r="F79" s="85">
        <v>0</v>
      </c>
      <c r="G79" s="67"/>
      <c r="H79" s="142">
        <f>IF(Leerlinggegevens!K26=0,0,F79*VLOOKUP(I14,TAB,2,FALSE))</f>
        <v>0</v>
      </c>
      <c r="I79" s="142">
        <f>IF(Leerlinggegevens!$K$44=0,0,+H79)</f>
        <v>0</v>
      </c>
      <c r="J79" s="142">
        <f>IF(Leerlinggegevens!$K$62=0,0,+I79)</f>
        <v>0</v>
      </c>
      <c r="K79" s="142">
        <f>IF(Leerlinggegevens!$K$80=0,0,+J79)</f>
        <v>0</v>
      </c>
      <c r="L79" s="59"/>
      <c r="M79" s="25"/>
    </row>
    <row r="80" spans="2:13" ht="12.75">
      <c r="B80" s="21"/>
      <c r="C80" s="121"/>
      <c r="D80" s="57" t="s">
        <v>146</v>
      </c>
      <c r="E80" s="61"/>
      <c r="F80" s="85">
        <v>0</v>
      </c>
      <c r="G80" s="67"/>
      <c r="H80" s="142">
        <f>IF(Leerlinggegevens!K26=0,0,F80*VLOOKUP(I14,TAB,3,FALSE))</f>
        <v>0</v>
      </c>
      <c r="I80" s="142">
        <f>IF(Leerlinggegevens!$K$44=0,0,+H80)</f>
        <v>0</v>
      </c>
      <c r="J80" s="142">
        <f>IF(Leerlinggegevens!$K$62=0,0,+I80)</f>
        <v>0</v>
      </c>
      <c r="K80" s="142">
        <f>IF(Leerlinggegevens!$K$80=0,0,+J80)</f>
        <v>0</v>
      </c>
      <c r="L80" s="59"/>
      <c r="M80" s="25"/>
    </row>
    <row r="81" spans="2:13" s="107" customFormat="1" ht="12.75">
      <c r="B81" s="90"/>
      <c r="C81" s="130"/>
      <c r="D81" s="92" t="s">
        <v>37</v>
      </c>
      <c r="E81" s="92"/>
      <c r="F81" s="91"/>
      <c r="G81" s="92"/>
      <c r="H81" s="150">
        <f>SUM(H79:H80)</f>
        <v>0</v>
      </c>
      <c r="I81" s="150">
        <f>SUM(I79:I80)</f>
        <v>0</v>
      </c>
      <c r="J81" s="150">
        <f>SUM(J79:J80)</f>
        <v>0</v>
      </c>
      <c r="K81" s="150">
        <f>SUM(K79:K80)</f>
        <v>0</v>
      </c>
      <c r="L81" s="93"/>
      <c r="M81" s="94"/>
    </row>
    <row r="82" spans="2:13" ht="12.75">
      <c r="B82" s="21"/>
      <c r="C82" s="121"/>
      <c r="D82" s="57"/>
      <c r="E82" s="57"/>
      <c r="F82" s="56"/>
      <c r="G82" s="57"/>
      <c r="H82" s="120"/>
      <c r="I82" s="120"/>
      <c r="J82" s="120"/>
      <c r="K82" s="120"/>
      <c r="L82" s="59"/>
      <c r="M82" s="25"/>
    </row>
    <row r="83" spans="2:13" ht="12.75">
      <c r="B83" s="21"/>
      <c r="C83" s="121"/>
      <c r="D83" s="61" t="s">
        <v>150</v>
      </c>
      <c r="E83" s="61"/>
      <c r="F83" s="56"/>
      <c r="G83" s="57"/>
      <c r="H83" s="120"/>
      <c r="I83" s="120"/>
      <c r="J83" s="120"/>
      <c r="K83" s="120"/>
      <c r="L83" s="59"/>
      <c r="M83" s="25"/>
    </row>
    <row r="84" spans="2:13" ht="12.75">
      <c r="B84" s="21"/>
      <c r="C84" s="121"/>
      <c r="D84" s="57" t="s">
        <v>145</v>
      </c>
      <c r="E84" s="61"/>
      <c r="F84" s="85">
        <v>0</v>
      </c>
      <c r="G84" s="67"/>
      <c r="H84" s="142">
        <f>IF(Leerlinggegevens!K26=0,0,F84*(VLOOKUP(I14,_LGF1,2,FALSE)*7/12+VLOOKUP(I14,_LGF2,2,FALSE)*5/12))</f>
        <v>0</v>
      </c>
      <c r="I84" s="142">
        <f>IF(Leerlinggegevens!$K$44=0,0,+H84)</f>
        <v>0</v>
      </c>
      <c r="J84" s="142">
        <f>IF(Leerlinggegevens!$K$62=0,0,+I84)</f>
        <v>0</v>
      </c>
      <c r="K84" s="142">
        <f>IF(Leerlinggegevens!$K$80=0,0,+J84)</f>
        <v>0</v>
      </c>
      <c r="L84" s="59"/>
      <c r="M84" s="25"/>
    </row>
    <row r="85" spans="2:13" ht="12.75">
      <c r="B85" s="21"/>
      <c r="C85" s="121"/>
      <c r="D85" s="57" t="s">
        <v>251</v>
      </c>
      <c r="E85" s="61"/>
      <c r="F85" s="85">
        <v>0</v>
      </c>
      <c r="G85" s="67"/>
      <c r="H85" s="142">
        <f>IF(Leerlinggegevens!K26=0,0,F85*(VLOOKUP(I14,_LGF1,3,FALSE)*7/12+VLOOKUP(I14,_LGF2,3,FALSE)*5/12))</f>
        <v>0</v>
      </c>
      <c r="I85" s="142">
        <f>IF(Leerlinggegevens!$K$44=0,0,+H85)</f>
        <v>0</v>
      </c>
      <c r="J85" s="142">
        <f>IF(Leerlinggegevens!$K$62=0,0,+I85)</f>
        <v>0</v>
      </c>
      <c r="K85" s="142">
        <f>IF(Leerlinggegevens!$K$80=0,0,+J85)</f>
        <v>0</v>
      </c>
      <c r="L85" s="59"/>
      <c r="M85" s="25"/>
    </row>
    <row r="86" spans="2:13" ht="12.75">
      <c r="B86" s="21"/>
      <c r="C86" s="121"/>
      <c r="D86" s="57" t="s">
        <v>252</v>
      </c>
      <c r="E86" s="61"/>
      <c r="F86" s="85">
        <v>0</v>
      </c>
      <c r="G86" s="67"/>
      <c r="H86" s="142">
        <f>IF(Leerlinggegevens!K$26=0,0,F86*VLOOKUP(I14,_LGF3,2,FALSE))</f>
        <v>0</v>
      </c>
      <c r="I86" s="142">
        <f>IF(Leerlinggegevens!$K$44=0,0,+H86)</f>
        <v>0</v>
      </c>
      <c r="J86" s="142">
        <f>IF(Leerlinggegevens!$K$62=0,0,+I86)</f>
        <v>0</v>
      </c>
      <c r="K86" s="142">
        <f>IF(Leerlinggegevens!$K$80=0,0,+J86)</f>
        <v>0</v>
      </c>
      <c r="L86" s="59"/>
      <c r="M86" s="25"/>
    </row>
    <row r="87" spans="2:13" ht="12.75">
      <c r="B87" s="21"/>
      <c r="C87" s="121"/>
      <c r="D87" s="57" t="s">
        <v>253</v>
      </c>
      <c r="E87" s="61"/>
      <c r="F87" s="85">
        <v>0</v>
      </c>
      <c r="G87" s="67"/>
      <c r="H87" s="142">
        <f>IF(Leerlinggegevens!K$26=0,0,F87*VLOOKUP(I14,_LGF3,3,FALSE))</f>
        <v>0</v>
      </c>
      <c r="I87" s="142">
        <f>IF(Leerlinggegevens!$K$44=0,0,+H87)</f>
        <v>0</v>
      </c>
      <c r="J87" s="142">
        <f>IF(Leerlinggegevens!$K$62=0,0,+I87)</f>
        <v>0</v>
      </c>
      <c r="K87" s="142">
        <f>IF(Leerlinggegevens!$K$80=0,0,+J87)</f>
        <v>0</v>
      </c>
      <c r="L87" s="59"/>
      <c r="M87" s="25"/>
    </row>
    <row r="88" spans="2:13" s="107" customFormat="1" ht="12.75">
      <c r="B88" s="90"/>
      <c r="C88" s="130"/>
      <c r="D88" s="92" t="s">
        <v>37</v>
      </c>
      <c r="E88" s="92"/>
      <c r="F88" s="91"/>
      <c r="G88" s="92"/>
      <c r="H88" s="150">
        <f>SUM(H84:H87)</f>
        <v>0</v>
      </c>
      <c r="I88" s="150">
        <f>SUM(I84:I87)</f>
        <v>0</v>
      </c>
      <c r="J88" s="150">
        <f>SUM(J84:J87)</f>
        <v>0</v>
      </c>
      <c r="K88" s="150">
        <f>SUM(K84:K87)</f>
        <v>0</v>
      </c>
      <c r="L88" s="93"/>
      <c r="M88" s="94"/>
    </row>
    <row r="89" spans="2:13" ht="12.75">
      <c r="B89" s="21"/>
      <c r="C89" s="121"/>
      <c r="D89" s="57"/>
      <c r="E89" s="57"/>
      <c r="F89" s="56"/>
      <c r="G89" s="57"/>
      <c r="H89" s="120"/>
      <c r="I89" s="120"/>
      <c r="J89" s="120"/>
      <c r="K89" s="120"/>
      <c r="L89" s="59"/>
      <c r="M89" s="25"/>
    </row>
    <row r="90" spans="2:13" ht="12.75">
      <c r="B90" s="21"/>
      <c r="C90" s="121"/>
      <c r="D90" s="57"/>
      <c r="E90" s="57"/>
      <c r="F90" s="56"/>
      <c r="G90" s="57"/>
      <c r="H90" s="120"/>
      <c r="I90" s="120"/>
      <c r="J90" s="120"/>
      <c r="K90" s="120"/>
      <c r="L90" s="59"/>
      <c r="M90" s="25"/>
    </row>
    <row r="91" spans="2:13" ht="12.75">
      <c r="B91" s="21"/>
      <c r="C91" s="121"/>
      <c r="D91" s="61" t="s">
        <v>213</v>
      </c>
      <c r="E91" s="61"/>
      <c r="F91" s="56"/>
      <c r="G91" s="57"/>
      <c r="H91" s="144">
        <f>+H59+H66+H70+H72+H76+H81+H88</f>
        <v>31122.93</v>
      </c>
      <c r="I91" s="144">
        <f>+I59+I66+I70+I72+I76+I81+I88</f>
        <v>31122.93</v>
      </c>
      <c r="J91" s="144">
        <f>+J59+J66+J70+J72+J76+J81+J88</f>
        <v>31122.93</v>
      </c>
      <c r="K91" s="144">
        <f>+K59+K66+K70+K72+K76+K81+K88</f>
        <v>31122.93</v>
      </c>
      <c r="L91" s="59"/>
      <c r="M91" s="25"/>
    </row>
    <row r="92" spans="2:13" ht="12.75">
      <c r="B92" s="21"/>
      <c r="C92" s="126"/>
      <c r="D92" s="75"/>
      <c r="E92" s="75"/>
      <c r="F92" s="74"/>
      <c r="G92" s="75"/>
      <c r="H92" s="124"/>
      <c r="I92" s="124"/>
      <c r="J92" s="124"/>
      <c r="K92" s="124"/>
      <c r="L92" s="76"/>
      <c r="M92" s="25"/>
    </row>
    <row r="93" spans="2:13" ht="12.75">
      <c r="B93" s="21"/>
      <c r="C93" s="24"/>
      <c r="D93" s="22"/>
      <c r="E93" s="22"/>
      <c r="F93" s="24"/>
      <c r="G93" s="22"/>
      <c r="H93" s="111"/>
      <c r="I93" s="111"/>
      <c r="J93" s="111"/>
      <c r="K93" s="111"/>
      <c r="L93" s="22"/>
      <c r="M93" s="25"/>
    </row>
    <row r="94" spans="2:13" ht="12.75">
      <c r="B94" s="21"/>
      <c r="C94" s="24"/>
      <c r="D94" s="22"/>
      <c r="E94" s="22"/>
      <c r="F94" s="24"/>
      <c r="G94" s="22"/>
      <c r="H94" s="111"/>
      <c r="I94" s="111"/>
      <c r="J94" s="111"/>
      <c r="K94" s="111"/>
      <c r="L94" s="22"/>
      <c r="M94" s="25"/>
    </row>
    <row r="95" spans="2:13" ht="12.75">
      <c r="B95" s="96"/>
      <c r="C95" s="100"/>
      <c r="D95" s="97"/>
      <c r="E95" s="97"/>
      <c r="F95" s="100"/>
      <c r="G95" s="97"/>
      <c r="H95" s="128"/>
      <c r="I95" s="128"/>
      <c r="J95" s="128"/>
      <c r="K95" s="128"/>
      <c r="L95" s="237" t="s">
        <v>230</v>
      </c>
      <c r="M95" s="101"/>
    </row>
  </sheetData>
  <sheetProtection password="DFB1" sheet="1" objects="1" scenarios="1"/>
  <dataValidations count="2">
    <dataValidation type="list" allowBlank="1" showInputMessage="1" showErrorMessage="1" sqref="G62:G65 G33">
      <formula1>$Z$7:$Z$9</formula1>
    </dataValidation>
    <dataValidation type="list" allowBlank="1" showInputMessage="1" showErrorMessage="1" sqref="F62:F63 F65 F33">
      <formula1>"ja,nee"</formula1>
    </dataValidation>
  </dataValidations>
  <printOptions gridLines="1"/>
  <pageMargins left="0.75" right="0.75" top="1" bottom="1" header="0.5" footer="0.5"/>
  <pageSetup horizontalDpi="600" verticalDpi="600" orientation="portrait" paperSize="9" scale="59" r:id="rId2"/>
  <headerFooter alignWithMargins="0">
    <oddHeader>&amp;L&amp;"Arial,Vet"&amp;F&amp;R&amp;"Arial,Vet"&amp;A</oddHeader>
    <oddFooter>&amp;L&amp;"Arial,Vet"&amp;9goedhart / keizer&amp;C&amp;"Arial,Vet"&amp;9&amp;D&amp;R&amp;"Arial,Vet"&amp;9pagina &amp;P</oddFooter>
  </headerFooter>
  <colBreaks count="1" manualBreakCount="1">
    <brk id="19" max="65535" man="1"/>
  </colBreaks>
  <drawing r:id="rId1"/>
</worksheet>
</file>

<file path=xl/worksheets/sheet5.xml><?xml version="1.0" encoding="utf-8"?>
<worksheet xmlns="http://schemas.openxmlformats.org/spreadsheetml/2006/main" xmlns:r="http://schemas.openxmlformats.org/officeDocument/2006/relationships">
  <dimension ref="B2:M95"/>
  <sheetViews>
    <sheetView zoomScale="85" zoomScaleNormal="85" zoomScalePageLayoutView="0" workbookViewId="0" topLeftCell="A1">
      <selection activeCell="B2" sqref="B2"/>
    </sheetView>
  </sheetViews>
  <sheetFormatPr defaultColWidth="9.140625" defaultRowHeight="12.75"/>
  <cols>
    <col min="1" max="1" width="3.7109375" style="102" customWidth="1"/>
    <col min="2" max="2" width="2.7109375" style="102" customWidth="1"/>
    <col min="3" max="3" width="2.7109375" style="104" customWidth="1"/>
    <col min="4" max="4" width="45.7109375" style="102" customWidth="1"/>
    <col min="5" max="5" width="2.7109375" style="102" customWidth="1"/>
    <col min="6" max="6" width="10.7109375" style="104" customWidth="1"/>
    <col min="7" max="7" width="2.7109375" style="102" customWidth="1"/>
    <col min="8" max="8" width="14.8515625" style="105" customWidth="1"/>
    <col min="9" max="11" width="16.7109375" style="105" customWidth="1"/>
    <col min="12" max="13" width="2.7109375" style="102" customWidth="1"/>
    <col min="14" max="16384" width="9.140625" style="102" customWidth="1"/>
  </cols>
  <sheetData>
    <row r="2" spans="2:13" ht="12.75">
      <c r="B2" s="16"/>
      <c r="C2" s="19"/>
      <c r="D2" s="17"/>
      <c r="E2" s="17"/>
      <c r="F2" s="19"/>
      <c r="G2" s="17"/>
      <c r="H2" s="110"/>
      <c r="I2" s="110"/>
      <c r="J2" s="110"/>
      <c r="K2" s="110"/>
      <c r="L2" s="17"/>
      <c r="M2" s="20"/>
    </row>
    <row r="3" spans="2:13" ht="12.75">
      <c r="B3" s="21"/>
      <c r="C3" s="24"/>
      <c r="D3" s="22"/>
      <c r="E3" s="22"/>
      <c r="F3" s="24"/>
      <c r="G3" s="22"/>
      <c r="H3" s="111"/>
      <c r="I3" s="111"/>
      <c r="J3" s="111"/>
      <c r="K3" s="111"/>
      <c r="L3" s="22"/>
      <c r="M3" s="25"/>
    </row>
    <row r="4" spans="2:13" s="106" customFormat="1" ht="18.75">
      <c r="B4" s="26"/>
      <c r="C4" s="112" t="s">
        <v>194</v>
      </c>
      <c r="D4" s="30"/>
      <c r="E4" s="30"/>
      <c r="F4" s="29"/>
      <c r="G4" s="30"/>
      <c r="H4" s="113"/>
      <c r="I4" s="113"/>
      <c r="J4" s="113"/>
      <c r="K4" s="113"/>
      <c r="L4" s="30"/>
      <c r="M4" s="31"/>
    </row>
    <row r="5" spans="2:13" s="106" customFormat="1" ht="18.75">
      <c r="B5" s="26"/>
      <c r="C5" s="114" t="str">
        <f>Leerlinggegevens!C5</f>
        <v>De Specialeschool</v>
      </c>
      <c r="D5" s="30"/>
      <c r="E5" s="30"/>
      <c r="F5" s="29"/>
      <c r="G5" s="30"/>
      <c r="H5" s="113"/>
      <c r="I5" s="113"/>
      <c r="J5" s="113"/>
      <c r="K5" s="113"/>
      <c r="L5" s="30"/>
      <c r="M5" s="31"/>
    </row>
    <row r="6" spans="2:13" ht="12.75">
      <c r="B6" s="21"/>
      <c r="C6" s="24"/>
      <c r="D6" s="22"/>
      <c r="E6" s="22"/>
      <c r="F6" s="24"/>
      <c r="G6" s="22"/>
      <c r="H6" s="111"/>
      <c r="I6" s="111"/>
      <c r="J6" s="111"/>
      <c r="K6" s="111"/>
      <c r="L6" s="22"/>
      <c r="M6" s="25"/>
    </row>
    <row r="7" spans="2:13" ht="12.75">
      <c r="B7" s="21"/>
      <c r="C7" s="82"/>
      <c r="D7" s="80"/>
      <c r="E7" s="80"/>
      <c r="F7" s="82"/>
      <c r="G7" s="80"/>
      <c r="H7" s="135"/>
      <c r="I7" s="135"/>
      <c r="J7" s="135"/>
      <c r="K7" s="135"/>
      <c r="L7" s="80"/>
      <c r="M7" s="25"/>
    </row>
    <row r="8" spans="2:13" ht="12.75">
      <c r="B8" s="21"/>
      <c r="C8" s="82"/>
      <c r="D8" s="136"/>
      <c r="E8" s="136"/>
      <c r="F8" s="137" t="s">
        <v>200</v>
      </c>
      <c r="G8" s="80"/>
      <c r="H8" s="138">
        <f>VLOOKUP(tabellen!$B$2,schooljaren,1,FALSE)</f>
        <v>2011</v>
      </c>
      <c r="I8" s="138">
        <f>VLOOKUP(tabellen!$B$2+1,schooljaren,1,FALSE)</f>
        <v>2012</v>
      </c>
      <c r="J8" s="138">
        <f>VLOOKUP(tabellen!$B$2+2,schooljaren,1,FALSE)</f>
        <v>2013</v>
      </c>
      <c r="K8" s="138">
        <f>VLOOKUP(tabellen!$B$2+3,schooljaren,1,FALSE)</f>
        <v>2014</v>
      </c>
      <c r="L8" s="80"/>
      <c r="M8" s="25"/>
    </row>
    <row r="9" spans="2:13" ht="12.75" customHeight="1">
      <c r="B9" s="21"/>
      <c r="C9" s="82"/>
      <c r="D9" s="80"/>
      <c r="E9" s="80"/>
      <c r="F9" s="139" t="s">
        <v>201</v>
      </c>
      <c r="G9" s="139"/>
      <c r="H9" s="140">
        <f>Leerlinggegevens!AD37</f>
        <v>40452</v>
      </c>
      <c r="I9" s="140">
        <f>+Leerlinggegevens!AD55</f>
        <v>40817</v>
      </c>
      <c r="J9" s="140">
        <f>+Leerlinggegevens!AD73</f>
        <v>41183</v>
      </c>
      <c r="K9" s="140">
        <f>+Leerlinggegevens!AD91</f>
        <v>41548</v>
      </c>
      <c r="L9" s="80"/>
      <c r="M9" s="25"/>
    </row>
    <row r="10" spans="2:13" ht="12.75">
      <c r="B10" s="21"/>
      <c r="C10" s="82"/>
      <c r="D10" s="80"/>
      <c r="E10" s="136"/>
      <c r="F10" s="82"/>
      <c r="G10" s="80"/>
      <c r="H10" s="135"/>
      <c r="I10" s="135"/>
      <c r="J10" s="135"/>
      <c r="K10" s="135"/>
      <c r="L10" s="80"/>
      <c r="M10" s="25"/>
    </row>
    <row r="11" spans="2:13" ht="12.75">
      <c r="B11" s="21"/>
      <c r="C11" s="125"/>
      <c r="D11" s="52"/>
      <c r="E11" s="129"/>
      <c r="F11" s="51"/>
      <c r="G11" s="52"/>
      <c r="H11" s="117"/>
      <c r="I11" s="117"/>
      <c r="J11" s="117"/>
      <c r="K11" s="117"/>
      <c r="L11" s="53"/>
      <c r="M11" s="25"/>
    </row>
    <row r="12" spans="2:13" s="108" customFormat="1" ht="12.75">
      <c r="B12" s="115"/>
      <c r="C12" s="116"/>
      <c r="D12" s="154" t="s">
        <v>210</v>
      </c>
      <c r="E12" s="129"/>
      <c r="F12" s="88"/>
      <c r="G12" s="129"/>
      <c r="H12" s="155"/>
      <c r="I12" s="155"/>
      <c r="J12" s="155"/>
      <c r="K12" s="155"/>
      <c r="L12" s="156"/>
      <c r="M12" s="40"/>
    </row>
    <row r="13" spans="2:13" ht="12.75">
      <c r="B13" s="21"/>
      <c r="C13" s="125"/>
      <c r="D13" s="52"/>
      <c r="E13" s="129"/>
      <c r="F13" s="51"/>
      <c r="G13" s="52"/>
      <c r="H13" s="117"/>
      <c r="I13" s="117"/>
      <c r="J13" s="117"/>
      <c r="K13" s="117"/>
      <c r="L13" s="53"/>
      <c r="M13" s="25"/>
    </row>
    <row r="14" spans="2:13" ht="12.75">
      <c r="B14" s="21"/>
      <c r="C14" s="121"/>
      <c r="D14" s="61" t="s">
        <v>188</v>
      </c>
      <c r="E14" s="61"/>
      <c r="F14" s="56"/>
      <c r="G14" s="57"/>
      <c r="H14" s="141">
        <f>+Leerlinggegevens!D27</f>
        <v>0</v>
      </c>
      <c r="I14" s="141">
        <f>+Leerlinggegevens!E27</f>
        <v>0</v>
      </c>
      <c r="J14" s="120"/>
      <c r="K14" s="120"/>
      <c r="L14" s="59"/>
      <c r="M14" s="25"/>
    </row>
    <row r="15" spans="2:13" ht="12.75">
      <c r="B15" s="21"/>
      <c r="C15" s="121"/>
      <c r="D15" s="61"/>
      <c r="E15" s="61"/>
      <c r="F15" s="56"/>
      <c r="G15" s="57"/>
      <c r="H15" s="120"/>
      <c r="I15" s="120"/>
      <c r="J15" s="120"/>
      <c r="K15" s="120"/>
      <c r="L15" s="59"/>
      <c r="M15" s="25"/>
    </row>
    <row r="16" spans="2:13" ht="12.75">
      <c r="B16" s="21"/>
      <c r="C16" s="118" t="s">
        <v>121</v>
      </c>
      <c r="D16" s="61" t="s">
        <v>41</v>
      </c>
      <c r="E16" s="61"/>
      <c r="F16" s="56"/>
      <c r="G16" s="57"/>
      <c r="H16" s="120"/>
      <c r="I16" s="120"/>
      <c r="J16" s="120"/>
      <c r="K16" s="120"/>
      <c r="L16" s="59"/>
      <c r="M16" s="25"/>
    </row>
    <row r="17" spans="2:13" ht="12.75">
      <c r="B17" s="21"/>
      <c r="C17" s="118"/>
      <c r="D17" s="92" t="s">
        <v>77</v>
      </c>
      <c r="E17" s="57"/>
      <c r="F17" s="56"/>
      <c r="G17" s="57"/>
      <c r="H17" s="119"/>
      <c r="I17" s="119"/>
      <c r="J17" s="119"/>
      <c r="K17" s="119"/>
      <c r="L17" s="59"/>
      <c r="M17" s="25"/>
    </row>
    <row r="18" spans="2:13" ht="12.75">
      <c r="B18" s="21"/>
      <c r="C18" s="121"/>
      <c r="D18" s="57" t="s">
        <v>82</v>
      </c>
      <c r="E18" s="57"/>
      <c r="F18" s="56"/>
      <c r="G18" s="57"/>
      <c r="H18" s="142">
        <f>IF(Leerlinggegevens!K27=0,0,IF(Leerlinggegevens!AF27=0,0,IF(Leerlinggegevens!D27=0,0,VLOOKUP(Leerlinggegevens!E27,PvE_SO,3,FALSE)*(IF(Leerlinggegevens!D27="SO",VLOOKUP(Leerlinggegevens!E27,oppervlak,3,FALSE),VLOOKUP(Leerlinggegevens!E27,oppervlak,5,FALSE))+IF(Leerlinggegevens!D27="SO",VLOOKUP(Leerlinggegevens!E27,oppervlak,4,FALSE),VLOOKUP(Leerlinggegevens!E27,oppervlak,6,FALSE))*IF((Leerlinggegevens!K36-Leerlinggegevens!K29)&gt;Leerlinggegevens!I14/2,Leerlinggegevens!AF34,Leerlinggegevens!AF27)))))</f>
        <v>0</v>
      </c>
      <c r="I18" s="142">
        <f>IF(Leerlinggegevens!K45=0,0,IF(Leerlinggegevens!AF45=0,0,IF(Leerlinggegevens!D45=0,0,VLOOKUP(Leerlinggegevens!E45,PvE_SO,3,FALSE)*(IF(Leerlinggegevens!D45="SO",VLOOKUP(Leerlinggegevens!E45,oppervlak,3,FALSE),VLOOKUP(Leerlinggegevens!E45,oppervlak,5,FALSE))+IF(Leerlinggegevens!D45="SO",VLOOKUP(Leerlinggegevens!E45,oppervlak,4,FALSE),VLOOKUP(Leerlinggegevens!E45,oppervlak,6,FALSE))*IF((Leerlinggegevens!K54-Leerlinggegevens!K47)&gt;Leerlinggegevens!I14/2,Leerlinggegevens!AF52,Leerlinggegevens!AF45)))))</f>
        <v>0</v>
      </c>
      <c r="J18" s="142">
        <f>IF(Leerlinggegevens!K63=0,0,IF(Leerlinggegevens!AF63=0,0,IF(Leerlinggegevens!D63=0,0,VLOOKUP(Leerlinggegevens!E63,PvE_SO,3,FALSE)*(IF(Leerlinggegevens!D63="SO",VLOOKUP(Leerlinggegevens!E63,oppervlak,3,FALSE),VLOOKUP(Leerlinggegevens!E63,oppervlak,5,FALSE))+IF(Leerlinggegevens!D63="SO",VLOOKUP(Leerlinggegevens!E63,oppervlak,4,FALSE),VLOOKUP(Leerlinggegevens!E63,oppervlak,6,FALSE))*IF((Leerlinggegevens!K72-Leerlinggegevens!K65)&gt;Leerlinggegevens!I14/2,Leerlinggegevens!AF70,Leerlinggegevens!AF63)))))</f>
        <v>0</v>
      </c>
      <c r="K18" s="142">
        <f>IF(Leerlinggegevens!K81=0,0,IF(Leerlinggegevens!AF81=0,0,IF(Leerlinggegevens!D81=0,0,VLOOKUP(Leerlinggegevens!E81,PvE_SO,3,FALSE)*(IF(Leerlinggegevens!D81="SO",VLOOKUP(Leerlinggegevens!E81,oppervlak,3,FALSE),VLOOKUP(Leerlinggegevens!E81,oppervlak,5,FALSE))+IF(Leerlinggegevens!D81="SO",VLOOKUP(Leerlinggegevens!E81,oppervlak,4,FALSE),VLOOKUP(Leerlinggegevens!E81,oppervlak,6,FALSE))*IF((Leerlinggegevens!K90-Leerlinggegevens!K83)&gt;Leerlinggegevens!I14/2,Leerlinggegevens!AF88,Leerlinggegevens!AF81)))))</f>
        <v>0</v>
      </c>
      <c r="L18" s="59"/>
      <c r="M18" s="25"/>
    </row>
    <row r="19" spans="2:13" ht="12.75">
      <c r="B19" s="21"/>
      <c r="C19" s="121"/>
      <c r="D19" s="57" t="s">
        <v>83</v>
      </c>
      <c r="E19" s="57"/>
      <c r="F19" s="56"/>
      <c r="G19" s="57"/>
      <c r="H19" s="142">
        <v>0</v>
      </c>
      <c r="I19" s="142">
        <v>0</v>
      </c>
      <c r="J19" s="142">
        <v>0</v>
      </c>
      <c r="K19" s="142">
        <v>0</v>
      </c>
      <c r="L19" s="59"/>
      <c r="M19" s="25"/>
    </row>
    <row r="20" spans="2:13" ht="12.75">
      <c r="B20" s="21"/>
      <c r="C20" s="121"/>
      <c r="D20" s="57" t="s">
        <v>84</v>
      </c>
      <c r="E20" s="57"/>
      <c r="F20" s="56"/>
      <c r="G20" s="57"/>
      <c r="H20" s="142">
        <f>IF(Leerlinggegevens!K27=0,0,IF(Leerlinggegevens!AF27=0,0,IF(Leerlinggegevens!D27=0,0,VLOOKUP(Leerlinggegevens!E27,PvE_SO,6,FALSE)*(IF(Leerlinggegevens!D27="SO",VLOOKUP(Leerlinggegevens!E27,oppervlak,3,FALSE),VLOOKUP(Leerlinggegevens!E27,oppervlak,5,FALSE))+IF(Leerlinggegevens!D27="SO",VLOOKUP(Leerlinggegevens!E27,oppervlak,4,FALSE),VLOOKUP(Leerlinggegevens!E27,oppervlak,6,FALSE))*IF((Leerlinggegevens!K36-Leerlinggegevens!K29)&gt;Leerlinggegevens!I14/2,Leerlinggegevens!AF34,Leerlinggegevens!AF27)))))</f>
        <v>0</v>
      </c>
      <c r="I20" s="142">
        <f>IF(Leerlinggegevens!K45=0,0,IF(Leerlinggegevens!AF27=0,0,IF(Leerlinggegevens!D45=0,0,VLOOKUP(Leerlinggegevens!E45,PvE_SO,6,FALSE)*(IF(Leerlinggegevens!D45="SO",VLOOKUP(Leerlinggegevens!E45,oppervlak,3,FALSE),VLOOKUP(Leerlinggegevens!E45,oppervlak,5,FALSE))+IF(Leerlinggegevens!D45="SO",VLOOKUP(Leerlinggegevens!E45,oppervlak,4,FALSE),VLOOKUP(Leerlinggegevens!E45,oppervlak,6,FALSE))*IF((Leerlinggegevens!K54-Leerlinggegevens!K47)&gt;Leerlinggegevens!I14/2,Leerlinggegevens!AF52,Leerlinggegevens!AF45)))))</f>
        <v>0</v>
      </c>
      <c r="J20" s="142">
        <f>IF(Leerlinggegevens!K63=0,0,IF(Leerlinggegevens!AF63=0,0,IF(Leerlinggegevens!D63=0,0,VLOOKUP(Leerlinggegevens!E63,PvE_SO,6,FALSE)*(IF(Leerlinggegevens!D63="SO",VLOOKUP(Leerlinggegevens!E63,oppervlak,3,FALSE),VLOOKUP(Leerlinggegevens!E63,oppervlak,5,FALSE))+IF(Leerlinggegevens!D63="SO",VLOOKUP(Leerlinggegevens!E63,oppervlak,4,FALSE),VLOOKUP(Leerlinggegevens!E63,oppervlak,6,FALSE))*IF((Leerlinggegevens!K72-Leerlinggegevens!K65)&gt;Leerlinggegevens!I14/2,Leerlinggegevens!AF70,Leerlinggegevens!AF63)))))</f>
        <v>0</v>
      </c>
      <c r="K20" s="142">
        <f>IF(Leerlinggegevens!K81=0,0,IF(Leerlinggegevens!AF81=0,0,IF(Leerlinggegevens!D81=0,0,VLOOKUP(Leerlinggegevens!E81,PvE_SO,6,FALSE)*(IF(Leerlinggegevens!D81="SO",VLOOKUP(Leerlinggegevens!E81,oppervlak,3,FALSE),VLOOKUP(Leerlinggegevens!E81,oppervlak,5,FALSE))+IF(Leerlinggegevens!D81="SO",VLOOKUP(Leerlinggegevens!E81,oppervlak,4,FALSE),VLOOKUP(Leerlinggegevens!E81,oppervlak,6,FALSE))*IF((Leerlinggegevens!K90-Leerlinggegevens!K83)&gt;Leerlinggegevens!I14/2,Leerlinggegevens!AF88,Leerlinggegevens!AF81)))))</f>
        <v>0</v>
      </c>
      <c r="L20" s="59"/>
      <c r="M20" s="25"/>
    </row>
    <row r="21" spans="2:13" s="107" customFormat="1" ht="12.75">
      <c r="B21" s="90"/>
      <c r="C21" s="130"/>
      <c r="D21" s="92" t="s">
        <v>37</v>
      </c>
      <c r="E21" s="92"/>
      <c r="F21" s="91"/>
      <c r="G21" s="92"/>
      <c r="H21" s="143">
        <f>SUM(H18:H20)</f>
        <v>0</v>
      </c>
      <c r="I21" s="143">
        <f>SUM(I18:I20)</f>
        <v>0</v>
      </c>
      <c r="J21" s="143">
        <f>SUM(J18:J20)</f>
        <v>0</v>
      </c>
      <c r="K21" s="143">
        <f>SUM(K18:K20)</f>
        <v>0</v>
      </c>
      <c r="L21" s="93"/>
      <c r="M21" s="94"/>
    </row>
    <row r="22" spans="2:13" ht="12.75">
      <c r="B22" s="21"/>
      <c r="C22" s="121"/>
      <c r="D22" s="61"/>
      <c r="E22" s="61"/>
      <c r="F22" s="56"/>
      <c r="G22" s="57"/>
      <c r="H22" s="119"/>
      <c r="I22" s="119"/>
      <c r="J22" s="119"/>
      <c r="K22" s="119"/>
      <c r="L22" s="59"/>
      <c r="M22" s="25"/>
    </row>
    <row r="23" spans="2:13" ht="12.75">
      <c r="B23" s="21"/>
      <c r="C23" s="121"/>
      <c r="D23" s="92" t="s">
        <v>78</v>
      </c>
      <c r="E23" s="57"/>
      <c r="F23" s="56"/>
      <c r="G23" s="57"/>
      <c r="H23" s="119"/>
      <c r="I23" s="119"/>
      <c r="J23" s="119"/>
      <c r="K23" s="119"/>
      <c r="L23" s="59"/>
      <c r="M23" s="25"/>
    </row>
    <row r="24" spans="2:13" ht="12.75">
      <c r="B24" s="21"/>
      <c r="C24" s="121"/>
      <c r="D24" s="57" t="s">
        <v>79</v>
      </c>
      <c r="E24" s="57"/>
      <c r="F24" s="56"/>
      <c r="G24" s="57"/>
      <c r="H24" s="142">
        <f>IF(Leerlinggegevens!K27=0,0,IF(Leerlinggegevens!AF27=0,0,IF(Leerlinggegevens!D27=0,0,VLOOKUP(Leerlinggegevens!E27,PvE_SO,8,FALSE)*(IF(Leerlinggegevens!D27="SO",VLOOKUP(Leerlinggegevens!E27,oppervlak,3,FALSE),VLOOKUP(Leerlinggegevens!E27,oppervlak,5,FALSE))+IF(Leerlinggegevens!D27="SO",VLOOKUP(Leerlinggegevens!E27,oppervlak,4,FALSE),VLOOKUP(Leerlinggegevens!E27,oppervlak,6,FALSE))*IF((Leerlinggegevens!K36-Leerlinggegevens!K29)&gt;Leerlinggegevens!I14/2,Leerlinggegevens!AF34,Leerlinggegevens!AF27)))))</f>
        <v>0</v>
      </c>
      <c r="I24" s="142">
        <f>IF(Leerlinggegevens!K45=0,0,IF(Leerlinggegevens!AF27=0,0,IF(Leerlinggegevens!D45=0,0,VLOOKUP(Leerlinggegevens!E45,PvE_SO,8,FALSE)*(IF(Leerlinggegevens!D45="SO",VLOOKUP(Leerlinggegevens!E45,oppervlak,3,FALSE),VLOOKUP(Leerlinggegevens!E45,oppervlak,5,FALSE))+IF(Leerlinggegevens!D45="SO",VLOOKUP(Leerlinggegevens!E45,oppervlak,4,FALSE),VLOOKUP(Leerlinggegevens!E45,oppervlak,6,FALSE))*IF((Leerlinggegevens!K54-Leerlinggegevens!K47)&gt;Leerlinggegevens!I14/2,Leerlinggegevens!AF52,Leerlinggegevens!AF45)))))</f>
        <v>0</v>
      </c>
      <c r="J24" s="142">
        <f>IF(Leerlinggegevens!K63=0,0,IF(Leerlinggegevens!AF63=0,0,IF(Leerlinggegevens!D63=0,0,VLOOKUP(Leerlinggegevens!E63,PvE_SO,8,FALSE)*(IF(Leerlinggegevens!D63="SO",VLOOKUP(Leerlinggegevens!E63,oppervlak,3,FALSE),VLOOKUP(Leerlinggegevens!E63,oppervlak,5,FALSE))+IF(Leerlinggegevens!D63="SO",VLOOKUP(Leerlinggegevens!E63,oppervlak,4,FALSE),VLOOKUP(Leerlinggegevens!E63,oppervlak,6,FALSE))*IF((Leerlinggegevens!K72-Leerlinggegevens!K65)&gt;Leerlinggegevens!I14/2,Leerlinggegevens!AF70,Leerlinggegevens!AF63)))))</f>
        <v>0</v>
      </c>
      <c r="K24" s="142">
        <f>IF(Leerlinggegevens!K81=0,0,IF(Leerlinggegevens!AF81=0,0,IF(Leerlinggegevens!D81=0,0,VLOOKUP(Leerlinggegevens!E81,PvE_SO,8,FALSE)*(IF(Leerlinggegevens!D81="SO",VLOOKUP(Leerlinggegevens!E81,oppervlak,3,FALSE),VLOOKUP(Leerlinggegevens!E81,oppervlak,5,FALSE))+IF(Leerlinggegevens!D81="SO",VLOOKUP(Leerlinggegevens!E81,oppervlak,4,FALSE),VLOOKUP(Leerlinggegevens!E81,oppervlak,6,FALSE))*IF((Leerlinggegevens!K90-Leerlinggegevens!K83)&gt;Leerlinggegevens!I14/2,Leerlinggegevens!AF88,Leerlinggegevens!AF81)))))</f>
        <v>0</v>
      </c>
      <c r="L24" s="59"/>
      <c r="M24" s="25"/>
    </row>
    <row r="25" spans="2:13" ht="12.75">
      <c r="B25" s="21"/>
      <c r="C25" s="121"/>
      <c r="D25" s="57" t="s">
        <v>33</v>
      </c>
      <c r="E25" s="57"/>
      <c r="F25" s="56"/>
      <c r="G25" s="57"/>
      <c r="H25" s="142">
        <f>IF(Leerlinggegevens!K27=0,0,IF(Leerlinggegevens!AF27=0,0,IF(Leerlinggegevens!D27=0,0,VLOOKUP(Leerlinggegevens!E27,PvE_SO,10,FALSE)*(IF(Leerlinggegevens!D27="SO",VLOOKUP(Leerlinggegevens!E27,oppervlak,3,FALSE),VLOOKUP(Leerlinggegevens!E27,oppervlak,5,FALSE))+IF(Leerlinggegevens!D27="SO",VLOOKUP(Leerlinggegevens!E27,oppervlak,4,FALSE),VLOOKUP(Leerlinggegevens!E27,oppervlak,6,FALSE))*IF((Leerlinggegevens!K36-Leerlinggegevens!K29)&gt;Leerlinggegevens!I14/2,Leerlinggegevens!AF34,Leerlinggegevens!AF27)))))</f>
        <v>0</v>
      </c>
      <c r="I25" s="142">
        <f>IF(Leerlinggegevens!K45=0,0,IF(Leerlinggegevens!AF27=0,0,IF(Leerlinggegevens!D45=0,0,VLOOKUP(Leerlinggegevens!E45,PvE_SO,10,FALSE)*(IF(Leerlinggegevens!D45="SO",VLOOKUP(Leerlinggegevens!E45,oppervlak,3,FALSE),VLOOKUP(Leerlinggegevens!E45,oppervlak,5,FALSE))+IF(Leerlinggegevens!D45="SO",VLOOKUP(Leerlinggegevens!E45,oppervlak,4,FALSE),VLOOKUP(Leerlinggegevens!E45,oppervlak,6,FALSE))*IF((Leerlinggegevens!K54-Leerlinggegevens!K47)&gt;Leerlinggegevens!I14/2,Leerlinggegevens!AF52,Leerlinggegevens!AF45)))))</f>
        <v>0</v>
      </c>
      <c r="J25" s="142">
        <f>IF(Leerlinggegevens!K63=0,0,IF(Leerlinggegevens!AF63=0,0,IF(Leerlinggegevens!D63=0,0,VLOOKUP(Leerlinggegevens!E63,PvE_SO,10,FALSE)*(IF(Leerlinggegevens!D63="SO",VLOOKUP(Leerlinggegevens!E63,oppervlak,3,FALSE),VLOOKUP(Leerlinggegevens!E63,oppervlak,5,FALSE))+IF(Leerlinggegevens!D63="SO",VLOOKUP(Leerlinggegevens!E63,oppervlak,4,FALSE),VLOOKUP(Leerlinggegevens!E63,oppervlak,6,FALSE))*IF((Leerlinggegevens!K72-Leerlinggegevens!K65)&gt;Leerlinggegevens!I14/2,Leerlinggegevens!AF70,Leerlinggegevens!AF63)))))</f>
        <v>0</v>
      </c>
      <c r="K25" s="142">
        <f>IF(Leerlinggegevens!K81=0,0,IF(Leerlinggegevens!AF81=0,0,IF(Leerlinggegevens!D81=0,0,VLOOKUP(Leerlinggegevens!E81,PvE_SO,10,FALSE)*(IF(Leerlinggegevens!D81="SO",VLOOKUP(Leerlinggegevens!E81,oppervlak,3,FALSE),VLOOKUP(Leerlinggegevens!E81,oppervlak,5,FALSE))+IF(Leerlinggegevens!D81="SO",VLOOKUP(Leerlinggegevens!E81,oppervlak,4,FALSE),VLOOKUP(Leerlinggegevens!E81,oppervlak,6,FALSE))*IF((Leerlinggegevens!K90-Leerlinggegevens!K83)&gt;Leerlinggegevens!I14/2,Leerlinggegevens!AF88,Leerlinggegevens!AF81)))))</f>
        <v>0</v>
      </c>
      <c r="L25" s="59"/>
      <c r="M25" s="25"/>
    </row>
    <row r="26" spans="2:13" ht="12.75">
      <c r="B26" s="21"/>
      <c r="C26" s="121"/>
      <c r="D26" s="57" t="s">
        <v>85</v>
      </c>
      <c r="E26" s="57"/>
      <c r="F26" s="56"/>
      <c r="G26" s="57"/>
      <c r="H26" s="142">
        <f>IF(Leerlinggegevens!K27=0,0,IF(Leerlinggegevens!AF27=0,0,IF(Leerlinggegevens!D27=0,0,VLOOKUP(Leerlinggegevens!E27,PvE_SO,12,FALSE)*(IF(Leerlinggegevens!D27="SO",VLOOKUP(Leerlinggegevens!E27,oppervlak,3,FALSE),VLOOKUP(Leerlinggegevens!E27,oppervlak,5,FALSE))+IF(Leerlinggegevens!D27="SO",VLOOKUP(Leerlinggegevens!E27,oppervlak,4,FALSE),VLOOKUP(Leerlinggegevens!E27,oppervlak,6,FALSE))*IF((Leerlinggegevens!K36-Leerlinggegevens!K29)&gt;Leerlinggegevens!I14/2,Leerlinggegevens!AF34,Leerlinggegevens!AF27)))))</f>
        <v>0</v>
      </c>
      <c r="I26" s="142">
        <f>IF(Leerlinggegevens!K45=0,0,IF(Leerlinggegevens!AF27=0,0,IF(Leerlinggegevens!D45=0,0,VLOOKUP(Leerlinggegevens!E45,PvE_SO,12,FALSE)*(IF(Leerlinggegevens!D45="SO",VLOOKUP(Leerlinggegevens!E45,oppervlak,3,FALSE),VLOOKUP(Leerlinggegevens!E45,oppervlak,5,FALSE))+IF(Leerlinggegevens!D45="SO",VLOOKUP(Leerlinggegevens!E45,oppervlak,4,FALSE),VLOOKUP(Leerlinggegevens!E45,oppervlak,6,FALSE))*IF((Leerlinggegevens!K54-Leerlinggegevens!K47)&gt;Leerlinggegevens!I14/2,Leerlinggegevens!AF52,Leerlinggegevens!AF45)))))</f>
        <v>0</v>
      </c>
      <c r="J26" s="142">
        <f>IF(Leerlinggegevens!K63=0,0,IF(Leerlinggegevens!AF63=0,0,IF(Leerlinggegevens!D63=0,0,VLOOKUP(Leerlinggegevens!E63,PvE_SO,12,FALSE)*(IF(Leerlinggegevens!D63="SO",VLOOKUP(Leerlinggegevens!E63,oppervlak,3,FALSE),VLOOKUP(Leerlinggegevens!E63,oppervlak,5,FALSE))+IF(Leerlinggegevens!D63="SO",VLOOKUP(Leerlinggegevens!E63,oppervlak,4,FALSE),VLOOKUP(Leerlinggegevens!E63,oppervlak,6,FALSE))*IF((Leerlinggegevens!K72-Leerlinggegevens!K65)&gt;Leerlinggegevens!I14/2,Leerlinggegevens!AF70,Leerlinggegevens!AF63)))))</f>
        <v>0</v>
      </c>
      <c r="K26" s="142">
        <f>IF(Leerlinggegevens!K81=0,0,IF(Leerlinggegevens!AF81=0,0,IF(Leerlinggegevens!D81=0,0,VLOOKUP(Leerlinggegevens!E81,PvE_SO,12,FALSE)*(IF(Leerlinggegevens!D81="SO",VLOOKUP(Leerlinggegevens!E81,oppervlak,3,FALSE),VLOOKUP(Leerlinggegevens!E81,oppervlak,5,FALSE))+IF(Leerlinggegevens!D81="SO",VLOOKUP(Leerlinggegevens!E81,oppervlak,4,FALSE),VLOOKUP(Leerlinggegevens!E81,oppervlak,6,FALSE))*IF((Leerlinggegevens!K90-Leerlinggegevens!K83)&gt;Leerlinggegevens!I14/2,Leerlinggegevens!AF88,Leerlinggegevens!AF81)))))</f>
        <v>0</v>
      </c>
      <c r="L26" s="59"/>
      <c r="M26" s="25"/>
    </row>
    <row r="27" spans="2:13" s="107" customFormat="1" ht="12.75">
      <c r="B27" s="90"/>
      <c r="C27" s="130"/>
      <c r="D27" s="92" t="s">
        <v>37</v>
      </c>
      <c r="E27" s="92"/>
      <c r="F27" s="91"/>
      <c r="G27" s="92"/>
      <c r="H27" s="143">
        <f>SUM(H24:H26)</f>
        <v>0</v>
      </c>
      <c r="I27" s="143">
        <f>SUM(I24:I26)</f>
        <v>0</v>
      </c>
      <c r="J27" s="143">
        <f>SUM(J24:J26)</f>
        <v>0</v>
      </c>
      <c r="K27" s="143">
        <f>SUM(K24:K26)</f>
        <v>0</v>
      </c>
      <c r="L27" s="93"/>
      <c r="M27" s="94"/>
    </row>
    <row r="28" spans="2:13" ht="12.75">
      <c r="B28" s="21"/>
      <c r="C28" s="121"/>
      <c r="D28" s="61"/>
      <c r="E28" s="61"/>
      <c r="F28" s="56"/>
      <c r="G28" s="57"/>
      <c r="H28" s="119"/>
      <c r="I28" s="119"/>
      <c r="J28" s="119"/>
      <c r="K28" s="119"/>
      <c r="L28" s="59"/>
      <c r="M28" s="25"/>
    </row>
    <row r="29" spans="2:13" ht="12.75">
      <c r="B29" s="21"/>
      <c r="C29" s="121"/>
      <c r="D29" s="57" t="s">
        <v>86</v>
      </c>
      <c r="E29" s="57"/>
      <c r="F29" s="56"/>
      <c r="G29" s="57"/>
      <c r="H29" s="142">
        <f>IF(Leerlinggegevens!K27=0,0,IF(Leerlinggegevens!AF27=0,0,IF(Leerlinggegevens!D27=0,0,VLOOKUP(Leerlinggegevens!E27,PvE_SO,14,FALSE)*(IF(Leerlinggegevens!D27="SO",VLOOKUP(Leerlinggegevens!E27,oppervlak,3,FALSE),VLOOKUP(Leerlinggegevens!E27,oppervlak,5,FALSE))+IF(Leerlinggegevens!D27="SO",VLOOKUP(Leerlinggegevens!E27,oppervlak,4,FALSE),VLOOKUP(Leerlinggegevens!E27,oppervlak,6,FALSE))*IF((Leerlinggegevens!K36-Leerlinggegevens!K29)&gt;Leerlinggegevens!I14/2,Leerlinggegevens!AF34,Leerlinggegevens!AF27)))))</f>
        <v>0</v>
      </c>
      <c r="I29" s="142">
        <f>IF(Leerlinggegevens!K45=0,0,IF(Leerlinggegevens!AF27=0,0,IF(Leerlinggegevens!D45=0,0,VLOOKUP(Leerlinggegevens!E45,PvE_SO,14,FALSE)*(IF(Leerlinggegevens!D45="SO",VLOOKUP(Leerlinggegevens!E45,oppervlak,3,FALSE),VLOOKUP(Leerlinggegevens!E45,oppervlak,5,FALSE))+IF(Leerlinggegevens!D45="SO",VLOOKUP(Leerlinggegevens!E45,oppervlak,4,FALSE),VLOOKUP(Leerlinggegevens!E45,oppervlak,6,FALSE))*IF((Leerlinggegevens!K54-Leerlinggegevens!K47)&gt;Leerlinggegevens!I14/2,Leerlinggegevens!AF52,Leerlinggegevens!AF45)))))</f>
        <v>0</v>
      </c>
      <c r="J29" s="142">
        <f>IF(Leerlinggegevens!K63=0,0,IF(Leerlinggegevens!AF63=0,0,IF(Leerlinggegevens!D63=0,0,VLOOKUP(Leerlinggegevens!E63,PvE_SO,14,FALSE)*(IF(Leerlinggegevens!D63="SO",VLOOKUP(Leerlinggegevens!E63,oppervlak,3,FALSE),VLOOKUP(Leerlinggegevens!E63,oppervlak,5,FALSE))+IF(Leerlinggegevens!D63="SO",VLOOKUP(Leerlinggegevens!E63,oppervlak,4,FALSE),VLOOKUP(Leerlinggegevens!E63,oppervlak,6,FALSE))*IF((Leerlinggegevens!K72-Leerlinggegevens!K65)&gt;Leerlinggegevens!I14/2,Leerlinggegevens!AF70,Leerlinggegevens!AF63)))))</f>
        <v>0</v>
      </c>
      <c r="K29" s="142">
        <f>IF(Leerlinggegevens!K81=0,0,IF(Leerlinggegevens!AF81=0,0,IF(Leerlinggegevens!D81=0,0,VLOOKUP(Leerlinggegevens!E81,PvE_SO,14,FALSE)*(IF(Leerlinggegevens!D81="SO",VLOOKUP(Leerlinggegevens!E81,oppervlak,3,FALSE),VLOOKUP(Leerlinggegevens!E81,oppervlak,5,FALSE))+IF(Leerlinggegevens!D81="SO",VLOOKUP(Leerlinggegevens!E81,oppervlak,4,FALSE),VLOOKUP(Leerlinggegevens!E81,oppervlak,6,FALSE))*IF((Leerlinggegevens!K90-Leerlinggegevens!K83)&gt;Leerlinggegevens!I14/2,Leerlinggegevens!AF88,Leerlinggegevens!AF81)))))</f>
        <v>0</v>
      </c>
      <c r="L29" s="59"/>
      <c r="M29" s="25"/>
    </row>
    <row r="30" spans="2:13" ht="12.75">
      <c r="B30" s="21"/>
      <c r="C30" s="121"/>
      <c r="D30" s="57"/>
      <c r="E30" s="57"/>
      <c r="F30" s="56"/>
      <c r="G30" s="57"/>
      <c r="H30" s="153">
        <f>H21+H27+H29</f>
        <v>0</v>
      </c>
      <c r="I30" s="153">
        <f>I21+I27+I29</f>
        <v>0</v>
      </c>
      <c r="J30" s="153">
        <f>J21+J27+J29</f>
        <v>0</v>
      </c>
      <c r="K30" s="153">
        <f>K21+K27+K29</f>
        <v>0</v>
      </c>
      <c r="L30" s="59"/>
      <c r="M30" s="25"/>
    </row>
    <row r="31" spans="2:13" ht="12.75" customHeight="1">
      <c r="B31" s="21"/>
      <c r="C31" s="121"/>
      <c r="D31" s="61" t="s">
        <v>87</v>
      </c>
      <c r="E31" s="61"/>
      <c r="F31" s="56"/>
      <c r="G31" s="57"/>
      <c r="H31" s="144">
        <f>IF(Leerlinggegevens!K27=0,0,IF(Leerlinggegevens!AF27=0,0,IF(Leerlinggegevens!D27=0,0,IF(Leerlinggegevens!D27="SO",VLOOKUP(Leerlinggegevens!E27,groepsafhPvE,3,FALSE),VLOOKUP(Leerlinggegevens!E27,groepsafhPvE,5,FALSE))+IF(Leerlinggegevens!D27="SO",VLOOKUP(Leerlinggegevens!E27,groepsafhPvE,4,FALSE),VLOOKUP(Leerlinggegevens!E27,groepsafhPvE,6,FALSE))*IF((Leerlinggegevens!K36-Leerlinggegevens!K29)&gt;Leerlinggegevens!I14/2,Leerlinggegevens!AF34,Leerlinggegevens!AF27))))</f>
        <v>0</v>
      </c>
      <c r="I31" s="144">
        <f>IF(Leerlinggegevens!K45=0,0,IF(Leerlinggegevens!AF27=0,0,IF(Leerlinggegevens!D45=0,0,IF(Leerlinggegevens!D45="SO",VLOOKUP(Leerlinggegevens!E45,groepsafhPvE,3,FALSE),VLOOKUP(Leerlinggegevens!E45,groepsafhPvE,5,FALSE))+IF(Leerlinggegevens!D45="SO",VLOOKUP(Leerlinggegevens!E45,groepsafhPvE,4,FALSE),VLOOKUP(Leerlinggegevens!E45,groepsafhPvE,6,FALSE))*IF((Leerlinggegevens!K54-Leerlinggegevens!K47)&gt;Leerlinggegevens!I14/2,Leerlinggegevens!AF52,Leerlinggegevens!AF45))))</f>
        <v>0</v>
      </c>
      <c r="J31" s="144">
        <f>IF(Leerlinggegevens!K63=0,0,IF(Leerlinggegevens!AF63=0,0,IF(Leerlinggegevens!D63=0,0,IF(Leerlinggegevens!D63="SO",VLOOKUP(Leerlinggegevens!E63,groepsafhPvE,3,FALSE),VLOOKUP(Leerlinggegevens!E63,groepsafhPvE,5,FALSE))+IF(Leerlinggegevens!D63="SO",VLOOKUP(Leerlinggegevens!E63,groepsafhPvE,4,FALSE),VLOOKUP(Leerlinggegevens!E63,groepsafhPvE,6,FALSE))*IF((Leerlinggegevens!K72-Leerlinggegevens!K65)&gt;Leerlinggegevens!I14/2,Leerlinggegevens!AF70,Leerlinggegevens!AF63))))</f>
        <v>0</v>
      </c>
      <c r="K31" s="144">
        <f>IF(Leerlinggegevens!K81=0,0,IF(Leerlinggegevens!AF81=0,0,IF(Leerlinggegevens!D81=0,0,IF(Leerlinggegevens!D81="SO",VLOOKUP(Leerlinggegevens!E81,groepsafhPvE,3,FALSE),VLOOKUP(Leerlinggegevens!E81,groepsafhPvE,5,FALSE))+IF(Leerlinggegevens!D81="SO",VLOOKUP(Leerlinggegevens!E81,groepsafhPvE,4,FALSE),VLOOKUP(Leerlinggegevens!E81,groepsafhPvE,6,FALSE))*IF((Leerlinggegevens!K90-Leerlinggegevens!K83)&gt;Leerlinggegevens!I14/2,Leerlinggegevens!AF88,Leerlinggegevens!AF81))))</f>
        <v>0</v>
      </c>
      <c r="L31" s="59"/>
      <c r="M31" s="25"/>
    </row>
    <row r="32" spans="2:13" ht="12.75" customHeight="1">
      <c r="B32" s="21"/>
      <c r="C32" s="121"/>
      <c r="D32" s="61"/>
      <c r="E32" s="61"/>
      <c r="F32" s="56"/>
      <c r="G32" s="57"/>
      <c r="H32" s="120"/>
      <c r="I32" s="120"/>
      <c r="J32" s="120"/>
      <c r="K32" s="120"/>
      <c r="L32" s="59"/>
      <c r="M32" s="25"/>
    </row>
    <row r="33" spans="2:13" ht="12.75" customHeight="1">
      <c r="B33" s="21"/>
      <c r="C33" s="121"/>
      <c r="D33" s="57" t="s">
        <v>212</v>
      </c>
      <c r="E33" s="61"/>
      <c r="F33" s="85" t="s">
        <v>102</v>
      </c>
      <c r="G33" s="67"/>
      <c r="H33" s="142">
        <f>IF(Leerlinggegevens!K27=0,0,IF(F33="ja",IF(Leerlinggegevens!D27=0,0,VLOOKUP(Leerlinggegevens!E27,PvE_SO,4,FALSE)),0))</f>
        <v>0</v>
      </c>
      <c r="I33" s="142">
        <f>IF(Leerlinggegevens!K45=0,0,IF(F33="ja",IF(Leerlinggegevens!D45=0,0,VLOOKUP(Leerlinggegevens!E45,PvE_SO,4,FALSE)),0))</f>
        <v>0</v>
      </c>
      <c r="J33" s="142">
        <f>IF(Leerlinggegevens!K63=0,0,IF(F33="ja",IF(Leerlinggegevens!D63=0,0,VLOOKUP(Leerlinggegevens!E63,PvE_SO,4,FALSE)),0))</f>
        <v>0</v>
      </c>
      <c r="K33" s="142">
        <f>IF(Leerlinggegevens!K81=0,0,IF(F33="ja",IF(Leerlinggegevens!D81=0,0,VLOOKUP(Leerlinggegevens!E81,PvE_SO,4,FALSE)),0))</f>
        <v>0</v>
      </c>
      <c r="L33" s="59"/>
      <c r="M33" s="25"/>
    </row>
    <row r="34" spans="2:13" ht="12.75" customHeight="1">
      <c r="B34" s="21"/>
      <c r="C34" s="121"/>
      <c r="D34" s="57"/>
      <c r="E34" s="57"/>
      <c r="F34" s="56"/>
      <c r="G34" s="57"/>
      <c r="H34" s="120"/>
      <c r="I34" s="120"/>
      <c r="J34" s="120"/>
      <c r="K34" s="120"/>
      <c r="L34" s="59"/>
      <c r="M34" s="25"/>
    </row>
    <row r="35" spans="2:13" ht="12.75" customHeight="1">
      <c r="B35" s="21"/>
      <c r="C35" s="118" t="s">
        <v>122</v>
      </c>
      <c r="D35" s="61" t="s">
        <v>42</v>
      </c>
      <c r="E35" s="61"/>
      <c r="F35" s="56"/>
      <c r="G35" s="57"/>
      <c r="H35" s="119"/>
      <c r="I35" s="119"/>
      <c r="J35" s="119"/>
      <c r="K35" s="119"/>
      <c r="L35" s="59"/>
      <c r="M35" s="25"/>
    </row>
    <row r="36" spans="2:13" ht="12.75" customHeight="1">
      <c r="B36" s="21"/>
      <c r="C36" s="118"/>
      <c r="D36" s="92" t="s">
        <v>80</v>
      </c>
      <c r="E36" s="61"/>
      <c r="F36" s="56"/>
      <c r="G36" s="57"/>
      <c r="H36" s="119"/>
      <c r="I36" s="119"/>
      <c r="J36" s="119"/>
      <c r="K36" s="119"/>
      <c r="L36" s="59"/>
      <c r="M36" s="25"/>
    </row>
    <row r="37" spans="2:13" ht="12.75">
      <c r="B37" s="21"/>
      <c r="C37" s="121"/>
      <c r="D37" s="57" t="s">
        <v>34</v>
      </c>
      <c r="E37" s="57"/>
      <c r="F37" s="56"/>
      <c r="G37" s="57"/>
      <c r="H37" s="142">
        <f>IF(Leerlinggegevens!D27=0,0,IF(Leerlinggegevens!D27="SO",VLOOKUP(Leerlinggegevens!E27,PvE_SO,16,FALSE),VLOOKUP(Leerlinggegevens!E27,PvE_VSO,16,FALSE))*Leerlinggegevens!AC27)</f>
        <v>0</v>
      </c>
      <c r="I37" s="142">
        <f>IF(Leerlinggegevens!D45=0,0,IF(Leerlinggegevens!D45="SO",VLOOKUP(Leerlinggegevens!E45,PvE_SO,16,FALSE),VLOOKUP(Leerlinggegevens!E45,PvE_VSO,16,FALSE))*Leerlinggegevens!AC45)</f>
        <v>0</v>
      </c>
      <c r="J37" s="142">
        <f>IF(Leerlinggegevens!D63=0,0,IF(Leerlinggegevens!D63="SO",VLOOKUP(Leerlinggegevens!E63,PvE_SO,16,FALSE),VLOOKUP(Leerlinggegevens!E63,PvE_VSO,16,FALSE))*Leerlinggegevens!AC63)</f>
        <v>0</v>
      </c>
      <c r="K37" s="142">
        <f>IF(Leerlinggegevens!D81=0,0,IF(Leerlinggegevens!D81="SO",VLOOKUP(Leerlinggegevens!E81,PvE_SO,16,FALSE),VLOOKUP(Leerlinggegevens!E81,PvE_VSO,16,FALSE))*Leerlinggegevens!AC81)</f>
        <v>0</v>
      </c>
      <c r="L37" s="59"/>
      <c r="M37" s="25"/>
    </row>
    <row r="38" spans="2:13" ht="12.75">
      <c r="B38" s="21"/>
      <c r="C38" s="121"/>
      <c r="D38" s="57" t="s">
        <v>88</v>
      </c>
      <c r="E38" s="57"/>
      <c r="F38" s="56"/>
      <c r="G38" s="57"/>
      <c r="H38" s="142">
        <f>IF(Leerlinggegevens!D27=0,0,IF(Leerlinggegevens!D27="SO",VLOOKUP(Leerlinggegevens!E27,PvE_SO,18,FALSE),VLOOKUP(Leerlinggegevens!E27,PvE_VSO,18,FALSE))*Leerlinggegevens!AC27)</f>
        <v>0</v>
      </c>
      <c r="I38" s="142">
        <f>IF(Leerlinggegevens!D45=0,0,IF(Leerlinggegevens!D45="SO",VLOOKUP(Leerlinggegevens!E45,PvE_SO,18,FALSE),VLOOKUP(Leerlinggegevens!E45,PvE_VSO,18,FALSE))*Leerlinggegevens!AC45)</f>
        <v>0</v>
      </c>
      <c r="J38" s="142">
        <f>IF(Leerlinggegevens!D63=0,0,IF(Leerlinggegevens!D63="SO",VLOOKUP(Leerlinggegevens!E63,PvE_SO,18,FALSE),VLOOKUP(Leerlinggegevens!E63,PvE_VSO,18,FALSE))*Leerlinggegevens!AC63)</f>
        <v>0</v>
      </c>
      <c r="K38" s="142">
        <f>IF(Leerlinggegevens!D81=0,0,IF(Leerlinggegevens!D81="SO",VLOOKUP(Leerlinggegevens!E81,PvE_SO,18,FALSE),VLOOKUP(Leerlinggegevens!E81,PvE_VSO,18,FALSE))*Leerlinggegevens!AC81)</f>
        <v>0</v>
      </c>
      <c r="L38" s="59"/>
      <c r="M38" s="25"/>
    </row>
    <row r="39" spans="2:13" ht="12.75">
      <c r="B39" s="21"/>
      <c r="C39" s="121"/>
      <c r="D39" s="57" t="s">
        <v>35</v>
      </c>
      <c r="E39" s="57"/>
      <c r="F39" s="56"/>
      <c r="G39" s="57"/>
      <c r="H39" s="142">
        <f>IF(Leerlinggegevens!D27=0,0,IF(Leerlinggegevens!D27="SO",VLOOKUP(Leerlinggegevens!E27,PvE_SO,20,FALSE),VLOOKUP(Leerlinggegevens!E27,PvE_VSO,20,FALSE))*Leerlinggegevens!AC27)</f>
        <v>0</v>
      </c>
      <c r="I39" s="142">
        <f>IF(Leerlinggegevens!D45=0,0,IF(Leerlinggegevens!D45="SO",VLOOKUP(Leerlinggegevens!E45,PvE_SO,20,FALSE),VLOOKUP(Leerlinggegevens!E45,PvE_VSO,20,FALSE))*Leerlinggegevens!AC45)</f>
        <v>0</v>
      </c>
      <c r="J39" s="142">
        <f>IF(Leerlinggegevens!D63=0,0,IF(Leerlinggegevens!D63="SO",VLOOKUP(Leerlinggegevens!E63,PvE_SO,20,FALSE),VLOOKUP(Leerlinggegevens!E63,PvE_VSO,20,FALSE))*Leerlinggegevens!AC63)</f>
        <v>0</v>
      </c>
      <c r="K39" s="142">
        <f>IF(Leerlinggegevens!D81=0,0,IF(Leerlinggegevens!D81="SO",VLOOKUP(Leerlinggegevens!E81,PvE_SO,20,FALSE),VLOOKUP(Leerlinggegevens!E81,PvE_VSO,20,FALSE))*Leerlinggegevens!AC81)</f>
        <v>0</v>
      </c>
      <c r="L39" s="59"/>
      <c r="M39" s="25"/>
    </row>
    <row r="40" spans="2:13" ht="12.75">
      <c r="B40" s="21"/>
      <c r="C40" s="121"/>
      <c r="D40" s="57" t="s">
        <v>36</v>
      </c>
      <c r="E40" s="57"/>
      <c r="F40" s="56"/>
      <c r="G40" s="57"/>
      <c r="H40" s="142">
        <f>IF(Leerlinggegevens!D27=0,0,IF(Leerlinggegevens!D27="SO",VLOOKUP(Leerlinggegevens!E27,PvE_SO,22,FALSE),VLOOKUP(Leerlinggegevens!E27,PvE_VSO,22,FALSE))*Leerlinggegevens!AC27)</f>
        <v>0</v>
      </c>
      <c r="I40" s="142">
        <f>IF(Leerlinggegevens!D45=0,0,IF(Leerlinggegevens!D45="SO",VLOOKUP(Leerlinggegevens!E45,PvE_SO,22,FALSE),VLOOKUP(Leerlinggegevens!E45,PvE_VSO,22,FALSE))*Leerlinggegevens!AC45)</f>
        <v>0</v>
      </c>
      <c r="J40" s="142">
        <f>IF(Leerlinggegevens!D63=0,0,IF(Leerlinggegevens!D63="SO",VLOOKUP(Leerlinggegevens!E63,PvE_SO,22,FALSE),VLOOKUP(Leerlinggegevens!E63,PvE_VSO,22,FALSE))*Leerlinggegevens!AC63)</f>
        <v>0</v>
      </c>
      <c r="K40" s="142">
        <f>IF(Leerlinggegevens!D81=0,0,IF(Leerlinggegevens!D81="SO",VLOOKUP(Leerlinggegevens!E81,PvE_SO,22,FALSE),VLOOKUP(Leerlinggegevens!E81,PvE_VSO,22,FALSE))*Leerlinggegevens!AC81)</f>
        <v>0</v>
      </c>
      <c r="L40" s="59"/>
      <c r="M40" s="25"/>
    </row>
    <row r="41" spans="2:13" ht="12.75">
      <c r="B41" s="21"/>
      <c r="C41" s="121"/>
      <c r="D41" s="57" t="s">
        <v>114</v>
      </c>
      <c r="E41" s="57"/>
      <c r="F41" s="56"/>
      <c r="G41" s="57"/>
      <c r="H41" s="142">
        <f>IF(Leerlinggegevens!D27=0,0,IF(Leerlinggegevens!D27="SO",VLOOKUP(Leerlinggegevens!E27,PvE_SO,24,FALSE),VLOOKUP(Leerlinggegevens!E27,PvE_VSO,24,FALSE))*Leerlinggegevens!AC27)</f>
        <v>0</v>
      </c>
      <c r="I41" s="142">
        <f>IF(Leerlinggegevens!D45=0,0,IF(Leerlinggegevens!D45="SO",VLOOKUP(Leerlinggegevens!E45,PvE_SO,24,FALSE),VLOOKUP(Leerlinggegevens!E45,PvE_VSO,24,FALSE))*Leerlinggegevens!AC45)</f>
        <v>0</v>
      </c>
      <c r="J41" s="142">
        <f>IF(Leerlinggegevens!D63=0,0,IF(Leerlinggegevens!D63="SO",VLOOKUP(Leerlinggegevens!E63,PvE_SO,24,FALSE),VLOOKUP(Leerlinggegevens!E63,PvE_VSO,24,FALSE))*Leerlinggegevens!AC63)</f>
        <v>0</v>
      </c>
      <c r="K41" s="142">
        <f>IF(Leerlinggegevens!D81=0,0,IF(Leerlinggegevens!D81="SO",VLOOKUP(Leerlinggegevens!E81,PvE_SO,24,FALSE),VLOOKUP(Leerlinggegevens!E81,PvE_VSO,24,FALSE))*Leerlinggegevens!AC81)</f>
        <v>0</v>
      </c>
      <c r="L41" s="59"/>
      <c r="M41" s="25"/>
    </row>
    <row r="42" spans="2:13" ht="12.75">
      <c r="B42" s="21"/>
      <c r="C42" s="121"/>
      <c r="D42" s="131" t="s">
        <v>115</v>
      </c>
      <c r="E42" s="92"/>
      <c r="F42" s="56"/>
      <c r="G42" s="57"/>
      <c r="H42" s="143">
        <f>IF(Leerlinggegevens!D27=0,0,IF(Leerlinggegevens!D27="SO",VLOOKUP(Leerlinggegevens!E27,PvE_SO,26,FALSE),VLOOKUP(Leerlinggegevens!E27,PvE_VSO,26,FALSE))*Leerlinggegevens!AC27)</f>
        <v>0</v>
      </c>
      <c r="I42" s="143">
        <f>IF(Leerlinggegevens!D45=0,0,IF(Leerlinggegevens!D45="SO",VLOOKUP(Leerlinggegevens!E45,PvE_SO,26,FALSE),VLOOKUP(Leerlinggegevens!E45,PvE_VSO,26,FALSE))*Leerlinggegevens!AC45)</f>
        <v>0</v>
      </c>
      <c r="J42" s="143">
        <f>IF(Leerlinggegevens!D63=0,0,IF(Leerlinggegevens!D63="SO",VLOOKUP(Leerlinggegevens!E63,PvE_SO,26,FALSE),VLOOKUP(Leerlinggegevens!E63,PvE_VSO,26,FALSE))*Leerlinggegevens!AC63)</f>
        <v>0</v>
      </c>
      <c r="K42" s="143">
        <f>IF(Leerlinggegevens!D81=0,0,IF(Leerlinggegevens!D81="SO",VLOOKUP(Leerlinggegevens!E81,PvE_SO,26,FALSE),VLOOKUP(Leerlinggegevens!E81,PvE_VSO,26,FALSE))*Leerlinggegevens!AC81)</f>
        <v>0</v>
      </c>
      <c r="L42" s="59"/>
      <c r="M42" s="25"/>
    </row>
    <row r="43" spans="2:13" ht="12.75">
      <c r="B43" s="21"/>
      <c r="C43" s="121"/>
      <c r="D43" s="57" t="s">
        <v>81</v>
      </c>
      <c r="E43" s="57"/>
      <c r="F43" s="56"/>
      <c r="G43" s="57"/>
      <c r="H43" s="142">
        <f>IF(Leerlinggegevens!D27=0,0,IF(Leerlinggegevens!D27="SO",VLOOKUP(Leerlinggegevens!E27,PvE_SO,28,FALSE),VLOOKUP(Leerlinggegevens!E27,PvE_VSO,28,FALSE))*Leerlinggegevens!AC27)</f>
        <v>0</v>
      </c>
      <c r="I43" s="142">
        <f>IF(Leerlinggegevens!D45=0,0,IF(Leerlinggegevens!D45="SO",VLOOKUP(Leerlinggegevens!E45,PvE_SO,28,FALSE),VLOOKUP(Leerlinggegevens!E45,PvE_VSO,28,FALSE))*Leerlinggegevens!AC45)</f>
        <v>0</v>
      </c>
      <c r="J43" s="142">
        <f>IF(Leerlinggegevens!D63=0,0,IF(Leerlinggegevens!D63="SO",VLOOKUP(Leerlinggegevens!E63,PvE_SO,28,FALSE),VLOOKUP(Leerlinggegevens!E63,PvE_VSO,28,FALSE))*Leerlinggegevens!AC63)</f>
        <v>0</v>
      </c>
      <c r="K43" s="142">
        <f>IF(Leerlinggegevens!D81=0,0,IF(Leerlinggegevens!D81="SO",VLOOKUP(Leerlinggegevens!E81,PvE_SO,28,FALSE),VLOOKUP(Leerlinggegevens!E81,PvE_VSO,28,FALSE))*Leerlinggegevens!AC81)</f>
        <v>0</v>
      </c>
      <c r="L43" s="59"/>
      <c r="M43" s="25"/>
    </row>
    <row r="44" spans="2:13" ht="12.75">
      <c r="B44" s="21"/>
      <c r="C44" s="121"/>
      <c r="D44" s="57" t="s">
        <v>118</v>
      </c>
      <c r="E44" s="57"/>
      <c r="F44" s="56"/>
      <c r="G44" s="57"/>
      <c r="H44" s="142">
        <f>IF(Leerlinggegevens!D27=0,0,IF(Leerlinggegevens!D27="SO",VLOOKUP(Leerlinggegevens!E27,PvE_SO,30,FALSE),VLOOKUP(Leerlinggegevens!E27,PvE_VSO,30,FALSE))*Leerlinggegevens!AC27)</f>
        <v>0</v>
      </c>
      <c r="I44" s="142">
        <f>IF(Leerlinggegevens!D45=0,0,IF(Leerlinggegevens!D45="SO",VLOOKUP(Leerlinggegevens!E45,PvE_SO,30,FALSE),VLOOKUP(Leerlinggegevens!E45,PvE_VSO,30,FALSE))*Leerlinggegevens!AC45)</f>
        <v>0</v>
      </c>
      <c r="J44" s="142">
        <f>IF(Leerlinggegevens!D63=0,0,IF(Leerlinggegevens!D63="SO",VLOOKUP(Leerlinggegevens!E63,PvE_SO,30,FALSE),VLOOKUP(Leerlinggegevens!E63,PvE_VSO,30,FALSE))*Leerlinggegevens!AC63)</f>
        <v>0</v>
      </c>
      <c r="K44" s="142">
        <f>IF(Leerlinggegevens!D81=0,0,IF(Leerlinggegevens!D81="SO",VLOOKUP(Leerlinggegevens!E81,PvE_SO,30,FALSE),VLOOKUP(Leerlinggegevens!E81,PvE_VSO,30,FALSE))*Leerlinggegevens!AC81)</f>
        <v>0</v>
      </c>
      <c r="L44" s="59"/>
      <c r="M44" s="25"/>
    </row>
    <row r="45" spans="2:13" ht="12.75">
      <c r="B45" s="21"/>
      <c r="C45" s="121"/>
      <c r="D45" s="57" t="s">
        <v>119</v>
      </c>
      <c r="E45" s="57"/>
      <c r="F45" s="56"/>
      <c r="G45" s="57"/>
      <c r="H45" s="142">
        <f>IF(Leerlinggegevens!D27=0,0,IF(Leerlinggegevens!D27="SO",VLOOKUP(Leerlinggegevens!E27,PvE_SO,32,FALSE),VLOOKUP(Leerlinggegevens!E27,PvE_VSO,32,FALSE))*Leerlinggegevens!AC27)</f>
        <v>0</v>
      </c>
      <c r="I45" s="142">
        <f>IF(Leerlinggegevens!D45=0,0,IF(Leerlinggegevens!D45="SO",VLOOKUP(Leerlinggegevens!E45,PvE_SO,32,FALSE),VLOOKUP(Leerlinggegevens!E45,PvE_VSO,32,FALSE))*Leerlinggegevens!AC45)</f>
        <v>0</v>
      </c>
      <c r="J45" s="142">
        <f>IF(Leerlinggegevens!D63=0,0,IF(Leerlinggegevens!D63="SO",VLOOKUP(Leerlinggegevens!E63,PvE_SO,32,FALSE),VLOOKUP(Leerlinggegevens!E63,PvE_VSO,32,FALSE))*Leerlinggegevens!AC63)</f>
        <v>0</v>
      </c>
      <c r="K45" s="142">
        <f>IF(Leerlinggegevens!D81=0,0,IF(Leerlinggegevens!D81="SO",VLOOKUP(Leerlinggegevens!E81,PvE_SO,32,FALSE),VLOOKUP(Leerlinggegevens!E81,PvE_VSO,32,FALSE))*Leerlinggegevens!AC81)</f>
        <v>0</v>
      </c>
      <c r="L45" s="59"/>
      <c r="M45" s="25"/>
    </row>
    <row r="46" spans="2:13" ht="12.75">
      <c r="B46" s="21"/>
      <c r="C46" s="121"/>
      <c r="D46" s="57" t="s">
        <v>116</v>
      </c>
      <c r="E46" s="57"/>
      <c r="F46" s="56"/>
      <c r="G46" s="57"/>
      <c r="H46" s="142">
        <f>IF(Leerlinggegevens!AC27=0,0,IF(Leerlinggegevens!D27=0,0,IF(Leerlinggegevens!G27="ja",0,IF(Leerlinggegevens!D27="SO",VLOOKUP(Leerlinggegevens!E27,PvE_SO,33,FALSE),VLOOKUP(Leerlinggegevens!E27,PvE_VSO,33,FALSE)))+IF(Leerlinggegevens!D27="SO",VLOOKUP(Leerlinggegevens!E27,PvE_SO,34,FALSE),VLOOKUP(Leerlinggegevens!E27,PvE_VSO,34,FALSE))*Leerlinggegevens!AC27))</f>
        <v>0</v>
      </c>
      <c r="I46" s="142">
        <f>IF(Leerlinggegevens!AC45=0,0,IF(Leerlinggegevens!D45=0,0,IF(Leerlinggegevens!G27="ja",0,IF(Leerlinggegevens!D45="SO",VLOOKUP(Leerlinggegevens!E45,PvE_SO,33,FALSE),VLOOKUP(Leerlinggegevens!E45,PvE_VSO,33,FALSE)))+IF(Leerlinggegevens!D45="SO",VLOOKUP(Leerlinggegevens!E45,PvE_SO,34,FALSE),VLOOKUP(Leerlinggegevens!E45,PvE_VSO,34,FALSE))*Leerlinggegevens!AC45))</f>
        <v>0</v>
      </c>
      <c r="J46" s="142">
        <f>IF(Leerlinggegevens!AC63=0,0,IF(Leerlinggegevens!D63=0,0,IF(Leerlinggegevens!G27="ja",0,IF(Leerlinggegevens!D63="SO",VLOOKUP(Leerlinggegevens!E63,PvE_SO,33,FALSE),VLOOKUP(Leerlinggegevens!E63,PvE_VSO,33,FALSE)))+IF(Leerlinggegevens!D63="SO",VLOOKUP(Leerlinggegevens!E63,PvE_SO,34,FALSE),VLOOKUP(Leerlinggegevens!E63,PvE_VSO,34,FALSE))*Leerlinggegevens!AC63))</f>
        <v>0</v>
      </c>
      <c r="K46" s="142">
        <f>IF(Leerlinggegevens!AC81=0,0,IF(Leerlinggegevens!D81=0,0,IF(Leerlinggegevens!G27="ja",0,IF(Leerlinggegevens!D81="SO",VLOOKUP(Leerlinggegevens!E81,PvE_SO,33,FALSE),VLOOKUP(Leerlinggegevens!E81,PvE_VSO,33,FALSE)))+IF(Leerlinggegevens!D81="SO",VLOOKUP(Leerlinggegevens!E81,PvE_SO,34,FALSE),VLOOKUP(Leerlinggegevens!E81,PvE_VSO,34,FALSE))*Leerlinggegevens!AC81))</f>
        <v>0</v>
      </c>
      <c r="L46" s="59"/>
      <c r="M46" s="25"/>
    </row>
    <row r="47" spans="2:13" ht="12.75">
      <c r="B47" s="21"/>
      <c r="C47" s="121"/>
      <c r="D47" s="131" t="s">
        <v>120</v>
      </c>
      <c r="E47" s="92"/>
      <c r="F47" s="56"/>
      <c r="G47" s="57"/>
      <c r="H47" s="143">
        <f>IF(Leerlinggegevens!D27=0,0,IF(Leerlinggegevens!D27="SO",VLOOKUP(Leerlinggegevens!E27,PvE_SO,36,FALSE),VLOOKUP(Leerlinggegevens!E27,PvE_VSO,36,FALSE))*Leerlinggegevens!AC27)</f>
        <v>0</v>
      </c>
      <c r="I47" s="143">
        <f>IF(Leerlinggegevens!D45=0,0,IF(Leerlinggegevens!D45="SO",VLOOKUP(Leerlinggegevens!E45,PvE_SO,36,FALSE),VLOOKUP(Leerlinggegevens!E45,PvE_VSO,36,FALSE))*Leerlinggegevens!AC45)</f>
        <v>0</v>
      </c>
      <c r="J47" s="143">
        <f>IF(Leerlinggegevens!D63=0,0,IF(Leerlinggegevens!D63="SO",VLOOKUP(Leerlinggegevens!E63,PvE_SO,36,FALSE),VLOOKUP(Leerlinggegevens!E63,PvE_VSO,36,FALSE))*Leerlinggegevens!AC63)</f>
        <v>0</v>
      </c>
      <c r="K47" s="143">
        <f>IF(Leerlinggegevens!D81=0,0,IF(Leerlinggegevens!D81="SO",VLOOKUP(Leerlinggegevens!E81,PvE_SO,36,FALSE),VLOOKUP(Leerlinggegevens!E81,PvE_VSO,36,FALSE))*Leerlinggegevens!AC81)</f>
        <v>0</v>
      </c>
      <c r="L47" s="59"/>
      <c r="M47" s="25"/>
    </row>
    <row r="48" spans="2:13" ht="12.75">
      <c r="B48" s="21"/>
      <c r="C48" s="121"/>
      <c r="D48" s="57" t="s">
        <v>117</v>
      </c>
      <c r="E48" s="57"/>
      <c r="F48" s="56"/>
      <c r="G48" s="57"/>
      <c r="H48" s="142">
        <f>IF(Leerlinggegevens!AC27=0,0,IF(Leerlinggegevens!D27=0,0,IF(Leerlinggegevens!G27="ja",0,IF(Leerlinggegevens!D27="SO",VLOOKUP(Leerlinggegevens!E27,PvE_SO,37,FALSE),VLOOKUP(Leerlinggegevens!E27,PvE_VSO,37,FALSE)))+IF(Leerlinggegevens!D27="SO",VLOOKUP(Leerlinggegevens!E27,PvE_SO,38,FALSE),VLOOKUP(Leerlinggegevens!E27,PvE_VSO,38,FALSE))*Leerlinggegevens!AC27))</f>
        <v>0</v>
      </c>
      <c r="I48" s="142">
        <f>IF(Leerlinggegevens!AC45=0,0,IF(Leerlinggegevens!D45=0,0,IF(Leerlinggegevens!G27="ja",0,IF(Leerlinggegevens!D45="SO",VLOOKUP(Leerlinggegevens!E45,PvE_SO,37,FALSE),VLOOKUP(Leerlinggegevens!E45,PvE_VSO,37,FALSE)))+IF(Leerlinggegevens!D45="SO",VLOOKUP(Leerlinggegevens!E45,PvE_SO,38,FALSE),VLOOKUP(Leerlinggegevens!E45,PvE_VSO,38,FALSE))*Leerlinggegevens!AC45))</f>
        <v>0</v>
      </c>
      <c r="J48" s="142">
        <f>IF(Leerlinggegevens!AC63=0,0,IF(Leerlinggegevens!D63=0,0,IF(Leerlinggegevens!D63="SO",VLOOKUP(Leerlinggegevens!E63,PvE_SO,37,FALSE),VLOOKUP(Leerlinggegevens!E63,PvE_VSO,37,FALSE))+IF(Leerlinggegevens!D63="SO",VLOOKUP(Leerlinggegevens!E63,PvE_SO,38,FALSE),VLOOKUP(Leerlinggegevens!E63,PvE_VSO,38,FALSE))*Leerlinggegevens!AC63))</f>
        <v>0</v>
      </c>
      <c r="K48" s="142">
        <f>IF(Leerlinggegevens!AC81=0,0,IF(Leerlinggegevens!D81=0,0,IF(Leerlinggegevens!D81="SO",VLOOKUP(Leerlinggegevens!E81,PvE_SO,37,FALSE),VLOOKUP(Leerlinggegevens!E81,PvE_VSO,37,FALSE))+IF(Leerlinggegevens!D81="SO",VLOOKUP(Leerlinggegevens!E81,PvE_SO,38,FALSE),VLOOKUP(Leerlinggegevens!E81,PvE_VSO,38,FALSE))*Leerlinggegevens!AC81))</f>
        <v>0</v>
      </c>
      <c r="L48" s="59"/>
      <c r="M48" s="25"/>
    </row>
    <row r="49" spans="2:13" s="107" customFormat="1" ht="12.75">
      <c r="B49" s="90"/>
      <c r="C49" s="130"/>
      <c r="D49" s="92" t="s">
        <v>37</v>
      </c>
      <c r="E49" s="92"/>
      <c r="F49" s="91"/>
      <c r="G49" s="92"/>
      <c r="H49" s="143">
        <f>SUM(H37:H48)-H42-H47</f>
        <v>0</v>
      </c>
      <c r="I49" s="143">
        <f>SUM(I37:I48)-I42-I47</f>
        <v>0</v>
      </c>
      <c r="J49" s="143">
        <f>SUM(J37:J48)-J42-J47</f>
        <v>0</v>
      </c>
      <c r="K49" s="143">
        <f>SUM(K37:K48)-K42-K47</f>
        <v>0</v>
      </c>
      <c r="L49" s="93"/>
      <c r="M49" s="94"/>
    </row>
    <row r="50" spans="2:13" ht="12.75">
      <c r="B50" s="21"/>
      <c r="C50" s="121"/>
      <c r="D50" s="57"/>
      <c r="E50" s="57"/>
      <c r="F50" s="56"/>
      <c r="G50" s="57"/>
      <c r="H50" s="119"/>
      <c r="I50" s="119"/>
      <c r="J50" s="119"/>
      <c r="K50" s="119"/>
      <c r="L50" s="59"/>
      <c r="M50" s="25"/>
    </row>
    <row r="51" spans="2:13" ht="12.75">
      <c r="B51" s="21"/>
      <c r="C51" s="121"/>
      <c r="D51" s="92" t="s">
        <v>43</v>
      </c>
      <c r="E51" s="61"/>
      <c r="F51" s="56"/>
      <c r="G51" s="57"/>
      <c r="H51" s="120"/>
      <c r="I51" s="120"/>
      <c r="J51" s="120"/>
      <c r="K51" s="120"/>
      <c r="L51" s="59"/>
      <c r="M51" s="25"/>
    </row>
    <row r="52" spans="2:13" ht="12.75">
      <c r="B52" s="21"/>
      <c r="C52" s="121"/>
      <c r="D52" s="57" t="s">
        <v>38</v>
      </c>
      <c r="E52" s="57"/>
      <c r="F52" s="56"/>
      <c r="G52" s="57"/>
      <c r="H52" s="142">
        <f>IF(Leerlinggegevens!D27=0,0,IF(Leerlinggegevens!D27="SO",VLOOKUP(Leerlinggegevens!E27,PvE_SO,40,FALSE),VLOOKUP(Leerlinggegevens!E27,PvE_VSO,40,FALSE))*Leerlinggegevens!AC27)</f>
        <v>0</v>
      </c>
      <c r="I52" s="142">
        <f>IF(Leerlinggegevens!D45=0,0,IF(Leerlinggegevens!D45="SO",VLOOKUP(Leerlinggegevens!E45,PvE_SO,40,FALSE),VLOOKUP(Leerlinggegevens!E45,PvE_VSO,40,FALSE))*Leerlinggegevens!AC45)</f>
        <v>0</v>
      </c>
      <c r="J52" s="142">
        <f>IF(Leerlinggegevens!D63=0,0,IF(Leerlinggegevens!D63="SO",VLOOKUP(Leerlinggegevens!E63,PvE_SO,40,FALSE),VLOOKUP(Leerlinggegevens!E63,PvE_VSO,40,FALSE))*Leerlinggegevens!AC63)</f>
        <v>0</v>
      </c>
      <c r="K52" s="142">
        <f>IF(Leerlinggegevens!D81=0,0,IF(Leerlinggegevens!D81="SO",VLOOKUP(Leerlinggegevens!E81,PvE_SO,40,FALSE),VLOOKUP(Leerlinggegevens!E81,PvE_VSO,40,FALSE))*Leerlinggegevens!AC81)</f>
        <v>0</v>
      </c>
      <c r="L52" s="59"/>
      <c r="M52" s="25"/>
    </row>
    <row r="53" spans="2:13" ht="12.75">
      <c r="B53" s="21"/>
      <c r="C53" s="121"/>
      <c r="D53" s="57" t="s">
        <v>39</v>
      </c>
      <c r="E53" s="57"/>
      <c r="F53" s="56"/>
      <c r="G53" s="57"/>
      <c r="H53" s="142">
        <f>IF(Leerlinggegevens!AC27=0,0,IF(Leerlinggegevens!D27=0,0,IF(Leerlinggegevens!G27="ja",0,+IF(Leerlinggegevens!D27="SO",VLOOKUP(Leerlinggegevens!E27,PvE_SO,41,FALSE),VLOOKUP(Leerlinggegevens!E27,PvE_VSO,41,FALSE)))+IF(Leerlinggegevens!D27="SO",VLOOKUP(Leerlinggegevens!E27,PvE_SO,42,FALSE),VLOOKUP(Leerlinggegevens!E27,PvE_VSO,42,FALSE))*Leerlinggegevens!AC27))</f>
        <v>0</v>
      </c>
      <c r="I53" s="142">
        <f>IF(Leerlinggegevens!AC45=0,0,IF(Leerlinggegevens!D45=0,0,IF(Leerlinggegevens!G27="ja",0,+IF(Leerlinggegevens!D45="SO",VLOOKUP(Leerlinggegevens!E45,PvE_SO,41,FALSE),VLOOKUP(Leerlinggegevens!E45,PvE_VSO,41,FALSE)))+IF(Leerlinggegevens!D45="SO",VLOOKUP(Leerlinggegevens!E45,PvE_SO,42,FALSE),VLOOKUP(Leerlinggegevens!E45,PvE_VSO,42,FALSE))*Leerlinggegevens!AC45))</f>
        <v>0</v>
      </c>
      <c r="J53" s="142">
        <f>IF(Leerlinggegevens!AC63=0,0,IF(Leerlinggegevens!D63=0,0,IF(Leerlinggegevens!G27="ja",0,+IF(Leerlinggegevens!D63="SO",VLOOKUP(Leerlinggegevens!E63,PvE_SO,41,FALSE),VLOOKUP(Leerlinggegevens!E63,PvE_VSO,41,FALSE)))+IF(Leerlinggegevens!D63="SO",VLOOKUP(Leerlinggegevens!E63,PvE_SO,42,FALSE),VLOOKUP(Leerlinggegevens!E63,PvE_VSO,42,FALSE))*Leerlinggegevens!AC63))</f>
        <v>0</v>
      </c>
      <c r="K53" s="142">
        <f>IF(Leerlinggegevens!AC81=0,0,IF(Leerlinggegevens!D81=0,0,IF(Leerlinggegevens!G27="ja",0,+IF(Leerlinggegevens!D81="SO",VLOOKUP(Leerlinggegevens!E81,PvE_SO,41,FALSE),VLOOKUP(Leerlinggegevens!E81,PvE_VSO,41,FALSE)))+IF(Leerlinggegevens!D81="SO",VLOOKUP(Leerlinggegevens!E81,PvE_SO,42,FALSE),VLOOKUP(Leerlinggegevens!E81,PvE_VSO,42,FALSE))*Leerlinggegevens!AC81))</f>
        <v>0</v>
      </c>
      <c r="L53" s="59"/>
      <c r="M53" s="25"/>
    </row>
    <row r="54" spans="2:13" ht="12.75">
      <c r="B54" s="21"/>
      <c r="C54" s="121"/>
      <c r="D54" s="57" t="s">
        <v>40</v>
      </c>
      <c r="E54" s="57"/>
      <c r="F54" s="56"/>
      <c r="G54" s="57"/>
      <c r="H54" s="142">
        <f>IF(Leerlinggegevens!D27=0,0,IF(Leerlinggegevens!D27="SO",VLOOKUP(Leerlinggegevens!E27,PvE_SO,44,FALSE),VLOOKUP(Leerlinggegevens!E27,PvE_VSO,44,FALSE))*Leerlinggegevens!AC27)</f>
        <v>0</v>
      </c>
      <c r="I54" s="142">
        <f>IF(Leerlinggegevens!D45=0,0,IF(Leerlinggegevens!D45="SO",VLOOKUP(Leerlinggegevens!E45,PvE_SO,44,FALSE),VLOOKUP(Leerlinggegevens!E45,PvE_VSO,44,FALSE))*Leerlinggegevens!AC45)</f>
        <v>0</v>
      </c>
      <c r="J54" s="142">
        <f>IF(Leerlinggegevens!D63=0,0,IF(Leerlinggegevens!D63="SO",VLOOKUP(Leerlinggegevens!E63,PvE_SO,44,FALSE),VLOOKUP(Leerlinggegevens!E63,PvE_VSO,44,FALSE))*Leerlinggegevens!AC63)</f>
        <v>0</v>
      </c>
      <c r="K54" s="142">
        <f>IF(Leerlinggegevens!D81=0,0,IF(Leerlinggegevens!D81="SO",VLOOKUP(Leerlinggegevens!E81,PvE_SO,44,FALSE),VLOOKUP(Leerlinggegevens!E81,PvE_VSO,44,FALSE))*Leerlinggegevens!AC81)</f>
        <v>0</v>
      </c>
      <c r="L54" s="59"/>
      <c r="M54" s="25"/>
    </row>
    <row r="55" spans="2:13" s="107" customFormat="1" ht="12.75">
      <c r="B55" s="90"/>
      <c r="C55" s="130"/>
      <c r="D55" s="92" t="s">
        <v>37</v>
      </c>
      <c r="E55" s="92"/>
      <c r="F55" s="91"/>
      <c r="G55" s="92"/>
      <c r="H55" s="143">
        <f>SUM(H52:H54)</f>
        <v>0</v>
      </c>
      <c r="I55" s="143">
        <f>SUM(I52:I54)</f>
        <v>0</v>
      </c>
      <c r="J55" s="143">
        <f>SUM(J52:J54)</f>
        <v>0</v>
      </c>
      <c r="K55" s="143">
        <f>SUM(K52:K54)</f>
        <v>0</v>
      </c>
      <c r="L55" s="93"/>
      <c r="M55" s="94"/>
    </row>
    <row r="56" spans="2:13" ht="12.75">
      <c r="B56" s="21"/>
      <c r="C56" s="121"/>
      <c r="D56" s="61"/>
      <c r="E56" s="61"/>
      <c r="F56" s="56"/>
      <c r="G56" s="57"/>
      <c r="H56" s="152">
        <f>H49+H55</f>
        <v>0</v>
      </c>
      <c r="I56" s="152">
        <f>I49+I55</f>
        <v>0</v>
      </c>
      <c r="J56" s="152">
        <f>J49+J55</f>
        <v>0</v>
      </c>
      <c r="K56" s="152">
        <f>K49+K55</f>
        <v>0</v>
      </c>
      <c r="L56" s="59"/>
      <c r="M56" s="25"/>
    </row>
    <row r="57" spans="2:13" ht="12.75">
      <c r="B57" s="21"/>
      <c r="C57" s="121"/>
      <c r="D57" s="61" t="s">
        <v>87</v>
      </c>
      <c r="E57" s="61"/>
      <c r="F57" s="56"/>
      <c r="G57" s="57"/>
      <c r="H57" s="144">
        <f>IF(Leerlinggegevens!AC27=0,0,IF(Leerlinggegevens!D27=0,0,IF(Leerlinggegevens!G27="ja",0,IF(Leerlinggegevens!D27="SO",VLOOKUP(Leerlinggegevens!E27,leerlingafhPvE,3,FALSE),VLOOKUP(Leerlinggegevens!E27,leerlingafhPvE,5,FALSE)))+IF(Leerlinggegevens!D27="SO",VLOOKUP(Leerlinggegevens!E27,leerlingafhPvE,4,FALSE),VLOOKUP(Leerlinggegevens!E27,leerlingafhPvE,6,FALSE))*Leerlinggegevens!AC27))</f>
        <v>0</v>
      </c>
      <c r="I57" s="144">
        <f>IF(Leerlinggegevens!AC45=0,0,IF(Leerlinggegevens!D45=0,0,IF(Leerlinggegevens!G45="ja",0,IF(Leerlinggegevens!D45="SO",VLOOKUP(Leerlinggegevens!E45,leerlingafhPvE,3,FALSE),VLOOKUP(Leerlinggegevens!E45,leerlingafhPvE,5,FALSE)))+IF(Leerlinggegevens!D45="SO",VLOOKUP(Leerlinggegevens!E45,leerlingafhPvE,4,FALSE),VLOOKUP(Leerlinggegevens!E45,leerlingafhPvE,6,FALSE))*Leerlinggegevens!AC45))</f>
        <v>0</v>
      </c>
      <c r="J57" s="144">
        <f>IF(Leerlinggegevens!AC63=0,0,IF(Leerlinggegevens!D63=0,0,IF(Leerlinggegevens!G63="ja",0,IF(Leerlinggegevens!D63="SO",VLOOKUP(Leerlinggegevens!E63,leerlingafhPvE,3,FALSE),VLOOKUP(Leerlinggegevens!E63,leerlingafhPvE,5,FALSE)))+IF(Leerlinggegevens!D63="SO",VLOOKUP(Leerlinggegevens!E63,leerlingafhPvE,4,FALSE),VLOOKUP(Leerlinggegevens!E63,leerlingafhPvE,6,FALSE))*Leerlinggegevens!AC63))</f>
        <v>0</v>
      </c>
      <c r="K57" s="144">
        <f>IF(Leerlinggegevens!AC81=0,0,IF(Leerlinggegevens!D81=0,0,IF(Leerlinggegevens!G81="ja",0,IF(Leerlinggegevens!D81="SO",VLOOKUP(Leerlinggegevens!E81,leerlingafhPvE,3,FALSE),VLOOKUP(Leerlinggegevens!E81,leerlingafhPvE,5,FALSE)))+IF(Leerlinggegevens!D81="SO",VLOOKUP(Leerlinggegevens!E81,leerlingafhPvE,4,FALSE),VLOOKUP(Leerlinggegevens!E81,leerlingafhPvE,6,FALSE))*Leerlinggegevens!AC81))</f>
        <v>0</v>
      </c>
      <c r="L57" s="59"/>
      <c r="M57" s="25"/>
    </row>
    <row r="58" spans="2:13" ht="12.75">
      <c r="B58" s="21"/>
      <c r="C58" s="121"/>
      <c r="D58" s="61"/>
      <c r="E58" s="61"/>
      <c r="F58" s="56"/>
      <c r="G58" s="57"/>
      <c r="H58" s="119"/>
      <c r="I58" s="119"/>
      <c r="J58" s="119"/>
      <c r="K58" s="119"/>
      <c r="L58" s="59"/>
      <c r="M58" s="25"/>
    </row>
    <row r="59" spans="2:13" ht="12.75">
      <c r="B59" s="21"/>
      <c r="C59" s="121"/>
      <c r="D59" s="61" t="s">
        <v>140</v>
      </c>
      <c r="E59" s="61"/>
      <c r="F59" s="56"/>
      <c r="G59" s="57"/>
      <c r="H59" s="144">
        <f>+H31+H33+H57</f>
        <v>0</v>
      </c>
      <c r="I59" s="144">
        <f>+I31+I33+I57</f>
        <v>0</v>
      </c>
      <c r="J59" s="144">
        <f>+J31+J33+J57</f>
        <v>0</v>
      </c>
      <c r="K59" s="144">
        <f>+K31+K33+K57</f>
        <v>0</v>
      </c>
      <c r="L59" s="59"/>
      <c r="M59" s="25"/>
    </row>
    <row r="60" spans="2:13" ht="12.75">
      <c r="B60" s="21"/>
      <c r="C60" s="121"/>
      <c r="D60" s="57"/>
      <c r="E60" s="57"/>
      <c r="F60" s="56"/>
      <c r="G60" s="57"/>
      <c r="H60" s="120"/>
      <c r="I60" s="120"/>
      <c r="J60" s="120"/>
      <c r="K60" s="120"/>
      <c r="L60" s="59"/>
      <c r="M60" s="25"/>
    </row>
    <row r="61" spans="2:13" ht="12.75">
      <c r="B61" s="21"/>
      <c r="C61" s="118" t="s">
        <v>123</v>
      </c>
      <c r="D61" s="61" t="s">
        <v>16</v>
      </c>
      <c r="E61" s="61"/>
      <c r="F61" s="56"/>
      <c r="G61" s="57"/>
      <c r="H61" s="119"/>
      <c r="I61" s="119"/>
      <c r="J61" s="119"/>
      <c r="K61" s="119"/>
      <c r="L61" s="59"/>
      <c r="M61" s="25"/>
    </row>
    <row r="62" spans="2:13" ht="12.75">
      <c r="B62" s="21"/>
      <c r="C62" s="121"/>
      <c r="D62" s="57" t="s">
        <v>195</v>
      </c>
      <c r="E62" s="61"/>
      <c r="F62" s="85" t="s">
        <v>102</v>
      </c>
      <c r="G62" s="67"/>
      <c r="H62" s="142">
        <f>IF($F62="ja",IF(Leerlinggegevens!D27=0,0,tabellen!$G126),0)</f>
        <v>0</v>
      </c>
      <c r="I62" s="142">
        <f>IF($F62="ja",IF(Leerlinggegevens!D45=0,0,tabellen!$G126),0)</f>
        <v>0</v>
      </c>
      <c r="J62" s="142">
        <f>IF($F62="ja",IF(Leerlinggegevens!D63=0,0,tabellen!$G126),0)</f>
        <v>0</v>
      </c>
      <c r="K62" s="142">
        <f>IF($F62="ja",IF(Leerlinggegevens!D81=0,0,tabellen!$G126),0)</f>
        <v>0</v>
      </c>
      <c r="L62" s="59"/>
      <c r="M62" s="25"/>
    </row>
    <row r="63" spans="2:13" ht="12.75">
      <c r="B63" s="21"/>
      <c r="C63" s="121"/>
      <c r="D63" s="57" t="s">
        <v>196</v>
      </c>
      <c r="E63" s="61"/>
      <c r="F63" s="85" t="s">
        <v>102</v>
      </c>
      <c r="G63" s="67"/>
      <c r="H63" s="142">
        <f>IF($F63="ja",IF(Leerlinggegevens!D27=0,0,VLOOKUP(Leerlinggegevens!$E27,schoolbaden,4,FALSE)),0)</f>
        <v>0</v>
      </c>
      <c r="I63" s="142">
        <f>IF($F63="ja",IF(Leerlinggegevens!D45=0,0,VLOOKUP(Leerlinggegevens!$E45,schoolbaden,4,FALSE)),0)</f>
        <v>0</v>
      </c>
      <c r="J63" s="142">
        <f>IF($F63="ja",IF(Leerlinggegevens!D63=0,0,VLOOKUP(Leerlinggegevens!$E63,schoolbaden,4,FALSE)),0)</f>
        <v>0</v>
      </c>
      <c r="K63" s="142">
        <f>IF($F63="ja",IF(Leerlinggegevens!D81=0,0,VLOOKUP(Leerlinggegevens!$E81,schoolbaden,4,FALSE)),0)</f>
        <v>0</v>
      </c>
      <c r="L63" s="59"/>
      <c r="M63" s="25"/>
    </row>
    <row r="64" spans="2:13" ht="12.75">
      <c r="B64" s="21"/>
      <c r="C64" s="121"/>
      <c r="D64" s="57" t="s">
        <v>203</v>
      </c>
      <c r="E64" s="61"/>
      <c r="F64" s="85">
        <v>0</v>
      </c>
      <c r="G64" s="67"/>
      <c r="H64" s="142">
        <f>IF($F64&lt;1,0,IF(Leerlinggegevens!$D27=0,0,VLOOKUP(Leerlinggegevens!$E27,schoolbaden,5,FALSE))*$F$64)</f>
        <v>0</v>
      </c>
      <c r="I64" s="142">
        <f>IF($F64&lt;1,0,IF(Leerlinggegevens!$D45=0,0,VLOOKUP(Leerlinggegevens!$E45,schoolbaden,5,FALSE))*$F$64)</f>
        <v>0</v>
      </c>
      <c r="J64" s="142">
        <f>IF($F64&lt;1,0,IF(Leerlinggegevens!$D63=0,0,VLOOKUP(Leerlinggegevens!$E63,schoolbaden,5,FALSE))*$F$64)</f>
        <v>0</v>
      </c>
      <c r="K64" s="142">
        <f>IF($F64&lt;1,0,IF(Leerlinggegevens!$D81=0,0,VLOOKUP(Leerlinggegevens!$E81,schoolbaden,5,FALSE))*$F$64)</f>
        <v>0</v>
      </c>
      <c r="L64" s="59"/>
      <c r="M64" s="25"/>
    </row>
    <row r="65" spans="2:13" ht="12.75">
      <c r="B65" s="21"/>
      <c r="C65" s="121"/>
      <c r="D65" s="57" t="s">
        <v>204</v>
      </c>
      <c r="E65" s="61"/>
      <c r="F65" s="85" t="s">
        <v>102</v>
      </c>
      <c r="G65" s="67"/>
      <c r="H65" s="142">
        <f>IF($F65="ja",tabellen!$G$125+(tabellen!$H$125*$F$64),0)</f>
        <v>0</v>
      </c>
      <c r="I65" s="142">
        <f>IF($F65="ja",tabellen!$G$125+(tabellen!$H$125*$F$64),0)</f>
        <v>0</v>
      </c>
      <c r="J65" s="142">
        <f>IF($F65="ja",tabellen!$G$125+(tabellen!$H$125*$F$64),0)</f>
        <v>0</v>
      </c>
      <c r="K65" s="142">
        <f>IF($F65="ja",tabellen!$G$125+(tabellen!$H$125*$F$64),0)</f>
        <v>0</v>
      </c>
      <c r="L65" s="59"/>
      <c r="M65" s="25"/>
    </row>
    <row r="66" spans="2:13" ht="12.75">
      <c r="B66" s="21"/>
      <c r="C66" s="118"/>
      <c r="D66" s="133" t="s">
        <v>37</v>
      </c>
      <c r="E66" s="92"/>
      <c r="F66" s="92"/>
      <c r="G66" s="92"/>
      <c r="H66" s="150">
        <f>SUM(H62:H65)</f>
        <v>0</v>
      </c>
      <c r="I66" s="150">
        <f>SUM(I62:I65)</f>
        <v>0</v>
      </c>
      <c r="J66" s="150">
        <f>SUM(J62:J65)</f>
        <v>0</v>
      </c>
      <c r="K66" s="150">
        <f>SUM(K62:K65)</f>
        <v>0</v>
      </c>
      <c r="L66" s="59"/>
      <c r="M66" s="25"/>
    </row>
    <row r="67" spans="2:13" ht="12.75">
      <c r="B67" s="21"/>
      <c r="C67" s="118"/>
      <c r="D67" s="61"/>
      <c r="E67" s="61"/>
      <c r="F67" s="56"/>
      <c r="G67" s="57"/>
      <c r="H67" s="120"/>
      <c r="I67" s="120"/>
      <c r="J67" s="120"/>
      <c r="K67" s="120"/>
      <c r="L67" s="59"/>
      <c r="M67" s="25"/>
    </row>
    <row r="68" spans="2:13" ht="12.75">
      <c r="B68" s="21"/>
      <c r="C68" s="118" t="s">
        <v>124</v>
      </c>
      <c r="D68" s="61" t="s">
        <v>71</v>
      </c>
      <c r="E68" s="61"/>
      <c r="F68" s="56"/>
      <c r="G68" s="57"/>
      <c r="H68" s="120"/>
      <c r="I68" s="120"/>
      <c r="J68" s="120"/>
      <c r="K68" s="120"/>
      <c r="L68" s="59"/>
      <c r="M68" s="25"/>
    </row>
    <row r="69" spans="2:13" ht="12.75">
      <c r="B69" s="21"/>
      <c r="C69" s="121"/>
      <c r="D69" s="57" t="s">
        <v>197</v>
      </c>
      <c r="E69" s="61"/>
      <c r="F69" s="151">
        <f>+tabellen!G130</f>
        <v>1003.72</v>
      </c>
      <c r="G69" s="132"/>
      <c r="H69" s="120"/>
      <c r="I69" s="120"/>
      <c r="J69" s="120"/>
      <c r="K69" s="120"/>
      <c r="L69" s="59"/>
      <c r="M69" s="25"/>
    </row>
    <row r="70" spans="2:13" ht="12.75">
      <c r="B70" s="21"/>
      <c r="C70" s="121"/>
      <c r="D70" s="57" t="s">
        <v>125</v>
      </c>
      <c r="E70" s="61"/>
      <c r="F70" s="85">
        <v>0</v>
      </c>
      <c r="G70" s="67"/>
      <c r="H70" s="142">
        <f>+F70*$F69</f>
        <v>0</v>
      </c>
      <c r="I70" s="142">
        <f>+H70</f>
        <v>0</v>
      </c>
      <c r="J70" s="142">
        <f>+I70</f>
        <v>0</v>
      </c>
      <c r="K70" s="142">
        <f>+J70</f>
        <v>0</v>
      </c>
      <c r="L70" s="59"/>
      <c r="M70" s="25"/>
    </row>
    <row r="71" spans="2:13" ht="12.75">
      <c r="B71" s="21"/>
      <c r="C71" s="118"/>
      <c r="D71" s="57" t="s">
        <v>198</v>
      </c>
      <c r="E71" s="61"/>
      <c r="F71" s="56"/>
      <c r="G71" s="57"/>
      <c r="H71" s="120"/>
      <c r="I71" s="120"/>
      <c r="J71" s="120"/>
      <c r="K71" s="120"/>
      <c r="L71" s="59"/>
      <c r="M71" s="25"/>
    </row>
    <row r="72" spans="2:13" ht="12.75">
      <c r="B72" s="21"/>
      <c r="C72" s="121"/>
      <c r="D72" s="57" t="s">
        <v>199</v>
      </c>
      <c r="E72" s="61"/>
      <c r="F72" s="85">
        <v>0</v>
      </c>
      <c r="G72" s="67"/>
      <c r="H72" s="142">
        <f>+$F72*tabellen!$G135</f>
        <v>0</v>
      </c>
      <c r="I72" s="142">
        <f>+$F72*tabellen!$G135</f>
        <v>0</v>
      </c>
      <c r="J72" s="142">
        <f>+$F72*tabellen!$G135</f>
        <v>0</v>
      </c>
      <c r="K72" s="142">
        <f>+$F72*tabellen!$G135</f>
        <v>0</v>
      </c>
      <c r="L72" s="59"/>
      <c r="M72" s="25"/>
    </row>
    <row r="73" spans="2:13" s="107" customFormat="1" ht="12.75">
      <c r="B73" s="90"/>
      <c r="C73" s="130"/>
      <c r="D73" s="57"/>
      <c r="E73" s="57"/>
      <c r="F73" s="57"/>
      <c r="G73" s="57"/>
      <c r="H73" s="57"/>
      <c r="I73" s="57"/>
      <c r="J73" s="57"/>
      <c r="K73" s="57"/>
      <c r="L73" s="93"/>
      <c r="M73" s="94"/>
    </row>
    <row r="74" spans="2:13" ht="12.75">
      <c r="B74" s="21"/>
      <c r="C74" s="118" t="s">
        <v>141</v>
      </c>
      <c r="D74" s="61" t="s">
        <v>166</v>
      </c>
      <c r="E74" s="61"/>
      <c r="F74" s="56"/>
      <c r="G74" s="57"/>
      <c r="H74" s="149">
        <v>0</v>
      </c>
      <c r="I74" s="149">
        <v>0</v>
      </c>
      <c r="J74" s="149">
        <v>0</v>
      </c>
      <c r="K74" s="149">
        <v>0</v>
      </c>
      <c r="L74" s="59"/>
      <c r="M74" s="25"/>
    </row>
    <row r="75" spans="2:13" ht="12.75">
      <c r="B75" s="21"/>
      <c r="C75" s="121"/>
      <c r="D75" s="57" t="s">
        <v>167</v>
      </c>
      <c r="E75" s="61"/>
      <c r="F75" s="56"/>
      <c r="G75" s="57"/>
      <c r="H75" s="149">
        <v>0</v>
      </c>
      <c r="I75" s="149">
        <v>0</v>
      </c>
      <c r="J75" s="149">
        <v>0</v>
      </c>
      <c r="K75" s="149">
        <v>0</v>
      </c>
      <c r="L75" s="59"/>
      <c r="M75" s="25"/>
    </row>
    <row r="76" spans="2:13" s="107" customFormat="1" ht="12.75">
      <c r="B76" s="90"/>
      <c r="C76" s="130"/>
      <c r="D76" s="133" t="s">
        <v>37</v>
      </c>
      <c r="E76" s="92"/>
      <c r="F76" s="92"/>
      <c r="G76" s="92"/>
      <c r="H76" s="150">
        <f>SUM(H74:H75)</f>
        <v>0</v>
      </c>
      <c r="I76" s="150">
        <f>SUM(I74:I75)</f>
        <v>0</v>
      </c>
      <c r="J76" s="150">
        <f>SUM(J74:J75)</f>
        <v>0</v>
      </c>
      <c r="K76" s="150">
        <f>SUM(K74:K75)</f>
        <v>0</v>
      </c>
      <c r="L76" s="93"/>
      <c r="M76" s="94"/>
    </row>
    <row r="77" spans="2:13" ht="12.75">
      <c r="B77" s="21"/>
      <c r="C77" s="121"/>
      <c r="D77" s="57"/>
      <c r="E77" s="57"/>
      <c r="F77" s="56"/>
      <c r="G77" s="57"/>
      <c r="H77" s="120"/>
      <c r="I77" s="120"/>
      <c r="J77" s="120"/>
      <c r="K77" s="120"/>
      <c r="L77" s="59"/>
      <c r="M77" s="25"/>
    </row>
    <row r="78" spans="2:13" ht="12.75">
      <c r="B78" s="21"/>
      <c r="C78" s="118" t="s">
        <v>142</v>
      </c>
      <c r="D78" s="61" t="s">
        <v>149</v>
      </c>
      <c r="E78" s="61"/>
      <c r="F78" s="56"/>
      <c r="G78" s="57"/>
      <c r="H78" s="119"/>
      <c r="I78" s="119"/>
      <c r="J78" s="119"/>
      <c r="K78" s="119"/>
      <c r="L78" s="59"/>
      <c r="M78" s="25"/>
    </row>
    <row r="79" spans="2:13" ht="12.75">
      <c r="B79" s="21"/>
      <c r="C79" s="121"/>
      <c r="D79" s="57" t="s">
        <v>145</v>
      </c>
      <c r="E79" s="61"/>
      <c r="F79" s="85">
        <v>0</v>
      </c>
      <c r="G79" s="67"/>
      <c r="H79" s="142">
        <f>IF(Leerlinggegevens!K27=0,0,F79*VLOOKUP(I14,TAB,2,FALSE))</f>
        <v>0</v>
      </c>
      <c r="I79" s="142">
        <f>IF(Leerlinggegevens!$K$45=0,0,+H79)</f>
        <v>0</v>
      </c>
      <c r="J79" s="142">
        <f>IF(Leerlinggegevens!$K$63=0,0,+I79)</f>
        <v>0</v>
      </c>
      <c r="K79" s="142">
        <f>IF(Leerlinggegevens!$K$81=0,0,+J79)</f>
        <v>0</v>
      </c>
      <c r="L79" s="59"/>
      <c r="M79" s="25"/>
    </row>
    <row r="80" spans="2:13" ht="12.75">
      <c r="B80" s="21"/>
      <c r="C80" s="121"/>
      <c r="D80" s="57" t="s">
        <v>146</v>
      </c>
      <c r="E80" s="61"/>
      <c r="F80" s="85">
        <v>0</v>
      </c>
      <c r="G80" s="67"/>
      <c r="H80" s="142">
        <f>IF(Leerlinggegevens!K27=0,0,F80*VLOOKUP(I14,TAB,3,FALSE))</f>
        <v>0</v>
      </c>
      <c r="I80" s="142">
        <f>IF(Leerlinggegevens!$K$45=0,0,+H80)</f>
        <v>0</v>
      </c>
      <c r="J80" s="142">
        <f>IF(Leerlinggegevens!$K$63=0,0,+I80)</f>
        <v>0</v>
      </c>
      <c r="K80" s="142">
        <f>IF(Leerlinggegevens!$K$81=0,0,+J80)</f>
        <v>0</v>
      </c>
      <c r="L80" s="59"/>
      <c r="M80" s="25"/>
    </row>
    <row r="81" spans="2:13" s="107" customFormat="1" ht="12.75">
      <c r="B81" s="90"/>
      <c r="C81" s="130"/>
      <c r="D81" s="92" t="s">
        <v>37</v>
      </c>
      <c r="E81" s="92"/>
      <c r="F81" s="91"/>
      <c r="G81" s="92"/>
      <c r="H81" s="150">
        <f>SUM(H79:H80)</f>
        <v>0</v>
      </c>
      <c r="I81" s="150">
        <f>SUM(I79:I80)</f>
        <v>0</v>
      </c>
      <c r="J81" s="150">
        <f>SUM(J79:J80)</f>
        <v>0</v>
      </c>
      <c r="K81" s="150">
        <f>SUM(K79:K80)</f>
        <v>0</v>
      </c>
      <c r="L81" s="93"/>
      <c r="M81" s="94"/>
    </row>
    <row r="82" spans="2:13" ht="12.75">
      <c r="B82" s="21"/>
      <c r="C82" s="121"/>
      <c r="D82" s="57"/>
      <c r="E82" s="57"/>
      <c r="F82" s="56"/>
      <c r="G82" s="57"/>
      <c r="H82" s="120"/>
      <c r="I82" s="120"/>
      <c r="J82" s="120"/>
      <c r="K82" s="120"/>
      <c r="L82" s="59"/>
      <c r="M82" s="25"/>
    </row>
    <row r="83" spans="2:13" ht="12.75">
      <c r="B83" s="21"/>
      <c r="C83" s="121"/>
      <c r="D83" s="61" t="s">
        <v>150</v>
      </c>
      <c r="E83" s="61"/>
      <c r="F83" s="56"/>
      <c r="G83" s="57"/>
      <c r="H83" s="120"/>
      <c r="I83" s="120"/>
      <c r="J83" s="120"/>
      <c r="K83" s="120"/>
      <c r="L83" s="59"/>
      <c r="M83" s="25"/>
    </row>
    <row r="84" spans="2:13" ht="12.75">
      <c r="B84" s="21"/>
      <c r="C84" s="121"/>
      <c r="D84" s="57" t="s">
        <v>145</v>
      </c>
      <c r="E84" s="61"/>
      <c r="F84" s="85">
        <v>0</v>
      </c>
      <c r="G84" s="67"/>
      <c r="H84" s="142">
        <f>IF(Leerlinggegevens!K27=0,0,F84*(VLOOKUP(I14,_LGF1,2,FALSE)*7/12+VLOOKUP(I14,_LGF2,2,FALSE)*5/12))</f>
        <v>0</v>
      </c>
      <c r="I84" s="142">
        <f>IF(Leerlinggegevens!$K$45=0,0,+H84)</f>
        <v>0</v>
      </c>
      <c r="J84" s="142">
        <f>IF(Leerlinggegevens!$K$63=0,0,+I84)</f>
        <v>0</v>
      </c>
      <c r="K84" s="142">
        <f>IF(Leerlinggegevens!$K$81=0,0,+J84)</f>
        <v>0</v>
      </c>
      <c r="L84" s="59"/>
      <c r="M84" s="25"/>
    </row>
    <row r="85" spans="2:13" ht="12.75">
      <c r="B85" s="21"/>
      <c r="C85" s="121"/>
      <c r="D85" s="57" t="s">
        <v>251</v>
      </c>
      <c r="E85" s="61"/>
      <c r="F85" s="85">
        <v>0</v>
      </c>
      <c r="G85" s="67"/>
      <c r="H85" s="142">
        <f>IF(Leerlinggegevens!K27=0,0,F85*(VLOOKUP(I14,_LGF1,3,FALSE)*7/12+VLOOKUP(I14,_LGF2,3,FALSE)*5/12))</f>
        <v>0</v>
      </c>
      <c r="I85" s="142">
        <f>IF(Leerlinggegevens!$K$45=0,0,+H85)</f>
        <v>0</v>
      </c>
      <c r="J85" s="142">
        <f>IF(Leerlinggegevens!$K$63=0,0,+I85)</f>
        <v>0</v>
      </c>
      <c r="K85" s="142">
        <f>IF(Leerlinggegevens!$K$81=0,0,+J85)</f>
        <v>0</v>
      </c>
      <c r="L85" s="59"/>
      <c r="M85" s="25"/>
    </row>
    <row r="86" spans="2:13" ht="12.75">
      <c r="B86" s="21"/>
      <c r="C86" s="121"/>
      <c r="D86" s="57" t="s">
        <v>252</v>
      </c>
      <c r="E86" s="61"/>
      <c r="F86" s="85">
        <v>0</v>
      </c>
      <c r="G86" s="67"/>
      <c r="H86" s="142">
        <f>IF(Leerlinggegevens!K$27=0,0,F86*VLOOKUP(I14,_LGF3,2,FALSE))</f>
        <v>0</v>
      </c>
      <c r="I86" s="142">
        <f>IF(Leerlinggegevens!$K$45=0,0,+H86)</f>
        <v>0</v>
      </c>
      <c r="J86" s="142">
        <f>IF(Leerlinggegevens!$K$63=0,0,+I86)</f>
        <v>0</v>
      </c>
      <c r="K86" s="142">
        <f>IF(Leerlinggegevens!$K$81=0,0,+J86)</f>
        <v>0</v>
      </c>
      <c r="L86" s="59"/>
      <c r="M86" s="25"/>
    </row>
    <row r="87" spans="2:13" ht="12.75">
      <c r="B87" s="21"/>
      <c r="C87" s="121"/>
      <c r="D87" s="57" t="s">
        <v>253</v>
      </c>
      <c r="E87" s="61"/>
      <c r="F87" s="85">
        <v>0</v>
      </c>
      <c r="G87" s="67"/>
      <c r="H87" s="142">
        <f>IF(Leerlinggegevens!K$27=0,0,F87*VLOOKUP(I14,_LGF3,3,FALSE))</f>
        <v>0</v>
      </c>
      <c r="I87" s="142">
        <f>IF(Leerlinggegevens!$K$45=0,0,+H87)</f>
        <v>0</v>
      </c>
      <c r="J87" s="142">
        <f>IF(Leerlinggegevens!$K$63=0,0,+I87)</f>
        <v>0</v>
      </c>
      <c r="K87" s="142">
        <f>IF(Leerlinggegevens!$K$81=0,0,+J87)</f>
        <v>0</v>
      </c>
      <c r="L87" s="59"/>
      <c r="M87" s="25"/>
    </row>
    <row r="88" spans="2:13" s="107" customFormat="1" ht="12.75">
      <c r="B88" s="90"/>
      <c r="C88" s="130"/>
      <c r="D88" s="92" t="s">
        <v>37</v>
      </c>
      <c r="E88" s="92"/>
      <c r="F88" s="91"/>
      <c r="G88" s="92"/>
      <c r="H88" s="150">
        <f>SUM(H84:H87)</f>
        <v>0</v>
      </c>
      <c r="I88" s="150">
        <f>SUM(I84:I87)</f>
        <v>0</v>
      </c>
      <c r="J88" s="150">
        <f>SUM(J84:J87)</f>
        <v>0</v>
      </c>
      <c r="K88" s="150">
        <f>SUM(K84:K87)</f>
        <v>0</v>
      </c>
      <c r="L88" s="93"/>
      <c r="M88" s="94"/>
    </row>
    <row r="89" spans="2:13" ht="12.75">
      <c r="B89" s="21"/>
      <c r="C89" s="121"/>
      <c r="D89" s="57"/>
      <c r="E89" s="57"/>
      <c r="F89" s="56"/>
      <c r="G89" s="57"/>
      <c r="H89" s="120"/>
      <c r="I89" s="120"/>
      <c r="J89" s="120"/>
      <c r="K89" s="120"/>
      <c r="L89" s="59"/>
      <c r="M89" s="25"/>
    </row>
    <row r="90" spans="2:13" ht="12.75">
      <c r="B90" s="21"/>
      <c r="C90" s="121"/>
      <c r="D90" s="57"/>
      <c r="E90" s="57"/>
      <c r="F90" s="56"/>
      <c r="G90" s="57"/>
      <c r="H90" s="120"/>
      <c r="I90" s="120"/>
      <c r="J90" s="120"/>
      <c r="K90" s="120"/>
      <c r="L90" s="59"/>
      <c r="M90" s="25"/>
    </row>
    <row r="91" spans="2:13" ht="12.75">
      <c r="B91" s="21"/>
      <c r="C91" s="121"/>
      <c r="D91" s="61" t="s">
        <v>213</v>
      </c>
      <c r="E91" s="61"/>
      <c r="F91" s="56"/>
      <c r="G91" s="57"/>
      <c r="H91" s="144">
        <f>+H59+H66+H70+H72+H76+H81+H88</f>
        <v>0</v>
      </c>
      <c r="I91" s="144">
        <f>+I59+I66+I70+I72+I76+I81+I88</f>
        <v>0</v>
      </c>
      <c r="J91" s="144">
        <f>+J59+J66+J70+J72+J76+J81+J88</f>
        <v>0</v>
      </c>
      <c r="K91" s="144">
        <f>+K59+K66+K70+K72+K76+K81+K88</f>
        <v>0</v>
      </c>
      <c r="L91" s="59"/>
      <c r="M91" s="25"/>
    </row>
    <row r="92" spans="2:13" ht="12.75">
      <c r="B92" s="21"/>
      <c r="C92" s="126"/>
      <c r="D92" s="75"/>
      <c r="E92" s="75"/>
      <c r="F92" s="74"/>
      <c r="G92" s="75"/>
      <c r="H92" s="124"/>
      <c r="I92" s="124"/>
      <c r="J92" s="124"/>
      <c r="K92" s="124"/>
      <c r="L92" s="76"/>
      <c r="M92" s="25"/>
    </row>
    <row r="93" spans="2:13" ht="12.75">
      <c r="B93" s="21"/>
      <c r="C93" s="24"/>
      <c r="D93" s="22"/>
      <c r="E93" s="22"/>
      <c r="F93" s="24"/>
      <c r="G93" s="22"/>
      <c r="H93" s="111"/>
      <c r="I93" s="111"/>
      <c r="J93" s="111"/>
      <c r="K93" s="111"/>
      <c r="L93" s="22"/>
      <c r="M93" s="25"/>
    </row>
    <row r="94" spans="2:13" ht="12.75">
      <c r="B94" s="21"/>
      <c r="C94" s="24"/>
      <c r="D94" s="22"/>
      <c r="E94" s="22"/>
      <c r="F94" s="24"/>
      <c r="G94" s="22"/>
      <c r="H94" s="111"/>
      <c r="I94" s="111"/>
      <c r="J94" s="111"/>
      <c r="K94" s="111"/>
      <c r="L94" s="22"/>
      <c r="M94" s="25"/>
    </row>
    <row r="95" spans="2:13" ht="12.75">
      <c r="B95" s="96"/>
      <c r="C95" s="100"/>
      <c r="D95" s="97"/>
      <c r="E95" s="97"/>
      <c r="F95" s="100"/>
      <c r="G95" s="97"/>
      <c r="H95" s="128"/>
      <c r="I95" s="128"/>
      <c r="J95" s="128"/>
      <c r="K95" s="128"/>
      <c r="L95" s="237" t="s">
        <v>230</v>
      </c>
      <c r="M95" s="101"/>
    </row>
  </sheetData>
  <sheetProtection password="DFB1" sheet="1" objects="1" scenarios="1"/>
  <dataValidations count="2">
    <dataValidation type="list" allowBlank="1" showInputMessage="1" showErrorMessage="1" sqref="G62:G65 G33">
      <formula1>$Z$7:$Z$9</formula1>
    </dataValidation>
    <dataValidation type="list" allowBlank="1" showInputMessage="1" showErrorMessage="1" sqref="F62:F63 F65 F33">
      <formula1>"ja,nee"</formula1>
    </dataValidation>
  </dataValidations>
  <printOptions gridLines="1"/>
  <pageMargins left="0.75" right="0.75" top="1" bottom="1" header="0.5" footer="0.5"/>
  <pageSetup horizontalDpi="600" verticalDpi="600" orientation="portrait" paperSize="9" scale="59" r:id="rId2"/>
  <headerFooter alignWithMargins="0">
    <oddHeader>&amp;L&amp;"Arial,Vet"&amp;F&amp;R&amp;"Arial,Vet"&amp;A</oddHeader>
    <oddFooter>&amp;L&amp;"Arial,Vet"&amp;9goedhart / keizer&amp;C&amp;"Arial,Vet"&amp;9&amp;D&amp;R&amp;"Arial,Vet"&amp;9pagina &amp;P</oddFooter>
  </headerFooter>
  <colBreaks count="1" manualBreakCount="1">
    <brk id="19" max="65535" man="1"/>
  </colBreaks>
  <drawing r:id="rId1"/>
</worksheet>
</file>

<file path=xl/worksheets/sheet6.xml><?xml version="1.0" encoding="utf-8"?>
<worksheet xmlns="http://schemas.openxmlformats.org/spreadsheetml/2006/main" xmlns:r="http://schemas.openxmlformats.org/officeDocument/2006/relationships">
  <dimension ref="B2:M95"/>
  <sheetViews>
    <sheetView zoomScale="85" zoomScaleNormal="85" zoomScalePageLayoutView="0" workbookViewId="0" topLeftCell="A1">
      <selection activeCell="B2" sqref="B2"/>
    </sheetView>
  </sheetViews>
  <sheetFormatPr defaultColWidth="9.140625" defaultRowHeight="12.75"/>
  <cols>
    <col min="1" max="1" width="3.7109375" style="102" customWidth="1"/>
    <col min="2" max="2" width="2.7109375" style="102" customWidth="1"/>
    <col min="3" max="3" width="2.7109375" style="104" customWidth="1"/>
    <col min="4" max="4" width="45.7109375" style="102" customWidth="1"/>
    <col min="5" max="5" width="2.7109375" style="102" customWidth="1"/>
    <col min="6" max="6" width="10.7109375" style="104" customWidth="1"/>
    <col min="7" max="7" width="2.7109375" style="102" customWidth="1"/>
    <col min="8" max="8" width="14.8515625" style="105" customWidth="1"/>
    <col min="9" max="11" width="16.7109375" style="105" customWidth="1"/>
    <col min="12" max="13" width="2.7109375" style="102" customWidth="1"/>
    <col min="14" max="16384" width="9.140625" style="102" customWidth="1"/>
  </cols>
  <sheetData>
    <row r="2" spans="2:13" ht="12.75">
      <c r="B2" s="16"/>
      <c r="C2" s="19"/>
      <c r="D2" s="17"/>
      <c r="E2" s="17"/>
      <c r="F2" s="19"/>
      <c r="G2" s="17"/>
      <c r="H2" s="110"/>
      <c r="I2" s="110"/>
      <c r="J2" s="110"/>
      <c r="K2" s="110"/>
      <c r="L2" s="17"/>
      <c r="M2" s="20"/>
    </row>
    <row r="3" spans="2:13" ht="12.75">
      <c r="B3" s="21"/>
      <c r="C3" s="24"/>
      <c r="D3" s="22"/>
      <c r="E3" s="22"/>
      <c r="F3" s="24"/>
      <c r="G3" s="22"/>
      <c r="H3" s="111"/>
      <c r="I3" s="111"/>
      <c r="J3" s="111"/>
      <c r="K3" s="111"/>
      <c r="L3" s="22"/>
      <c r="M3" s="25"/>
    </row>
    <row r="4" spans="2:13" s="106" customFormat="1" ht="18.75">
      <c r="B4" s="26"/>
      <c r="C4" s="112" t="s">
        <v>194</v>
      </c>
      <c r="D4" s="30"/>
      <c r="E4" s="30"/>
      <c r="F4" s="29"/>
      <c r="G4" s="30"/>
      <c r="H4" s="113"/>
      <c r="I4" s="113"/>
      <c r="J4" s="113"/>
      <c r="K4" s="113"/>
      <c r="L4" s="30"/>
      <c r="M4" s="31"/>
    </row>
    <row r="5" spans="2:13" s="106" customFormat="1" ht="18.75">
      <c r="B5" s="26"/>
      <c r="C5" s="114" t="str">
        <f>Leerlinggegevens!C5</f>
        <v>De Specialeschool</v>
      </c>
      <c r="D5" s="30"/>
      <c r="E5" s="30"/>
      <c r="F5" s="29"/>
      <c r="G5" s="30"/>
      <c r="H5" s="113"/>
      <c r="I5" s="113"/>
      <c r="J5" s="113"/>
      <c r="K5" s="113"/>
      <c r="L5" s="30"/>
      <c r="M5" s="31"/>
    </row>
    <row r="6" spans="2:13" ht="12.75">
      <c r="B6" s="21"/>
      <c r="C6" s="24"/>
      <c r="D6" s="22"/>
      <c r="E6" s="22"/>
      <c r="F6" s="24"/>
      <c r="G6" s="22"/>
      <c r="H6" s="111"/>
      <c r="I6" s="111"/>
      <c r="J6" s="111"/>
      <c r="K6" s="111"/>
      <c r="L6" s="22"/>
      <c r="M6" s="25"/>
    </row>
    <row r="7" spans="2:13" ht="12.75">
      <c r="B7" s="21"/>
      <c r="C7" s="82"/>
      <c r="D7" s="80"/>
      <c r="E7" s="80"/>
      <c r="F7" s="82"/>
      <c r="G7" s="80"/>
      <c r="H7" s="135"/>
      <c r="I7" s="135"/>
      <c r="J7" s="135"/>
      <c r="K7" s="135"/>
      <c r="L7" s="80"/>
      <c r="M7" s="25"/>
    </row>
    <row r="8" spans="2:13" ht="12.75">
      <c r="B8" s="21"/>
      <c r="C8" s="82"/>
      <c r="D8" s="136"/>
      <c r="E8" s="136"/>
      <c r="F8" s="137" t="s">
        <v>200</v>
      </c>
      <c r="G8" s="80"/>
      <c r="H8" s="138">
        <f>VLOOKUP(tabellen!$B$2,schooljaren,1,FALSE)</f>
        <v>2011</v>
      </c>
      <c r="I8" s="138">
        <f>VLOOKUP(tabellen!$B$2+1,schooljaren,1,FALSE)</f>
        <v>2012</v>
      </c>
      <c r="J8" s="138">
        <f>VLOOKUP(tabellen!$B$2+2,schooljaren,1,FALSE)</f>
        <v>2013</v>
      </c>
      <c r="K8" s="138">
        <f>VLOOKUP(tabellen!$B$2+3,schooljaren,1,FALSE)</f>
        <v>2014</v>
      </c>
      <c r="L8" s="80"/>
      <c r="M8" s="25"/>
    </row>
    <row r="9" spans="2:13" ht="12.75" customHeight="1">
      <c r="B9" s="21"/>
      <c r="C9" s="82"/>
      <c r="D9" s="80"/>
      <c r="E9" s="80"/>
      <c r="F9" s="139" t="s">
        <v>201</v>
      </c>
      <c r="G9" s="139"/>
      <c r="H9" s="140">
        <f>Leerlinggegevens!AD37</f>
        <v>40452</v>
      </c>
      <c r="I9" s="140">
        <f>+Leerlinggegevens!AD55</f>
        <v>40817</v>
      </c>
      <c r="J9" s="140">
        <f>+Leerlinggegevens!AD73</f>
        <v>41183</v>
      </c>
      <c r="K9" s="140">
        <f>+Leerlinggegevens!AD91</f>
        <v>41548</v>
      </c>
      <c r="L9" s="80"/>
      <c r="M9" s="25"/>
    </row>
    <row r="10" spans="2:13" ht="12.75">
      <c r="B10" s="21"/>
      <c r="C10" s="82"/>
      <c r="D10" s="80"/>
      <c r="E10" s="136"/>
      <c r="F10" s="82"/>
      <c r="G10" s="80"/>
      <c r="H10" s="135"/>
      <c r="I10" s="135"/>
      <c r="J10" s="135"/>
      <c r="K10" s="135"/>
      <c r="L10" s="80"/>
      <c r="M10" s="25"/>
    </row>
    <row r="11" spans="2:13" ht="12.75">
      <c r="B11" s="21"/>
      <c r="C11" s="125"/>
      <c r="D11" s="52"/>
      <c r="E11" s="129"/>
      <c r="F11" s="51"/>
      <c r="G11" s="52"/>
      <c r="H11" s="117"/>
      <c r="I11" s="117"/>
      <c r="J11" s="117"/>
      <c r="K11" s="117"/>
      <c r="L11" s="53"/>
      <c r="M11" s="25"/>
    </row>
    <row r="12" spans="2:13" s="108" customFormat="1" ht="12.75">
      <c r="B12" s="115"/>
      <c r="C12" s="116"/>
      <c r="D12" s="154" t="s">
        <v>210</v>
      </c>
      <c r="E12" s="129"/>
      <c r="F12" s="88"/>
      <c r="G12" s="129"/>
      <c r="H12" s="155"/>
      <c r="I12" s="155"/>
      <c r="J12" s="155"/>
      <c r="K12" s="155"/>
      <c r="L12" s="156"/>
      <c r="M12" s="40"/>
    </row>
    <row r="13" spans="2:13" ht="12.75">
      <c r="B13" s="21"/>
      <c r="C13" s="125"/>
      <c r="D13" s="52"/>
      <c r="E13" s="129"/>
      <c r="F13" s="51"/>
      <c r="G13" s="52"/>
      <c r="H13" s="117"/>
      <c r="I13" s="117"/>
      <c r="J13" s="117"/>
      <c r="K13" s="117"/>
      <c r="L13" s="53"/>
      <c r="M13" s="25"/>
    </row>
    <row r="14" spans="2:13" ht="12.75">
      <c r="B14" s="21"/>
      <c r="C14" s="121"/>
      <c r="D14" s="61" t="s">
        <v>189</v>
      </c>
      <c r="E14" s="61"/>
      <c r="F14" s="56"/>
      <c r="G14" s="57"/>
      <c r="H14" s="141">
        <f>+Leerlinggegevens!D28</f>
        <v>0</v>
      </c>
      <c r="I14" s="141">
        <f>+Leerlinggegevens!E28</f>
        <v>0</v>
      </c>
      <c r="J14" s="120"/>
      <c r="K14" s="120"/>
      <c r="L14" s="59"/>
      <c r="M14" s="25"/>
    </row>
    <row r="15" spans="2:13" ht="12.75">
      <c r="B15" s="21"/>
      <c r="C15" s="121"/>
      <c r="D15" s="61"/>
      <c r="E15" s="61"/>
      <c r="F15" s="56"/>
      <c r="G15" s="57"/>
      <c r="H15" s="120"/>
      <c r="I15" s="120"/>
      <c r="J15" s="120"/>
      <c r="K15" s="120"/>
      <c r="L15" s="59"/>
      <c r="M15" s="25"/>
    </row>
    <row r="16" spans="2:13" ht="12.75">
      <c r="B16" s="21"/>
      <c r="C16" s="118" t="s">
        <v>121</v>
      </c>
      <c r="D16" s="61" t="s">
        <v>41</v>
      </c>
      <c r="E16" s="61"/>
      <c r="F16" s="56"/>
      <c r="G16" s="57"/>
      <c r="H16" s="120"/>
      <c r="I16" s="120"/>
      <c r="J16" s="120"/>
      <c r="K16" s="120"/>
      <c r="L16" s="59"/>
      <c r="M16" s="25"/>
    </row>
    <row r="17" spans="2:13" ht="12.75">
      <c r="B17" s="21"/>
      <c r="C17" s="118"/>
      <c r="D17" s="92" t="s">
        <v>77</v>
      </c>
      <c r="E17" s="57"/>
      <c r="F17" s="56"/>
      <c r="G17" s="57"/>
      <c r="H17" s="119"/>
      <c r="I17" s="119"/>
      <c r="J17" s="119"/>
      <c r="K17" s="119"/>
      <c r="L17" s="59"/>
      <c r="M17" s="25"/>
    </row>
    <row r="18" spans="2:13" ht="12.75">
      <c r="B18" s="21"/>
      <c r="C18" s="121"/>
      <c r="D18" s="57" t="s">
        <v>82</v>
      </c>
      <c r="E18" s="57"/>
      <c r="F18" s="56"/>
      <c r="G18" s="57"/>
      <c r="H18" s="142">
        <f>IF(Leerlinggegevens!K28=0,0,IF(Leerlinggegevens!AF28=0,0,IF(Leerlinggegevens!D28=0,0,VLOOKUP(Leerlinggegevens!E28,PvE_SO,3,FALSE)*(IF(Leerlinggegevens!D28="SO",VLOOKUP(Leerlinggegevens!E28,oppervlak,3,FALSE),VLOOKUP(Leerlinggegevens!E28,oppervlak,5,FALSE))+IF(Leerlinggegevens!D28="SO",VLOOKUP(Leerlinggegevens!E28,oppervlak,4,FALSE),VLOOKUP(Leerlinggegevens!E28,oppervlak,6,FALSE))*IF((Leerlinggegevens!K36-Leerlinggegevens!K29)&gt;Leerlinggegevens!I14/2,Leerlinggegevens!AF35,Leerlinggegevens!AF28)))))</f>
        <v>0</v>
      </c>
      <c r="I18" s="142">
        <f>IF(Leerlinggegevens!K46=0,0,IF(Leerlinggegevens!AF46=0,0,IF(Leerlinggegevens!D46=0,0,VLOOKUP(Leerlinggegevens!E46,PvE_SO,3,FALSE)*(IF(Leerlinggegevens!D46="SO",VLOOKUP(Leerlinggegevens!E46,oppervlak,3,FALSE),VLOOKUP(Leerlinggegevens!E46,oppervlak,5,FALSE))+IF(Leerlinggegevens!D46="SO",VLOOKUP(Leerlinggegevens!E46,oppervlak,4,FALSE),VLOOKUP(Leerlinggegevens!E46,oppervlak,6,FALSE))*IF((Leerlinggegevens!K54-Leerlinggegevens!K47)&gt;Leerlinggegevens!I14/2,Leerlinggegevens!AF53,Leerlinggegevens!AF46)))))</f>
        <v>0</v>
      </c>
      <c r="J18" s="142">
        <f>IF(Leerlinggegevens!K64=0,0,IF(Leerlinggegevens!AF64=0,0,IF(Leerlinggegevens!D64=0,0,VLOOKUP(Leerlinggegevens!E64,PvE_SO,3,FALSE)*(IF(Leerlinggegevens!D64="SO",VLOOKUP(Leerlinggegevens!E64,oppervlak,3,FALSE),VLOOKUP(Leerlinggegevens!E64,oppervlak,5,FALSE))+IF(Leerlinggegevens!D64="SO",VLOOKUP(Leerlinggegevens!E64,oppervlak,4,FALSE),VLOOKUP(Leerlinggegevens!E64,oppervlak,6,FALSE))*IF((Leerlinggegevens!K72-Leerlinggegevens!K65)&gt;Leerlinggegevens!I14/2,Leerlinggegevens!AF71,Leerlinggegevens!AF64)))))</f>
        <v>0</v>
      </c>
      <c r="K18" s="142">
        <f>IF(Leerlinggegevens!K82=0,0,IF(Leerlinggegevens!AF82=0,0,IF(Leerlinggegevens!D82=0,0,VLOOKUP(Leerlinggegevens!E82,PvE_SO,3,FALSE)*(IF(Leerlinggegevens!D82="SO",VLOOKUP(Leerlinggegevens!E82,oppervlak,3,FALSE),VLOOKUP(Leerlinggegevens!E82,oppervlak,5,FALSE))+IF(Leerlinggegevens!D82="SO",VLOOKUP(Leerlinggegevens!E82,oppervlak,4,FALSE),VLOOKUP(Leerlinggegevens!E82,oppervlak,6,FALSE))*IF((Leerlinggegevens!K90-Leerlinggegevens!K83)&gt;Leerlinggegevens!I14/2,Leerlinggegevens!AF89,Leerlinggegevens!AF82)))))</f>
        <v>0</v>
      </c>
      <c r="L18" s="59"/>
      <c r="M18" s="25"/>
    </row>
    <row r="19" spans="2:13" ht="12.75">
      <c r="B19" s="21"/>
      <c r="C19" s="121"/>
      <c r="D19" s="57" t="s">
        <v>83</v>
      </c>
      <c r="E19" s="57"/>
      <c r="F19" s="56"/>
      <c r="G19" s="57"/>
      <c r="H19" s="142">
        <v>0</v>
      </c>
      <c r="I19" s="142">
        <v>0</v>
      </c>
      <c r="J19" s="142">
        <v>0</v>
      </c>
      <c r="K19" s="142">
        <v>0</v>
      </c>
      <c r="L19" s="59"/>
      <c r="M19" s="25"/>
    </row>
    <row r="20" spans="2:13" ht="12.75">
      <c r="B20" s="21"/>
      <c r="C20" s="121"/>
      <c r="D20" s="57" t="s">
        <v>84</v>
      </c>
      <c r="E20" s="57"/>
      <c r="F20" s="56"/>
      <c r="G20" s="57"/>
      <c r="H20" s="142">
        <f>IF(Leerlinggegevens!K28=0,0,IF(Leerlinggegevens!AF28=0,0,IF(Leerlinggegevens!D28=0,0,VLOOKUP(Leerlinggegevens!E28,PvE_SO,6,FALSE)*(IF(Leerlinggegevens!D28="SO",VLOOKUP(Leerlinggegevens!E28,oppervlak,3,FALSE),VLOOKUP(Leerlinggegevens!E28,oppervlak,5,FALSE))+IF(Leerlinggegevens!D28="SO",VLOOKUP(Leerlinggegevens!E28,oppervlak,4,FALSE),VLOOKUP(Leerlinggegevens!E28,oppervlak,6,FALSE))*IF((Leerlinggegevens!K36-Leerlinggegevens!K29)&gt;Leerlinggegevens!I14/2,Leerlinggegevens!AF35,Leerlinggegevens!AF28)))))</f>
        <v>0</v>
      </c>
      <c r="I20" s="142">
        <f>IF(Leerlinggegevens!K46=0,0,IF(Leerlinggegevens!AF46=0,0,IF(Leerlinggegevens!D46=0,0,VLOOKUP(Leerlinggegevens!E46,PvE_SO,6,FALSE)*(IF(Leerlinggegevens!D46="SO",VLOOKUP(Leerlinggegevens!E46,oppervlak,3,FALSE),VLOOKUP(Leerlinggegevens!E46,oppervlak,5,FALSE))+IF(Leerlinggegevens!D46="SO",VLOOKUP(Leerlinggegevens!E46,oppervlak,4,FALSE),VLOOKUP(Leerlinggegevens!E46,oppervlak,6,FALSE))*IF((Leerlinggegevens!K54-Leerlinggegevens!K47)&gt;Leerlinggegevens!I14/2,Leerlinggegevens!AF53,Leerlinggegevens!AF46)))))</f>
        <v>0</v>
      </c>
      <c r="J20" s="142">
        <f>IF(Leerlinggegevens!K64=0,0,IF(Leerlinggegevens!AF64=0,0,IF(Leerlinggegevens!D64=0,0,VLOOKUP(Leerlinggegevens!E64,PvE_SO,6,FALSE)*(IF(Leerlinggegevens!D64="SO",VLOOKUP(Leerlinggegevens!E64,oppervlak,3,FALSE),VLOOKUP(Leerlinggegevens!E64,oppervlak,5,FALSE))+IF(Leerlinggegevens!D64="SO",VLOOKUP(Leerlinggegevens!E64,oppervlak,4,FALSE),VLOOKUP(Leerlinggegevens!E64,oppervlak,6,FALSE))*IF((Leerlinggegevens!K72-Leerlinggegevens!K65)&gt;Leerlinggegevens!I14/2,Leerlinggegevens!AF71,Leerlinggegevens!AF64)))))</f>
        <v>0</v>
      </c>
      <c r="K20" s="142">
        <f>IF(Leerlinggegevens!K82=0,0,IF(Leerlinggegevens!AF82=0,0,IF(Leerlinggegevens!D82=0,0,VLOOKUP(Leerlinggegevens!E82,PvE_SO,6,FALSE)*(IF(Leerlinggegevens!D82="SO",VLOOKUP(Leerlinggegevens!E82,oppervlak,3,FALSE),VLOOKUP(Leerlinggegevens!E82,oppervlak,5,FALSE))+IF(Leerlinggegevens!D82="SO",VLOOKUP(Leerlinggegevens!E82,oppervlak,4,FALSE),VLOOKUP(Leerlinggegevens!E82,oppervlak,6,FALSE))*IF((Leerlinggegevens!K90-Leerlinggegevens!K83)&gt;Leerlinggegevens!I14/2,Leerlinggegevens!AF89,Leerlinggegevens!AF82)))))</f>
        <v>0</v>
      </c>
      <c r="L20" s="59"/>
      <c r="M20" s="25"/>
    </row>
    <row r="21" spans="2:13" s="107" customFormat="1" ht="12.75">
      <c r="B21" s="90"/>
      <c r="C21" s="130"/>
      <c r="D21" s="92" t="s">
        <v>37</v>
      </c>
      <c r="E21" s="92"/>
      <c r="F21" s="91"/>
      <c r="G21" s="92"/>
      <c r="H21" s="143">
        <f>SUM(H18:H20)</f>
        <v>0</v>
      </c>
      <c r="I21" s="143">
        <f>SUM(I18:I20)</f>
        <v>0</v>
      </c>
      <c r="J21" s="143">
        <f>SUM(J18:J20)</f>
        <v>0</v>
      </c>
      <c r="K21" s="143">
        <f>SUM(K18:K20)</f>
        <v>0</v>
      </c>
      <c r="L21" s="93"/>
      <c r="M21" s="94"/>
    </row>
    <row r="22" spans="2:13" ht="12.75">
      <c r="B22" s="21"/>
      <c r="C22" s="121"/>
      <c r="D22" s="61"/>
      <c r="E22" s="61"/>
      <c r="F22" s="56"/>
      <c r="G22" s="57"/>
      <c r="H22" s="119"/>
      <c r="I22" s="119"/>
      <c r="J22" s="119"/>
      <c r="K22" s="119"/>
      <c r="L22" s="59"/>
      <c r="M22" s="25"/>
    </row>
    <row r="23" spans="2:13" ht="12.75">
      <c r="B23" s="21"/>
      <c r="C23" s="121"/>
      <c r="D23" s="92" t="s">
        <v>78</v>
      </c>
      <c r="E23" s="57"/>
      <c r="F23" s="56"/>
      <c r="G23" s="57"/>
      <c r="H23" s="119"/>
      <c r="I23" s="119"/>
      <c r="J23" s="119"/>
      <c r="K23" s="119"/>
      <c r="L23" s="59"/>
      <c r="M23" s="25"/>
    </row>
    <row r="24" spans="2:13" ht="12.75">
      <c r="B24" s="21"/>
      <c r="C24" s="121"/>
      <c r="D24" s="57" t="s">
        <v>79</v>
      </c>
      <c r="E24" s="57"/>
      <c r="F24" s="56"/>
      <c r="G24" s="57"/>
      <c r="H24" s="142">
        <f>IF(Leerlinggegevens!K28=0,0,IF(Leerlinggegevens!AF28=0,0,IF(Leerlinggegevens!D28=0,0,VLOOKUP(Leerlinggegevens!E28,PvE_SO,8,FALSE)*(IF(Leerlinggegevens!D28="SO",VLOOKUP(Leerlinggegevens!E28,oppervlak,3,FALSE),VLOOKUP(Leerlinggegevens!E28,oppervlak,5,FALSE))+IF(Leerlinggegevens!D28="SO",VLOOKUP(Leerlinggegevens!E28,oppervlak,4,FALSE),VLOOKUP(Leerlinggegevens!E28,oppervlak,6,FALSE))*IF((Leerlinggegevens!K36-Leerlinggegevens!K29)&gt;Leerlinggegevens!I14/2,Leerlinggegevens!AF35,Leerlinggegevens!AF28)))))</f>
        <v>0</v>
      </c>
      <c r="I24" s="142">
        <f>IF(Leerlinggegevens!K46=0,0,IF(Leerlinggegevens!AF46=0,0,IF(Leerlinggegevens!D46=0,0,VLOOKUP(Leerlinggegevens!E46,PvE_SO,8,FALSE)*(IF(Leerlinggegevens!D46="SO",VLOOKUP(Leerlinggegevens!E46,oppervlak,3,FALSE),VLOOKUP(Leerlinggegevens!E46,oppervlak,5,FALSE))+IF(Leerlinggegevens!D46="SO",VLOOKUP(Leerlinggegevens!E46,oppervlak,4,FALSE),VLOOKUP(Leerlinggegevens!E46,oppervlak,6,FALSE))*IF((Leerlinggegevens!K54-Leerlinggegevens!K47)&gt;Leerlinggegevens!I14/2,Leerlinggegevens!AF53,Leerlinggegevens!AF46)))))</f>
        <v>0</v>
      </c>
      <c r="J24" s="142">
        <f>IF(Leerlinggegevens!K64=0,0,IF(Leerlinggegevens!AF64=0,0,IF(Leerlinggegevens!D64=0,0,VLOOKUP(Leerlinggegevens!E64,PvE_SO,8,FALSE)*(IF(Leerlinggegevens!D64="SO",VLOOKUP(Leerlinggegevens!E64,oppervlak,3,FALSE),VLOOKUP(Leerlinggegevens!E64,oppervlak,5,FALSE))+IF(Leerlinggegevens!D64="SO",VLOOKUP(Leerlinggegevens!E64,oppervlak,4,FALSE),VLOOKUP(Leerlinggegevens!E64,oppervlak,6,FALSE))*IF((Leerlinggegevens!K72-Leerlinggegevens!K65)&gt;Leerlinggegevens!I14/2,Leerlinggegevens!AF71,Leerlinggegevens!AF64)))))</f>
        <v>0</v>
      </c>
      <c r="K24" s="142">
        <f>IF(Leerlinggegevens!K82=0,0,IF(Leerlinggegevens!AF82=0,0,IF(Leerlinggegevens!D82=0,0,VLOOKUP(Leerlinggegevens!E82,PvE_SO,8,FALSE)*(IF(Leerlinggegevens!D82="SO",VLOOKUP(Leerlinggegevens!E82,oppervlak,3,FALSE),VLOOKUP(Leerlinggegevens!E82,oppervlak,5,FALSE))+IF(Leerlinggegevens!D82="SO",VLOOKUP(Leerlinggegevens!E82,oppervlak,4,FALSE),VLOOKUP(Leerlinggegevens!E82,oppervlak,6,FALSE))*IF((Leerlinggegevens!K90-Leerlinggegevens!K83)&gt;Leerlinggegevens!I14/2,Leerlinggegevens!AF89,Leerlinggegevens!AF82)))))</f>
        <v>0</v>
      </c>
      <c r="L24" s="59"/>
      <c r="M24" s="25"/>
    </row>
    <row r="25" spans="2:13" ht="12.75">
      <c r="B25" s="21"/>
      <c r="C25" s="121"/>
      <c r="D25" s="57" t="s">
        <v>33</v>
      </c>
      <c r="E25" s="57"/>
      <c r="F25" s="56"/>
      <c r="G25" s="57"/>
      <c r="H25" s="142">
        <f>IF(Leerlinggegevens!K28=0,0,IF(Leerlinggegevens!AF28=0,0,IF(Leerlinggegevens!D28=0,0,VLOOKUP(Leerlinggegevens!E28,PvE_SO,10,FALSE)*(IF(Leerlinggegevens!D28="SO",VLOOKUP(Leerlinggegevens!E28,oppervlak,3,FALSE),VLOOKUP(Leerlinggegevens!E28,oppervlak,5,FALSE))+IF(Leerlinggegevens!D28="SO",VLOOKUP(Leerlinggegevens!E28,oppervlak,4,FALSE),VLOOKUP(Leerlinggegevens!E28,oppervlak,6,FALSE))*IF((Leerlinggegevens!K36-Leerlinggegevens!K29)&gt;Leerlinggegevens!I14/2,Leerlinggegevens!AF35,Leerlinggegevens!AF28)))))</f>
        <v>0</v>
      </c>
      <c r="I25" s="142">
        <f>IF(Leerlinggegevens!K46=0,0,IF(Leerlinggegevens!AF46=0,0,IF(Leerlinggegevens!D46=0,0,VLOOKUP(Leerlinggegevens!E46,PvE_SO,10,FALSE)*(IF(Leerlinggegevens!D46="SO",VLOOKUP(Leerlinggegevens!E46,oppervlak,3,FALSE),VLOOKUP(Leerlinggegevens!E46,oppervlak,5,FALSE))+IF(Leerlinggegevens!D46="SO",VLOOKUP(Leerlinggegevens!E46,oppervlak,4,FALSE),VLOOKUP(Leerlinggegevens!E46,oppervlak,6,FALSE))*IF((Leerlinggegevens!K54-Leerlinggegevens!K47)&gt;Leerlinggegevens!I14/2,Leerlinggegevens!AF53,Leerlinggegevens!AF46)))))</f>
        <v>0</v>
      </c>
      <c r="J25" s="142">
        <f>IF(Leerlinggegevens!K64=0,0,IF(Leerlinggegevens!AF64=0,0,IF(Leerlinggegevens!D64=0,0,VLOOKUP(Leerlinggegevens!E64,PvE_SO,10,FALSE)*(IF(Leerlinggegevens!D64="SO",VLOOKUP(Leerlinggegevens!E64,oppervlak,3,FALSE),VLOOKUP(Leerlinggegevens!E64,oppervlak,5,FALSE))+IF(Leerlinggegevens!D64="SO",VLOOKUP(Leerlinggegevens!E64,oppervlak,4,FALSE),VLOOKUP(Leerlinggegevens!E64,oppervlak,6,FALSE))*IF((Leerlinggegevens!K72-Leerlinggegevens!K65)&gt;Leerlinggegevens!I14/2,Leerlinggegevens!AF71,Leerlinggegevens!AF64)))))</f>
        <v>0</v>
      </c>
      <c r="K25" s="142">
        <f>IF(Leerlinggegevens!K82=0,0,IF(Leerlinggegevens!AF82=0,0,IF(Leerlinggegevens!D82=0,0,VLOOKUP(Leerlinggegevens!E82,PvE_SO,10,FALSE)*(IF(Leerlinggegevens!D82="SO",VLOOKUP(Leerlinggegevens!E82,oppervlak,3,FALSE),VLOOKUP(Leerlinggegevens!E82,oppervlak,5,FALSE))+IF(Leerlinggegevens!D82="SO",VLOOKUP(Leerlinggegevens!E82,oppervlak,4,FALSE),VLOOKUP(Leerlinggegevens!E82,oppervlak,6,FALSE))*IF((Leerlinggegevens!K90-Leerlinggegevens!K83)&gt;Leerlinggegevens!I14/2,Leerlinggegevens!AF89,Leerlinggegevens!AF82)))))</f>
        <v>0</v>
      </c>
      <c r="L25" s="59"/>
      <c r="M25" s="25"/>
    </row>
    <row r="26" spans="2:13" ht="12.75">
      <c r="B26" s="21"/>
      <c r="C26" s="121"/>
      <c r="D26" s="57" t="s">
        <v>85</v>
      </c>
      <c r="E26" s="57"/>
      <c r="F26" s="56"/>
      <c r="G26" s="57"/>
      <c r="H26" s="142">
        <f>IF(Leerlinggegevens!K28=0,0,IF(Leerlinggegevens!AF28=0,0,IF(Leerlinggegevens!D28=0,0,VLOOKUP(Leerlinggegevens!E28,PvE_SO,12,FALSE)*(IF(Leerlinggegevens!D28="SO",VLOOKUP(Leerlinggegevens!E28,oppervlak,3,FALSE),VLOOKUP(Leerlinggegevens!E28,oppervlak,5,FALSE))+IF(Leerlinggegevens!D28="SO",VLOOKUP(Leerlinggegevens!E28,oppervlak,4,FALSE),VLOOKUP(Leerlinggegevens!E28,oppervlak,6,FALSE))*IF((Leerlinggegevens!K36-Leerlinggegevens!K29)&gt;Leerlinggegevens!I14/2,Leerlinggegevens!AF35,Leerlinggegevens!AF28)))))</f>
        <v>0</v>
      </c>
      <c r="I26" s="142">
        <f>IF(Leerlinggegevens!K46=0,0,IF(Leerlinggegevens!AF46=0,0,IF(Leerlinggegevens!D46=0,0,VLOOKUP(Leerlinggegevens!E46,PvE_SO,12,FALSE)*(IF(Leerlinggegevens!D46="SO",VLOOKUP(Leerlinggegevens!E46,oppervlak,3,FALSE),VLOOKUP(Leerlinggegevens!E46,oppervlak,5,FALSE))+IF(Leerlinggegevens!D46="SO",VLOOKUP(Leerlinggegevens!E46,oppervlak,4,FALSE),VLOOKUP(Leerlinggegevens!E46,oppervlak,6,FALSE))*IF((Leerlinggegevens!K54-Leerlinggegevens!K47)&gt;Leerlinggegevens!I14/2,Leerlinggegevens!AF53,Leerlinggegevens!AF46)))))</f>
        <v>0</v>
      </c>
      <c r="J26" s="142">
        <f>IF(Leerlinggegevens!K64=0,0,IF(Leerlinggegevens!AF64=0,0,IF(Leerlinggegevens!D64=0,0,VLOOKUP(Leerlinggegevens!E64,PvE_SO,12,FALSE)*(IF(Leerlinggegevens!D64="SO",VLOOKUP(Leerlinggegevens!E64,oppervlak,3,FALSE),VLOOKUP(Leerlinggegevens!E64,oppervlak,5,FALSE))+IF(Leerlinggegevens!D64="SO",VLOOKUP(Leerlinggegevens!E64,oppervlak,4,FALSE),VLOOKUP(Leerlinggegevens!E64,oppervlak,6,FALSE))*IF((Leerlinggegevens!K72-Leerlinggegevens!K65)&gt;Leerlinggegevens!I14/2,Leerlinggegevens!AF71,Leerlinggegevens!AF64)))))</f>
        <v>0</v>
      </c>
      <c r="K26" s="142">
        <f>IF(Leerlinggegevens!K82=0,0,IF(Leerlinggegevens!AF82=0,0,IF(Leerlinggegevens!D82=0,0,VLOOKUP(Leerlinggegevens!E82,PvE_SO,12,FALSE)*(IF(Leerlinggegevens!D82="SO",VLOOKUP(Leerlinggegevens!E82,oppervlak,3,FALSE),VLOOKUP(Leerlinggegevens!E82,oppervlak,5,FALSE))+IF(Leerlinggegevens!D82="SO",VLOOKUP(Leerlinggegevens!E82,oppervlak,4,FALSE),VLOOKUP(Leerlinggegevens!E82,oppervlak,6,FALSE))*IF((Leerlinggegevens!K90-Leerlinggegevens!K83)&gt;Leerlinggegevens!I14/2,Leerlinggegevens!AF89,Leerlinggegevens!AF82)))))</f>
        <v>0</v>
      </c>
      <c r="L26" s="59"/>
      <c r="M26" s="25"/>
    </row>
    <row r="27" spans="2:13" s="107" customFormat="1" ht="12.75">
      <c r="B27" s="90"/>
      <c r="C27" s="130"/>
      <c r="D27" s="92" t="s">
        <v>37</v>
      </c>
      <c r="E27" s="92"/>
      <c r="F27" s="91"/>
      <c r="G27" s="92"/>
      <c r="H27" s="143">
        <f>SUM(H24:H26)</f>
        <v>0</v>
      </c>
      <c r="I27" s="143">
        <f>SUM(I24:I26)</f>
        <v>0</v>
      </c>
      <c r="J27" s="143">
        <f>SUM(J24:J26)</f>
        <v>0</v>
      </c>
      <c r="K27" s="143">
        <f>SUM(K24:K26)</f>
        <v>0</v>
      </c>
      <c r="L27" s="93"/>
      <c r="M27" s="94"/>
    </row>
    <row r="28" spans="2:13" ht="12.75">
      <c r="B28" s="21"/>
      <c r="C28" s="121"/>
      <c r="D28" s="61"/>
      <c r="E28" s="61"/>
      <c r="F28" s="56"/>
      <c r="G28" s="57"/>
      <c r="H28" s="119"/>
      <c r="I28" s="119"/>
      <c r="J28" s="119"/>
      <c r="K28" s="119"/>
      <c r="L28" s="59"/>
      <c r="M28" s="25"/>
    </row>
    <row r="29" spans="2:13" ht="12.75">
      <c r="B29" s="21"/>
      <c r="C29" s="121"/>
      <c r="D29" s="57" t="s">
        <v>86</v>
      </c>
      <c r="E29" s="57"/>
      <c r="F29" s="56"/>
      <c r="G29" s="57"/>
      <c r="H29" s="142">
        <f>IF(Leerlinggegevens!K28=0,0,IF(Leerlinggegevens!AF28=0,0,IF(Leerlinggegevens!D28=0,0,VLOOKUP(Leerlinggegevens!E28,PvE_SO,14,FALSE)*(IF(Leerlinggegevens!D28="SO",VLOOKUP(Leerlinggegevens!E28,oppervlak,3,FALSE),VLOOKUP(Leerlinggegevens!E28,oppervlak,5,FALSE))+IF(Leerlinggegevens!D28="SO",VLOOKUP(Leerlinggegevens!E28,oppervlak,4,FALSE),VLOOKUP(Leerlinggegevens!E28,oppervlak,6,FALSE))*IF((Leerlinggegevens!K36-Leerlinggegevens!K29)&gt;Leerlinggegevens!I14/2,Leerlinggegevens!AF35,Leerlinggegevens!AF28)))))</f>
        <v>0</v>
      </c>
      <c r="I29" s="142">
        <f>IF(Leerlinggegevens!K46=0,0,IF(Leerlinggegevens!AF46=0,0,IF(Leerlinggegevens!D46=0,0,VLOOKUP(Leerlinggegevens!E46,PvE_SO,14,FALSE)*(IF(Leerlinggegevens!D46="SO",VLOOKUP(Leerlinggegevens!E46,oppervlak,3,FALSE),VLOOKUP(Leerlinggegevens!E46,oppervlak,5,FALSE))+IF(Leerlinggegevens!D46="SO",VLOOKUP(Leerlinggegevens!E46,oppervlak,4,FALSE),VLOOKUP(Leerlinggegevens!E46,oppervlak,6,FALSE))*IF((Leerlinggegevens!K54-Leerlinggegevens!K47)&gt;Leerlinggegevens!I14/2,Leerlinggegevens!AF53,Leerlinggegevens!AF46)))))</f>
        <v>0</v>
      </c>
      <c r="J29" s="142">
        <f>IF(Leerlinggegevens!K64=0,0,IF(Leerlinggegevens!AF64=0,0,IF(Leerlinggegevens!D64=0,0,VLOOKUP(Leerlinggegevens!E64,PvE_SO,14,FALSE)*(IF(Leerlinggegevens!D64="SO",VLOOKUP(Leerlinggegevens!E64,oppervlak,3,FALSE),VLOOKUP(Leerlinggegevens!E64,oppervlak,5,FALSE))+IF(Leerlinggegevens!D64="SO",VLOOKUP(Leerlinggegevens!E64,oppervlak,4,FALSE),VLOOKUP(Leerlinggegevens!E64,oppervlak,6,FALSE))*IF((Leerlinggegevens!K72-Leerlinggegevens!K65)&gt;Leerlinggegevens!I14/2,Leerlinggegevens!AF71,Leerlinggegevens!AF64)))))</f>
        <v>0</v>
      </c>
      <c r="K29" s="142">
        <f>IF(Leerlinggegevens!K82=0,0,IF(Leerlinggegevens!AF82=0,0,IF(Leerlinggegevens!D82=0,0,VLOOKUP(Leerlinggegevens!E82,PvE_SO,14,FALSE)*(IF(Leerlinggegevens!D82="SO",VLOOKUP(Leerlinggegevens!E82,oppervlak,3,FALSE),VLOOKUP(Leerlinggegevens!E82,oppervlak,5,FALSE))+IF(Leerlinggegevens!D82="SO",VLOOKUP(Leerlinggegevens!E82,oppervlak,4,FALSE),VLOOKUP(Leerlinggegevens!E82,oppervlak,6,FALSE))*IF((Leerlinggegevens!K90-Leerlinggegevens!K83)&gt;Leerlinggegevens!I14/2,Leerlinggegevens!AF89,Leerlinggegevens!AF82)))))</f>
        <v>0</v>
      </c>
      <c r="L29" s="59"/>
      <c r="M29" s="25"/>
    </row>
    <row r="30" spans="2:13" ht="12.75">
      <c r="B30" s="21"/>
      <c r="C30" s="121"/>
      <c r="D30" s="57"/>
      <c r="E30" s="57"/>
      <c r="F30" s="56"/>
      <c r="G30" s="57"/>
      <c r="H30" s="153">
        <f>H21+H27+H29</f>
        <v>0</v>
      </c>
      <c r="I30" s="153">
        <f>I21+I27+I29</f>
        <v>0</v>
      </c>
      <c r="J30" s="153">
        <f>J21+J27+J29</f>
        <v>0</v>
      </c>
      <c r="K30" s="153">
        <f>K21+K27+K29</f>
        <v>0</v>
      </c>
      <c r="L30" s="59"/>
      <c r="M30" s="25"/>
    </row>
    <row r="31" spans="2:13" ht="12.75" customHeight="1">
      <c r="B31" s="21"/>
      <c r="C31" s="121"/>
      <c r="D31" s="61" t="s">
        <v>87</v>
      </c>
      <c r="E31" s="61"/>
      <c r="F31" s="56"/>
      <c r="G31" s="57"/>
      <c r="H31" s="144">
        <f>IF(Leerlinggegevens!K28=0,0,IF(Leerlinggegevens!AF28=0,0,IF(Leerlinggegevens!D28=0,0,IF(Leerlinggegevens!D28="SO",VLOOKUP(Leerlinggegevens!E28,groepsafhPvE,3,FALSE),VLOOKUP(Leerlinggegevens!E28,groepsafhPvE,5,FALSE))+IF(Leerlinggegevens!D28="SO",VLOOKUP(Leerlinggegevens!E28,groepsafhPvE,4,FALSE),VLOOKUP(Leerlinggegevens!E28,groepsafhPvE,6,FALSE))*IF((Leerlinggegevens!K36-Leerlinggegevens!K29)&gt;Leerlinggegevens!I14/2,Leerlinggegevens!AF35,Leerlinggegevens!AF28))))</f>
        <v>0</v>
      </c>
      <c r="I31" s="144">
        <f>IF(Leerlinggegevens!K46=0,0,IF(Leerlinggegevens!AF46=0,0,IF(Leerlinggegevens!D46=0,0,IF(Leerlinggegevens!D46="SO",VLOOKUP(Leerlinggegevens!E46,groepsafhPvE,3,FALSE),VLOOKUP(Leerlinggegevens!E46,groepsafhPvE,5,FALSE))+IF(Leerlinggegevens!D46="SO",VLOOKUP(Leerlinggegevens!E46,groepsafhPvE,4,FALSE),VLOOKUP(Leerlinggegevens!E46,groepsafhPvE,6,FALSE))*IF((Leerlinggegevens!K54-Leerlinggegevens!K47)&gt;Leerlinggegevens!I14/2,Leerlinggegevens!AF53,Leerlinggegevens!AF46))))</f>
        <v>0</v>
      </c>
      <c r="J31" s="144">
        <f>IF(Leerlinggegevens!K64=0,0,IF(Leerlinggegevens!AF64=0,0,IF(Leerlinggegevens!D64=0,0,IF(Leerlinggegevens!D64="SO",VLOOKUP(Leerlinggegevens!E64,groepsafhPvE,3,FALSE),VLOOKUP(Leerlinggegevens!E64,groepsafhPvE,5,FALSE))+IF(Leerlinggegevens!D64="SO",VLOOKUP(Leerlinggegevens!E64,groepsafhPvE,4,FALSE),VLOOKUP(Leerlinggegevens!E64,groepsafhPvE,6,FALSE))*IF((Leerlinggegevens!K72-Leerlinggegevens!K65)&gt;Leerlinggegevens!I14/2,Leerlinggegevens!AF71,Leerlinggegevens!AF64))))</f>
        <v>0</v>
      </c>
      <c r="K31" s="144">
        <f>IF(Leerlinggegevens!K82=0,0,IF(Leerlinggegevens!AF82=0,0,IF(Leerlinggegevens!D82=0,0,IF(Leerlinggegevens!D82="SO",VLOOKUP(Leerlinggegevens!E82,groepsafhPvE,3,FALSE),VLOOKUP(Leerlinggegevens!E82,groepsafhPvE,5,FALSE))+IF(Leerlinggegevens!D82="SO",VLOOKUP(Leerlinggegevens!E82,groepsafhPvE,4,FALSE),VLOOKUP(Leerlinggegevens!E82,groepsafhPvE,6,FALSE))*IF((Leerlinggegevens!K90-Leerlinggegevens!K83)&gt;Leerlinggegevens!I14/2,Leerlinggegevens!AF89,Leerlinggegevens!AF82))))</f>
        <v>0</v>
      </c>
      <c r="L31" s="59"/>
      <c r="M31" s="25"/>
    </row>
    <row r="32" spans="2:13" ht="12.75" customHeight="1">
      <c r="B32" s="21"/>
      <c r="C32" s="121"/>
      <c r="D32" s="61"/>
      <c r="E32" s="61"/>
      <c r="F32" s="56"/>
      <c r="G32" s="57"/>
      <c r="H32" s="120"/>
      <c r="I32" s="120"/>
      <c r="J32" s="120"/>
      <c r="K32" s="120"/>
      <c r="L32" s="59"/>
      <c r="M32" s="25"/>
    </row>
    <row r="33" spans="2:13" ht="12.75" customHeight="1">
      <c r="B33" s="21"/>
      <c r="C33" s="121"/>
      <c r="D33" s="57" t="s">
        <v>212</v>
      </c>
      <c r="E33" s="61"/>
      <c r="F33" s="85" t="s">
        <v>102</v>
      </c>
      <c r="G33" s="67"/>
      <c r="H33" s="142">
        <f>IF(Leerlinggegevens!K28=0,0,IF(F33="ja",IF(Leerlinggegevens!D28=0,0,VLOOKUP(Leerlinggegevens!E28,PvE_SO,4,FALSE)),0))</f>
        <v>0</v>
      </c>
      <c r="I33" s="142">
        <f>IF(Leerlinggegevens!K46=0,0,IF(F33="ja",IF(Leerlinggegevens!D46=0,0,VLOOKUP(Leerlinggegevens!E46,PvE_SO,4,FALSE)),0))</f>
        <v>0</v>
      </c>
      <c r="J33" s="142">
        <f>IF(Leerlinggegevens!K64=0,0,IF(F33="ja",IF(Leerlinggegevens!D64=0,0,VLOOKUP(Leerlinggegevens!E64,PvE_SO,4,FALSE)),0))</f>
        <v>0</v>
      </c>
      <c r="K33" s="142">
        <f>IF(Leerlinggegevens!K82=0,0,IF(F33="ja",IF(Leerlinggegevens!D82=0,0,VLOOKUP(Leerlinggegevens!E82,PvE_SO,4,FALSE)),0))</f>
        <v>0</v>
      </c>
      <c r="L33" s="59"/>
      <c r="M33" s="25"/>
    </row>
    <row r="34" spans="2:13" ht="12.75" customHeight="1">
      <c r="B34" s="21"/>
      <c r="C34" s="121"/>
      <c r="D34" s="57"/>
      <c r="E34" s="57"/>
      <c r="F34" s="56"/>
      <c r="G34" s="57"/>
      <c r="H34" s="120"/>
      <c r="I34" s="120"/>
      <c r="J34" s="120"/>
      <c r="K34" s="120"/>
      <c r="L34" s="59"/>
      <c r="M34" s="25"/>
    </row>
    <row r="35" spans="2:13" ht="12.75" customHeight="1">
      <c r="B35" s="21"/>
      <c r="C35" s="118" t="s">
        <v>122</v>
      </c>
      <c r="D35" s="61" t="s">
        <v>42</v>
      </c>
      <c r="E35" s="61"/>
      <c r="F35" s="56"/>
      <c r="G35" s="57"/>
      <c r="H35" s="119"/>
      <c r="I35" s="119"/>
      <c r="J35" s="119"/>
      <c r="K35" s="119"/>
      <c r="L35" s="59"/>
      <c r="M35" s="25"/>
    </row>
    <row r="36" spans="2:13" ht="12.75" customHeight="1">
      <c r="B36" s="21"/>
      <c r="C36" s="118"/>
      <c r="D36" s="92" t="s">
        <v>80</v>
      </c>
      <c r="E36" s="61"/>
      <c r="F36" s="56"/>
      <c r="G36" s="57"/>
      <c r="H36" s="119"/>
      <c r="I36" s="119"/>
      <c r="J36" s="119"/>
      <c r="K36" s="119"/>
      <c r="L36" s="59"/>
      <c r="M36" s="25"/>
    </row>
    <row r="37" spans="2:13" ht="12.75">
      <c r="B37" s="21"/>
      <c r="C37" s="121"/>
      <c r="D37" s="57" t="s">
        <v>34</v>
      </c>
      <c r="E37" s="57"/>
      <c r="F37" s="56"/>
      <c r="G37" s="57"/>
      <c r="H37" s="142">
        <f>IF(Leerlinggegevens!D28=0,0,IF(Leerlinggegevens!D28="SO",VLOOKUP(Leerlinggegevens!E28,PvE_SO,16,FALSE),VLOOKUP(Leerlinggegevens!E28,PvE_VSO,16,FALSE))*Leerlinggegevens!AC28)</f>
        <v>0</v>
      </c>
      <c r="I37" s="142">
        <f>IF(Leerlinggegevens!D46=0,0,IF(Leerlinggegevens!D46="SO",VLOOKUP(Leerlinggegevens!E46,PvE_SO,16,FALSE),VLOOKUP(Leerlinggegevens!E46,PvE_VSO,16,FALSE))*Leerlinggegevens!AC46)</f>
        <v>0</v>
      </c>
      <c r="J37" s="142">
        <f>IF(Leerlinggegevens!D64=0,0,IF(Leerlinggegevens!D64="SO",VLOOKUP(Leerlinggegevens!E64,PvE_SO,16,FALSE),VLOOKUP(Leerlinggegevens!E64,PvE_VSO,16,FALSE))*Leerlinggegevens!AC64)</f>
        <v>0</v>
      </c>
      <c r="K37" s="142">
        <f>IF(Leerlinggegevens!D82=0,0,IF(Leerlinggegevens!D82="SO",VLOOKUP(Leerlinggegevens!E82,PvE_SO,16,FALSE),VLOOKUP(Leerlinggegevens!E82,PvE_VSO,16,FALSE))*Leerlinggegevens!AC82)</f>
        <v>0</v>
      </c>
      <c r="L37" s="59"/>
      <c r="M37" s="25"/>
    </row>
    <row r="38" spans="2:13" ht="12.75">
      <c r="B38" s="21"/>
      <c r="C38" s="121"/>
      <c r="D38" s="57" t="s">
        <v>88</v>
      </c>
      <c r="E38" s="57"/>
      <c r="F38" s="56"/>
      <c r="G38" s="57"/>
      <c r="H38" s="142">
        <f>IF(Leerlinggegevens!D28=0,0,IF(Leerlinggegevens!D28="SO",VLOOKUP(Leerlinggegevens!E28,PvE_SO,18,FALSE),VLOOKUP(Leerlinggegevens!E28,PvE_VSO,18,FALSE))*Leerlinggegevens!AC28)</f>
        <v>0</v>
      </c>
      <c r="I38" s="142">
        <f>IF(Leerlinggegevens!D46=0,0,IF(Leerlinggegevens!D46="SO",VLOOKUP(Leerlinggegevens!E46,PvE_SO,18,FALSE),VLOOKUP(Leerlinggegevens!E46,PvE_VSO,18,FALSE))*Leerlinggegevens!AC46)</f>
        <v>0</v>
      </c>
      <c r="J38" s="142">
        <f>IF(Leerlinggegevens!D64=0,0,IF(Leerlinggegevens!D64="SO",VLOOKUP(Leerlinggegevens!E64,PvE_SO,18,FALSE),VLOOKUP(Leerlinggegevens!E64,PvE_VSO,18,FALSE))*Leerlinggegevens!AC64)</f>
        <v>0</v>
      </c>
      <c r="K38" s="142">
        <f>IF(Leerlinggegevens!D82=0,0,IF(Leerlinggegevens!D82="SO",VLOOKUP(Leerlinggegevens!E82,PvE_SO,18,FALSE),VLOOKUP(Leerlinggegevens!E82,PvE_VSO,18,FALSE))*Leerlinggegevens!AC82)</f>
        <v>0</v>
      </c>
      <c r="L38" s="59"/>
      <c r="M38" s="25"/>
    </row>
    <row r="39" spans="2:13" ht="12.75">
      <c r="B39" s="21"/>
      <c r="C39" s="121"/>
      <c r="D39" s="57" t="s">
        <v>35</v>
      </c>
      <c r="E39" s="57"/>
      <c r="F39" s="56"/>
      <c r="G39" s="57"/>
      <c r="H39" s="142">
        <f>IF(Leerlinggegevens!D28=0,0,IF(Leerlinggegevens!D28="SO",VLOOKUP(Leerlinggegevens!E28,PvE_SO,20,FALSE),VLOOKUP(Leerlinggegevens!E28,PvE_VSO,20,FALSE))*Leerlinggegevens!AC28)</f>
        <v>0</v>
      </c>
      <c r="I39" s="142">
        <f>IF(Leerlinggegevens!D46=0,0,IF(Leerlinggegevens!D46="SO",VLOOKUP(Leerlinggegevens!E46,PvE_SO,20,FALSE),VLOOKUP(Leerlinggegevens!E46,PvE_VSO,20,FALSE))*Leerlinggegevens!AC46)</f>
        <v>0</v>
      </c>
      <c r="J39" s="142">
        <f>IF(Leerlinggegevens!D64=0,0,IF(Leerlinggegevens!D64="SO",VLOOKUP(Leerlinggegevens!E64,PvE_SO,20,FALSE),VLOOKUP(Leerlinggegevens!E64,PvE_VSO,20,FALSE))*Leerlinggegevens!AC64)</f>
        <v>0</v>
      </c>
      <c r="K39" s="142">
        <f>IF(Leerlinggegevens!D82=0,0,IF(Leerlinggegevens!D82="SO",VLOOKUP(Leerlinggegevens!E82,PvE_SO,20,FALSE),VLOOKUP(Leerlinggegevens!E82,PvE_VSO,20,FALSE))*Leerlinggegevens!AC82)</f>
        <v>0</v>
      </c>
      <c r="L39" s="59"/>
      <c r="M39" s="25"/>
    </row>
    <row r="40" spans="2:13" ht="12.75">
      <c r="B40" s="21"/>
      <c r="C40" s="121"/>
      <c r="D40" s="57" t="s">
        <v>36</v>
      </c>
      <c r="E40" s="57"/>
      <c r="F40" s="56"/>
      <c r="G40" s="57"/>
      <c r="H40" s="142">
        <f>IF(Leerlinggegevens!D28=0,0,IF(Leerlinggegevens!D28="SO",VLOOKUP(Leerlinggegevens!E28,PvE_SO,22,FALSE),VLOOKUP(Leerlinggegevens!E28,PvE_VSO,22,FALSE))*Leerlinggegevens!AC28)</f>
        <v>0</v>
      </c>
      <c r="I40" s="142">
        <f>IF(Leerlinggegevens!D46=0,0,IF(Leerlinggegevens!D46="SO",VLOOKUP(Leerlinggegevens!E46,PvE_SO,22,FALSE),VLOOKUP(Leerlinggegevens!E46,PvE_VSO,22,FALSE))*Leerlinggegevens!AC46)</f>
        <v>0</v>
      </c>
      <c r="J40" s="142">
        <f>IF(Leerlinggegevens!D64=0,0,IF(Leerlinggegevens!D64="SO",VLOOKUP(Leerlinggegevens!E64,PvE_SO,22,FALSE),VLOOKUP(Leerlinggegevens!E64,PvE_VSO,22,FALSE))*Leerlinggegevens!AC64)</f>
        <v>0</v>
      </c>
      <c r="K40" s="142">
        <f>IF(Leerlinggegevens!D82=0,0,IF(Leerlinggegevens!D82="SO",VLOOKUP(Leerlinggegevens!E82,PvE_SO,22,FALSE),VLOOKUP(Leerlinggegevens!E82,PvE_VSO,22,FALSE))*Leerlinggegevens!AC82)</f>
        <v>0</v>
      </c>
      <c r="L40" s="59"/>
      <c r="M40" s="25"/>
    </row>
    <row r="41" spans="2:13" ht="12.75">
      <c r="B41" s="21"/>
      <c r="C41" s="121"/>
      <c r="D41" s="57" t="s">
        <v>114</v>
      </c>
      <c r="E41" s="57"/>
      <c r="F41" s="56"/>
      <c r="G41" s="57"/>
      <c r="H41" s="142">
        <f>IF(Leerlinggegevens!D28=0,0,IF(Leerlinggegevens!D28="SO",VLOOKUP(Leerlinggegevens!E28,PvE_SO,24,FALSE),VLOOKUP(Leerlinggegevens!E28,PvE_VSO,24,FALSE))*Leerlinggegevens!AC28)</f>
        <v>0</v>
      </c>
      <c r="I41" s="142">
        <f>IF(Leerlinggegevens!D46=0,0,IF(Leerlinggegevens!D46="SO",VLOOKUP(Leerlinggegevens!E46,PvE_SO,24,FALSE),VLOOKUP(Leerlinggegevens!E46,PvE_VSO,24,FALSE))*Leerlinggegevens!AC46)</f>
        <v>0</v>
      </c>
      <c r="J41" s="142">
        <f>IF(Leerlinggegevens!D64=0,0,IF(Leerlinggegevens!D64="SO",VLOOKUP(Leerlinggegevens!E64,PvE_SO,24,FALSE),VLOOKUP(Leerlinggegevens!E64,PvE_VSO,24,FALSE))*Leerlinggegevens!AC64)</f>
        <v>0</v>
      </c>
      <c r="K41" s="142">
        <f>IF(Leerlinggegevens!D82=0,0,IF(Leerlinggegevens!D82="SO",VLOOKUP(Leerlinggegevens!E82,PvE_SO,24,FALSE),VLOOKUP(Leerlinggegevens!E82,PvE_VSO,24,FALSE))*Leerlinggegevens!AC82)</f>
        <v>0</v>
      </c>
      <c r="L41" s="59"/>
      <c r="M41" s="25"/>
    </row>
    <row r="42" spans="2:13" ht="12.75">
      <c r="B42" s="21"/>
      <c r="C42" s="121"/>
      <c r="D42" s="131" t="s">
        <v>115</v>
      </c>
      <c r="E42" s="92"/>
      <c r="F42" s="56"/>
      <c r="G42" s="57"/>
      <c r="H42" s="143">
        <f>IF(Leerlinggegevens!D28=0,0,IF(Leerlinggegevens!D28="SO",VLOOKUP(Leerlinggegevens!E28,PvE_SO,26,FALSE),VLOOKUP(Leerlinggegevens!E28,PvE_VSO,26,FALSE))*Leerlinggegevens!AC28)</f>
        <v>0</v>
      </c>
      <c r="I42" s="143">
        <f>IF(Leerlinggegevens!D46=0,0,IF(Leerlinggegevens!D46="SO",VLOOKUP(Leerlinggegevens!E46,PvE_SO,26,FALSE),VLOOKUP(Leerlinggegevens!E46,PvE_VSO,26,FALSE))*Leerlinggegevens!AC46)</f>
        <v>0</v>
      </c>
      <c r="J42" s="143">
        <f>IF(Leerlinggegevens!D64=0,0,IF(Leerlinggegevens!D64="SO",VLOOKUP(Leerlinggegevens!E64,PvE_SO,26,FALSE),VLOOKUP(Leerlinggegevens!E64,PvE_VSO,26,FALSE))*Leerlinggegevens!AC64)</f>
        <v>0</v>
      </c>
      <c r="K42" s="143">
        <f>IF(Leerlinggegevens!D82=0,0,IF(Leerlinggegevens!D82="SO",VLOOKUP(Leerlinggegevens!E82,PvE_SO,26,FALSE),VLOOKUP(Leerlinggegevens!E82,PvE_VSO,26,FALSE))*Leerlinggegevens!AC82)</f>
        <v>0</v>
      </c>
      <c r="L42" s="59"/>
      <c r="M42" s="25"/>
    </row>
    <row r="43" spans="2:13" ht="12.75">
      <c r="B43" s="21"/>
      <c r="C43" s="121"/>
      <c r="D43" s="57" t="s">
        <v>81</v>
      </c>
      <c r="E43" s="57"/>
      <c r="F43" s="56"/>
      <c r="G43" s="57"/>
      <c r="H43" s="142">
        <f>IF(Leerlinggegevens!D28=0,0,IF(Leerlinggegevens!D28="SO",VLOOKUP(Leerlinggegevens!E28,PvE_SO,28,FALSE),VLOOKUP(Leerlinggegevens!E28,PvE_VSO,28,FALSE))*Leerlinggegevens!AC28)</f>
        <v>0</v>
      </c>
      <c r="I43" s="142">
        <f>IF(Leerlinggegevens!D46=0,0,IF(Leerlinggegevens!D46="SO",VLOOKUP(Leerlinggegevens!E46,PvE_SO,28,FALSE),VLOOKUP(Leerlinggegevens!E46,PvE_VSO,28,FALSE))*Leerlinggegevens!AC46)</f>
        <v>0</v>
      </c>
      <c r="J43" s="142">
        <f>IF(Leerlinggegevens!D64=0,0,IF(Leerlinggegevens!D64="SO",VLOOKUP(Leerlinggegevens!E64,PvE_SO,28,FALSE),VLOOKUP(Leerlinggegevens!E64,PvE_VSO,28,FALSE))*Leerlinggegevens!AC64)</f>
        <v>0</v>
      </c>
      <c r="K43" s="142">
        <f>IF(Leerlinggegevens!D82=0,0,IF(Leerlinggegevens!D82="SO",VLOOKUP(Leerlinggegevens!E82,PvE_SO,28,FALSE),VLOOKUP(Leerlinggegevens!E82,PvE_VSO,28,FALSE))*Leerlinggegevens!AC82)</f>
        <v>0</v>
      </c>
      <c r="L43" s="59"/>
      <c r="M43" s="25"/>
    </row>
    <row r="44" spans="2:13" ht="12.75">
      <c r="B44" s="21"/>
      <c r="C44" s="121"/>
      <c r="D44" s="57" t="s">
        <v>118</v>
      </c>
      <c r="E44" s="57"/>
      <c r="F44" s="56"/>
      <c r="G44" s="57"/>
      <c r="H44" s="142">
        <f>IF(Leerlinggegevens!D28=0,0,IF(Leerlinggegevens!D28="SO",VLOOKUP(Leerlinggegevens!E28,PvE_SO,30,FALSE),VLOOKUP(Leerlinggegevens!E28,PvE_VSO,30,FALSE))*Leerlinggegevens!AC28)</f>
        <v>0</v>
      </c>
      <c r="I44" s="142">
        <f>IF(Leerlinggegevens!D46=0,0,IF(Leerlinggegevens!D46="SO",VLOOKUP(Leerlinggegevens!E46,PvE_SO,30,FALSE),VLOOKUP(Leerlinggegevens!E46,PvE_VSO,30,FALSE))*Leerlinggegevens!AC46)</f>
        <v>0</v>
      </c>
      <c r="J44" s="142">
        <f>IF(Leerlinggegevens!D64=0,0,IF(Leerlinggegevens!D64="SO",VLOOKUP(Leerlinggegevens!E64,PvE_SO,30,FALSE),VLOOKUP(Leerlinggegevens!E64,PvE_VSO,30,FALSE))*Leerlinggegevens!AC64)</f>
        <v>0</v>
      </c>
      <c r="K44" s="142">
        <f>IF(Leerlinggegevens!D82=0,0,IF(Leerlinggegevens!D82="SO",VLOOKUP(Leerlinggegevens!E82,PvE_SO,30,FALSE),VLOOKUP(Leerlinggegevens!E82,PvE_VSO,30,FALSE))*Leerlinggegevens!AC82)</f>
        <v>0</v>
      </c>
      <c r="L44" s="59"/>
      <c r="M44" s="25"/>
    </row>
    <row r="45" spans="2:13" ht="12.75">
      <c r="B45" s="21"/>
      <c r="C45" s="121"/>
      <c r="D45" s="57" t="s">
        <v>119</v>
      </c>
      <c r="E45" s="57"/>
      <c r="F45" s="56"/>
      <c r="G45" s="57"/>
      <c r="H45" s="142">
        <f>IF(Leerlinggegevens!D28=0,0,IF(Leerlinggegevens!D28="SO",VLOOKUP(Leerlinggegevens!E28,PvE_SO,32,FALSE),VLOOKUP(Leerlinggegevens!E28,PvE_VSO,32,FALSE))*Leerlinggegevens!AC28)</f>
        <v>0</v>
      </c>
      <c r="I45" s="142">
        <f>IF(Leerlinggegevens!D46=0,0,IF(Leerlinggegevens!D46="SO",VLOOKUP(Leerlinggegevens!E46,PvE_SO,32,FALSE),VLOOKUP(Leerlinggegevens!E46,PvE_VSO,32,FALSE))*Leerlinggegevens!AC46)</f>
        <v>0</v>
      </c>
      <c r="J45" s="142">
        <f>IF(Leerlinggegevens!D64=0,0,IF(Leerlinggegevens!D64="SO",VLOOKUP(Leerlinggegevens!E64,PvE_SO,32,FALSE),VLOOKUP(Leerlinggegevens!E64,PvE_VSO,32,FALSE))*Leerlinggegevens!AC64)</f>
        <v>0</v>
      </c>
      <c r="K45" s="142">
        <f>IF(Leerlinggegevens!D82=0,0,IF(Leerlinggegevens!D82="SO",VLOOKUP(Leerlinggegevens!E82,PvE_SO,32,FALSE),VLOOKUP(Leerlinggegevens!E82,PvE_VSO,32,FALSE))*Leerlinggegevens!AC82)</f>
        <v>0</v>
      </c>
      <c r="L45" s="59"/>
      <c r="M45" s="25"/>
    </row>
    <row r="46" spans="2:13" ht="12.75">
      <c r="B46" s="21"/>
      <c r="C46" s="121"/>
      <c r="D46" s="57" t="s">
        <v>116</v>
      </c>
      <c r="E46" s="57"/>
      <c r="F46" s="56"/>
      <c r="G46" s="57"/>
      <c r="H46" s="142">
        <f>IF(Leerlinggegevens!AC28=0,0,IF(Leerlinggegevens!D28=0,0,IF(Leerlinggegevens!G28="ja",0,IF(Leerlinggegevens!D28="SO",VLOOKUP(Leerlinggegevens!E28,PvE_SO,33,FALSE),VLOOKUP(Leerlinggegevens!E28,PvE_VSO,33,FALSE)))+IF(Leerlinggegevens!D28="SO",VLOOKUP(Leerlinggegevens!E28,PvE_SO,34,FALSE),VLOOKUP(Leerlinggegevens!E28,PvE_VSO,34,FALSE))*Leerlinggegevens!AC28))</f>
        <v>0</v>
      </c>
      <c r="I46" s="142">
        <f>IF(Leerlinggegevens!AC46=0,0,IF(Leerlinggegevens!D46=0,0,IF(Leerlinggegevens!G28="ja",0,IF(Leerlinggegevens!D46="SO",VLOOKUP(Leerlinggegevens!E46,PvE_SO,33,FALSE),VLOOKUP(Leerlinggegevens!E46,PvE_VSO,33,FALSE)))+IF(Leerlinggegevens!D46="SO",VLOOKUP(Leerlinggegevens!E46,PvE_SO,34,FALSE),VLOOKUP(Leerlinggegevens!E46,PvE_VSO,34,FALSE))*Leerlinggegevens!AC46))</f>
        <v>0</v>
      </c>
      <c r="J46" s="142">
        <f>IF(Leerlinggegevens!AC64=0,0,IF(Leerlinggegevens!D64=0,0,IF(Leerlinggegevens!G28="ja",0,IF(Leerlinggegevens!D64="SO",VLOOKUP(Leerlinggegevens!E64,PvE_SO,33,FALSE),VLOOKUP(Leerlinggegevens!E64,PvE_VSO,33,FALSE)))+IF(Leerlinggegevens!D64="SO",VLOOKUP(Leerlinggegevens!E64,PvE_SO,34,FALSE),VLOOKUP(Leerlinggegevens!E64,PvE_VSO,34,FALSE))*Leerlinggegevens!AC64))</f>
        <v>0</v>
      </c>
      <c r="K46" s="142">
        <f>IF(Leerlinggegevens!AC82=0,0,IF(Leerlinggegevens!D82=0,0,IF(Leerlinggegevens!G28="ja",0,IF(Leerlinggegevens!D82="SO",VLOOKUP(Leerlinggegevens!E82,PvE_SO,33,FALSE),VLOOKUP(Leerlinggegevens!E82,PvE_VSO,33,FALSE)))+IF(Leerlinggegevens!D82="SO",VLOOKUP(Leerlinggegevens!E82,PvE_SO,34,FALSE),VLOOKUP(Leerlinggegevens!E82,PvE_VSO,34,FALSE))*Leerlinggegevens!AC82))</f>
        <v>0</v>
      </c>
      <c r="L46" s="59"/>
      <c r="M46" s="25"/>
    </row>
    <row r="47" spans="2:13" ht="12.75">
      <c r="B47" s="21"/>
      <c r="C47" s="121"/>
      <c r="D47" s="131" t="s">
        <v>120</v>
      </c>
      <c r="E47" s="92"/>
      <c r="F47" s="56"/>
      <c r="G47" s="57"/>
      <c r="H47" s="143">
        <f>IF(Leerlinggegevens!D28=0,0,IF(Leerlinggegevens!D28="SO",VLOOKUP(Leerlinggegevens!E28,PvE_SO,36,FALSE),VLOOKUP(Leerlinggegevens!E28,PvE_VSO,36,FALSE))*Leerlinggegevens!AC28)</f>
        <v>0</v>
      </c>
      <c r="I47" s="143">
        <f>IF(Leerlinggegevens!D46=0,0,IF(Leerlinggegevens!D46="SO",VLOOKUP(Leerlinggegevens!E46,PvE_SO,36,FALSE),VLOOKUP(Leerlinggegevens!E46,PvE_VSO,36,FALSE))*Leerlinggegevens!AC46)</f>
        <v>0</v>
      </c>
      <c r="J47" s="143">
        <f>IF(Leerlinggegevens!D64=0,0,IF(Leerlinggegevens!D64="SO",VLOOKUP(Leerlinggegevens!E64,PvE_SO,36,FALSE),VLOOKUP(Leerlinggegevens!E64,PvE_VSO,36,FALSE))*Leerlinggegevens!AC64)</f>
        <v>0</v>
      </c>
      <c r="K47" s="143">
        <f>IF(Leerlinggegevens!D82=0,0,IF(Leerlinggegevens!D82="SO",VLOOKUP(Leerlinggegevens!E82,PvE_SO,36,FALSE),VLOOKUP(Leerlinggegevens!E82,PvE_VSO,36,FALSE))*Leerlinggegevens!AC82)</f>
        <v>0</v>
      </c>
      <c r="L47" s="59"/>
      <c r="M47" s="25"/>
    </row>
    <row r="48" spans="2:13" ht="12.75">
      <c r="B48" s="21"/>
      <c r="C48" s="121"/>
      <c r="D48" s="57" t="s">
        <v>117</v>
      </c>
      <c r="E48" s="57"/>
      <c r="F48" s="56"/>
      <c r="G48" s="57"/>
      <c r="H48" s="142">
        <f>IF(Leerlinggegevens!AC28=0,0,IF(Leerlinggegevens!D28=0,0,IF(Leerlinggegevens!G28="ja",0,IF(Leerlinggegevens!D28="SO",VLOOKUP(Leerlinggegevens!E28,PvE_SO,37,FALSE),VLOOKUP(Leerlinggegevens!E28,PvE_VSO,37,FALSE)))+IF(Leerlinggegevens!D28="SO",VLOOKUP(Leerlinggegevens!E28,PvE_SO,38,FALSE),VLOOKUP(Leerlinggegevens!E28,PvE_VSO,38,FALSE))*Leerlinggegevens!AC28))</f>
        <v>0</v>
      </c>
      <c r="I48" s="142">
        <f>IF(Leerlinggegevens!AC46=0,0,IF(Leerlinggegevens!D46=0,0,IF(Leerlinggegevens!G28="ja",0,IF(Leerlinggegevens!D46="SO",VLOOKUP(Leerlinggegevens!E46,PvE_SO,37,FALSE),VLOOKUP(Leerlinggegevens!E46,PvE_VSO,37,FALSE)))+IF(Leerlinggegevens!D46="SO",VLOOKUP(Leerlinggegevens!E46,PvE_SO,38,FALSE),VLOOKUP(Leerlinggegevens!E46,PvE_VSO,38,FALSE))*Leerlinggegevens!AC46))</f>
        <v>0</v>
      </c>
      <c r="J48" s="142">
        <f>IF(Leerlinggegevens!AC64=0,0,IF(Leerlinggegevens!D64=0,0,IF(Leerlinggegevens!G28="ja",0,IF(Leerlinggegevens!D64="SO",VLOOKUP(Leerlinggegevens!E64,PvE_SO,37,FALSE),VLOOKUP(Leerlinggegevens!E64,PvE_VSO,37,FALSE)))+IF(Leerlinggegevens!D64="SO",VLOOKUP(Leerlinggegevens!E64,PvE_SO,38,FALSE),VLOOKUP(Leerlinggegevens!E64,PvE_VSO,38,FALSE))*Leerlinggegevens!AC64))</f>
        <v>0</v>
      </c>
      <c r="K48" s="142">
        <f>IF(Leerlinggegevens!AC82=0,0,IF(Leerlinggegevens!D82=0,0,IF(Leerlinggegevens!G28="ja",0,IF(Leerlinggegevens!D82="SO",VLOOKUP(Leerlinggegevens!E82,PvE_SO,37,FALSE),VLOOKUP(Leerlinggegevens!E82,PvE_VSO,37,FALSE)))+IF(Leerlinggegevens!D82="SO",VLOOKUP(Leerlinggegevens!E82,PvE_SO,38,FALSE),VLOOKUP(Leerlinggegevens!E82,PvE_VSO,38,FALSE))*Leerlinggegevens!AC82))</f>
        <v>0</v>
      </c>
      <c r="L48" s="59"/>
      <c r="M48" s="25"/>
    </row>
    <row r="49" spans="2:13" s="107" customFormat="1" ht="12.75">
      <c r="B49" s="90"/>
      <c r="C49" s="130"/>
      <c r="D49" s="92" t="s">
        <v>37</v>
      </c>
      <c r="E49" s="92"/>
      <c r="F49" s="91"/>
      <c r="G49" s="92"/>
      <c r="H49" s="143">
        <f>SUM(H37:H48)-H42-H47</f>
        <v>0</v>
      </c>
      <c r="I49" s="143">
        <f>SUM(I37:I48)-I42-I47</f>
        <v>0</v>
      </c>
      <c r="J49" s="143">
        <f>SUM(J37:J48)-J42-J47</f>
        <v>0</v>
      </c>
      <c r="K49" s="143">
        <f>SUM(K37:K48)-K42-K47</f>
        <v>0</v>
      </c>
      <c r="L49" s="93"/>
      <c r="M49" s="94"/>
    </row>
    <row r="50" spans="2:13" ht="12.75">
      <c r="B50" s="21"/>
      <c r="C50" s="121"/>
      <c r="D50" s="57"/>
      <c r="E50" s="57"/>
      <c r="F50" s="56"/>
      <c r="G50" s="57"/>
      <c r="H50" s="119"/>
      <c r="I50" s="119"/>
      <c r="J50" s="119"/>
      <c r="K50" s="119"/>
      <c r="L50" s="59"/>
      <c r="M50" s="25"/>
    </row>
    <row r="51" spans="2:13" ht="12.75">
      <c r="B51" s="21"/>
      <c r="C51" s="121"/>
      <c r="D51" s="92" t="s">
        <v>43</v>
      </c>
      <c r="E51" s="61"/>
      <c r="F51" s="56"/>
      <c r="G51" s="57"/>
      <c r="H51" s="120"/>
      <c r="I51" s="120"/>
      <c r="J51" s="120"/>
      <c r="K51" s="120"/>
      <c r="L51" s="59"/>
      <c r="M51" s="25"/>
    </row>
    <row r="52" spans="2:13" ht="12.75">
      <c r="B52" s="21"/>
      <c r="C52" s="121"/>
      <c r="D52" s="57" t="s">
        <v>38</v>
      </c>
      <c r="E52" s="57"/>
      <c r="F52" s="56"/>
      <c r="G52" s="57"/>
      <c r="H52" s="142">
        <f>IF(Leerlinggegevens!D28=0,0,IF(Leerlinggegevens!D28="SO",VLOOKUP(Leerlinggegevens!E28,PvE_SO,40,FALSE),VLOOKUP(Leerlinggegevens!E28,PvE_VSO,40,FALSE))*Leerlinggegevens!AC28)</f>
        <v>0</v>
      </c>
      <c r="I52" s="142">
        <f>IF(Leerlinggegevens!D46=0,0,IF(Leerlinggegevens!D46="SO",VLOOKUP(Leerlinggegevens!E46,PvE_SO,40,FALSE),VLOOKUP(Leerlinggegevens!E46,PvE_VSO,40,FALSE))*Leerlinggegevens!AC46)</f>
        <v>0</v>
      </c>
      <c r="J52" s="142">
        <f>IF(Leerlinggegevens!D64=0,0,IF(Leerlinggegevens!D64="SO",VLOOKUP(Leerlinggegevens!E64,PvE_SO,40,FALSE),VLOOKUP(Leerlinggegevens!E64,PvE_VSO,40,FALSE))*Leerlinggegevens!AC64)</f>
        <v>0</v>
      </c>
      <c r="K52" s="142">
        <f>IF(Leerlinggegevens!D82=0,0,IF(Leerlinggegevens!D82="SO",VLOOKUP(Leerlinggegevens!E82,PvE_SO,40,FALSE),VLOOKUP(Leerlinggegevens!E82,PvE_VSO,40,FALSE))*Leerlinggegevens!AC82)</f>
        <v>0</v>
      </c>
      <c r="L52" s="59"/>
      <c r="M52" s="25"/>
    </row>
    <row r="53" spans="2:13" ht="12.75">
      <c r="B53" s="21"/>
      <c r="C53" s="121"/>
      <c r="D53" s="57" t="s">
        <v>39</v>
      </c>
      <c r="E53" s="57"/>
      <c r="F53" s="56"/>
      <c r="G53" s="57"/>
      <c r="H53" s="142">
        <f>IF(Leerlinggegevens!AC28=0,0,IF(Leerlinggegevens!D28=0,0,IF(Leerlinggegevens!G28="ja",0,+IF(Leerlinggegevens!D28="SO",VLOOKUP(Leerlinggegevens!E28,PvE_SO,41,FALSE),VLOOKUP(Leerlinggegevens!E28,PvE_VSO,41,FALSE)))+IF(Leerlinggegevens!D28="SO",VLOOKUP(Leerlinggegevens!E28,PvE_SO,42,FALSE),VLOOKUP(Leerlinggegevens!E28,PvE_VSO,42,FALSE))*Leerlinggegevens!AC28))</f>
        <v>0</v>
      </c>
      <c r="I53" s="142">
        <f>IF(Leerlinggegevens!AC46=0,0,IF(Leerlinggegevens!D46=0,0,IF(Leerlinggegevens!G28="ja",0,+IF(Leerlinggegevens!D46="SO",VLOOKUP(Leerlinggegevens!E46,PvE_SO,41,FALSE),VLOOKUP(Leerlinggegevens!E46,PvE_VSO,41,FALSE)))+IF(Leerlinggegevens!D46="SO",VLOOKUP(Leerlinggegevens!E46,PvE_SO,42,FALSE),VLOOKUP(Leerlinggegevens!E46,PvE_VSO,42,FALSE))*Leerlinggegevens!AC46))</f>
        <v>0</v>
      </c>
      <c r="J53" s="142">
        <f>IF(Leerlinggegevens!AC64=0,0,IF(Leerlinggegevens!D64=0,0,IF(Leerlinggegevens!G28="ja",0,+IF(Leerlinggegevens!D64="SO",VLOOKUP(Leerlinggegevens!E64,PvE_SO,41,FALSE),VLOOKUP(Leerlinggegevens!E64,PvE_VSO,41,FALSE)))+IF(Leerlinggegevens!D64="SO",VLOOKUP(Leerlinggegevens!E64,PvE_SO,42,FALSE),VLOOKUP(Leerlinggegevens!E64,PvE_VSO,42,FALSE))*Leerlinggegevens!AC64))</f>
        <v>0</v>
      </c>
      <c r="K53" s="142">
        <f>IF(Leerlinggegevens!AC82=0,0,IF(Leerlinggegevens!D82=0,0,IF(Leerlinggegevens!G28="ja",0,+IF(Leerlinggegevens!D82="SO",VLOOKUP(Leerlinggegevens!E82,PvE_SO,41,FALSE),VLOOKUP(Leerlinggegevens!E82,PvE_VSO,41,FALSE)))+IF(Leerlinggegevens!D82="SO",VLOOKUP(Leerlinggegevens!E82,PvE_SO,42,FALSE),VLOOKUP(Leerlinggegevens!E82,PvE_VSO,42,FALSE))*Leerlinggegevens!AC82))</f>
        <v>0</v>
      </c>
      <c r="L53" s="59"/>
      <c r="M53" s="25"/>
    </row>
    <row r="54" spans="2:13" ht="12.75">
      <c r="B54" s="21"/>
      <c r="C54" s="121"/>
      <c r="D54" s="57" t="s">
        <v>40</v>
      </c>
      <c r="E54" s="57"/>
      <c r="F54" s="56"/>
      <c r="G54" s="57"/>
      <c r="H54" s="142">
        <f>IF(Leerlinggegevens!D28=0,0,IF(Leerlinggegevens!D28="SO",VLOOKUP(Leerlinggegevens!E28,PvE_SO,44,FALSE),VLOOKUP(Leerlinggegevens!E28,PvE_VSO,44,FALSE))*Leerlinggegevens!AC28)</f>
        <v>0</v>
      </c>
      <c r="I54" s="142">
        <f>IF(Leerlinggegevens!D46=0,0,IF(Leerlinggegevens!D46="SO",VLOOKUP(Leerlinggegevens!E46,PvE_SO,44,FALSE),VLOOKUP(Leerlinggegevens!E46,PvE_VSO,44,FALSE))*Leerlinggegevens!AC46)</f>
        <v>0</v>
      </c>
      <c r="J54" s="142">
        <f>IF(Leerlinggegevens!D64=0,0,IF(Leerlinggegevens!D64="SO",VLOOKUP(Leerlinggegevens!E64,PvE_SO,44,FALSE),VLOOKUP(Leerlinggegevens!E64,PvE_VSO,44,FALSE))*Leerlinggegevens!AC64)</f>
        <v>0</v>
      </c>
      <c r="K54" s="142">
        <f>IF(Leerlinggegevens!D82=0,0,IF(Leerlinggegevens!D82="SO",VLOOKUP(Leerlinggegevens!E82,PvE_SO,44,FALSE),VLOOKUP(Leerlinggegevens!E82,PvE_VSO,44,FALSE))*Leerlinggegevens!AC82)</f>
        <v>0</v>
      </c>
      <c r="L54" s="59"/>
      <c r="M54" s="25"/>
    </row>
    <row r="55" spans="2:13" s="107" customFormat="1" ht="12.75">
      <c r="B55" s="90"/>
      <c r="C55" s="130"/>
      <c r="D55" s="92" t="s">
        <v>37</v>
      </c>
      <c r="E55" s="92"/>
      <c r="F55" s="91"/>
      <c r="G55" s="92"/>
      <c r="H55" s="143">
        <f>SUM(H52:H54)</f>
        <v>0</v>
      </c>
      <c r="I55" s="143">
        <f>SUM(I52:I54)</f>
        <v>0</v>
      </c>
      <c r="J55" s="143">
        <f>SUM(J52:J54)</f>
        <v>0</v>
      </c>
      <c r="K55" s="143">
        <f>SUM(K52:K54)</f>
        <v>0</v>
      </c>
      <c r="L55" s="93"/>
      <c r="M55" s="94"/>
    </row>
    <row r="56" spans="2:13" ht="12.75">
      <c r="B56" s="21"/>
      <c r="C56" s="121"/>
      <c r="D56" s="61"/>
      <c r="E56" s="61"/>
      <c r="F56" s="56"/>
      <c r="G56" s="57"/>
      <c r="H56" s="152">
        <f>H49+H55</f>
        <v>0</v>
      </c>
      <c r="I56" s="152">
        <f>I49+I55</f>
        <v>0</v>
      </c>
      <c r="J56" s="152">
        <f>J49+J55</f>
        <v>0</v>
      </c>
      <c r="K56" s="152">
        <f>K49+K55</f>
        <v>0</v>
      </c>
      <c r="L56" s="59"/>
      <c r="M56" s="25"/>
    </row>
    <row r="57" spans="2:13" ht="12.75">
      <c r="B57" s="21"/>
      <c r="C57" s="121"/>
      <c r="D57" s="61" t="s">
        <v>87</v>
      </c>
      <c r="E57" s="61"/>
      <c r="F57" s="56"/>
      <c r="G57" s="57"/>
      <c r="H57" s="144">
        <f>IF(Leerlinggegevens!AC28=0,0,IF(Leerlinggegevens!D28=0,0,IF(Leerlinggegevens!G28="ja",0,IF(Leerlinggegevens!D28="SO",VLOOKUP(Leerlinggegevens!E28,leerlingafhPvE,3,FALSE),VLOOKUP(Leerlinggegevens!E28,leerlingafhPvE,5,FALSE)))+IF(Leerlinggegevens!D28="SO",VLOOKUP(Leerlinggegevens!E28,leerlingafhPvE,4,FALSE),VLOOKUP(Leerlinggegevens!E28,leerlingafhPvE,6,FALSE))*Leerlinggegevens!AC28))</f>
        <v>0</v>
      </c>
      <c r="I57" s="144">
        <f>IF(Leerlinggegevens!AC46=0,0,IF(Leerlinggegevens!D46=0,0,IF(Leerlinggegevens!G28="ja",0,IF(Leerlinggegevens!D46="SO",VLOOKUP(Leerlinggegevens!E46,leerlingafhPvE,3,FALSE),VLOOKUP(Leerlinggegevens!E46,leerlingafhPvE,5,FALSE)))+IF(Leerlinggegevens!D46="SO",VLOOKUP(Leerlinggegevens!E46,leerlingafhPvE,4,FALSE),VLOOKUP(Leerlinggegevens!E46,leerlingafhPvE,6,FALSE))*Leerlinggegevens!AC46))</f>
        <v>0</v>
      </c>
      <c r="J57" s="144">
        <f>IF(Leerlinggegevens!AC64=0,0,IF(Leerlinggegevens!D64=0,0,IF(Leerlinggegevens!G28="ja",0,IF(Leerlinggegevens!D64="SO",VLOOKUP(Leerlinggegevens!E64,leerlingafhPvE,3,FALSE),VLOOKUP(Leerlinggegevens!E64,leerlingafhPvE,5,FALSE)))+IF(Leerlinggegevens!D64="SO",VLOOKUP(Leerlinggegevens!E64,leerlingafhPvE,4,FALSE),VLOOKUP(Leerlinggegevens!E64,leerlingafhPvE,6,FALSE))*Leerlinggegevens!AC64))</f>
        <v>0</v>
      </c>
      <c r="K57" s="144">
        <f>IF(Leerlinggegevens!AC82=0,0,IF(Leerlinggegevens!D82=0,0,IF(Leerlinggegevens!G28="ja",0,IF(Leerlinggegevens!D82="SO",VLOOKUP(Leerlinggegevens!E82,leerlingafhPvE,3,FALSE),VLOOKUP(Leerlinggegevens!E82,leerlingafhPvE,5,FALSE)))+IF(Leerlinggegevens!D82="SO",VLOOKUP(Leerlinggegevens!E82,leerlingafhPvE,4,FALSE),VLOOKUP(Leerlinggegevens!E82,leerlingafhPvE,6,FALSE))*Leerlinggegevens!AC82))</f>
        <v>0</v>
      </c>
      <c r="L57" s="59"/>
      <c r="M57" s="25"/>
    </row>
    <row r="58" spans="2:13" ht="12.75">
      <c r="B58" s="21"/>
      <c r="C58" s="121"/>
      <c r="D58" s="61"/>
      <c r="E58" s="61"/>
      <c r="F58" s="56"/>
      <c r="G58" s="57"/>
      <c r="H58" s="119"/>
      <c r="I58" s="119"/>
      <c r="J58" s="119"/>
      <c r="K58" s="119"/>
      <c r="L58" s="59"/>
      <c r="M58" s="25"/>
    </row>
    <row r="59" spans="2:13" ht="12.75">
      <c r="B59" s="21"/>
      <c r="C59" s="121"/>
      <c r="D59" s="61" t="s">
        <v>140</v>
      </c>
      <c r="E59" s="61"/>
      <c r="F59" s="56"/>
      <c r="G59" s="57"/>
      <c r="H59" s="144">
        <f>+H31+H33+H57</f>
        <v>0</v>
      </c>
      <c r="I59" s="144">
        <f>+I31+I33+I57</f>
        <v>0</v>
      </c>
      <c r="J59" s="144">
        <f>+J31+J33+J57</f>
        <v>0</v>
      </c>
      <c r="K59" s="144">
        <f>+K31+K33+K57</f>
        <v>0</v>
      </c>
      <c r="L59" s="59"/>
      <c r="M59" s="25"/>
    </row>
    <row r="60" spans="2:13" ht="12.75">
      <c r="B60" s="21"/>
      <c r="C60" s="121"/>
      <c r="D60" s="57"/>
      <c r="E60" s="57"/>
      <c r="F60" s="56"/>
      <c r="G60" s="57"/>
      <c r="H60" s="120"/>
      <c r="I60" s="120"/>
      <c r="J60" s="120"/>
      <c r="K60" s="120"/>
      <c r="L60" s="59"/>
      <c r="M60" s="25"/>
    </row>
    <row r="61" spans="2:13" ht="12.75">
      <c r="B61" s="21"/>
      <c r="C61" s="118" t="s">
        <v>123</v>
      </c>
      <c r="D61" s="61" t="s">
        <v>16</v>
      </c>
      <c r="E61" s="61"/>
      <c r="F61" s="56"/>
      <c r="G61" s="57"/>
      <c r="H61" s="119"/>
      <c r="I61" s="119"/>
      <c r="J61" s="119"/>
      <c r="K61" s="119"/>
      <c r="L61" s="59"/>
      <c r="M61" s="25"/>
    </row>
    <row r="62" spans="2:13" ht="12.75">
      <c r="B62" s="21"/>
      <c r="C62" s="121"/>
      <c r="D62" s="57" t="s">
        <v>195</v>
      </c>
      <c r="E62" s="61"/>
      <c r="F62" s="85" t="s">
        <v>102</v>
      </c>
      <c r="G62" s="67"/>
      <c r="H62" s="142">
        <f>IF($F62="ja",IF(Leerlinggegevens!D28=0,0,tabellen!$G126),0)</f>
        <v>0</v>
      </c>
      <c r="I62" s="142">
        <f>IF($F62="ja",IF(Leerlinggegevens!D46=0,0,tabellen!$G126),0)</f>
        <v>0</v>
      </c>
      <c r="J62" s="142">
        <f>IF($F62="ja",IF(Leerlinggegevens!D64=0,0,tabellen!$G126),0)</f>
        <v>0</v>
      </c>
      <c r="K62" s="142">
        <f>IF($F62="ja",IF(Leerlinggegevens!D82=0,0,tabellen!$G126),0)</f>
        <v>0</v>
      </c>
      <c r="L62" s="59"/>
      <c r="M62" s="25"/>
    </row>
    <row r="63" spans="2:13" ht="12.75">
      <c r="B63" s="21"/>
      <c r="C63" s="121"/>
      <c r="D63" s="57" t="s">
        <v>196</v>
      </c>
      <c r="E63" s="61"/>
      <c r="F63" s="85" t="s">
        <v>102</v>
      </c>
      <c r="G63" s="67"/>
      <c r="H63" s="142">
        <f>IF($F63="ja",IF(Leerlinggegevens!D28=0,0,VLOOKUP(Leerlinggegevens!$E28,schoolbaden,4,FALSE)),0)</f>
        <v>0</v>
      </c>
      <c r="I63" s="142">
        <f>IF($F63="ja",IF(Leerlinggegevens!D46=0,0,VLOOKUP(Leerlinggegevens!$E46,schoolbaden,4,FALSE)),0)</f>
        <v>0</v>
      </c>
      <c r="J63" s="142">
        <f>IF($F63="ja",IF(Leerlinggegevens!D64=0,0,VLOOKUP(Leerlinggegevens!$E64,schoolbaden,4,FALSE)),0)</f>
        <v>0</v>
      </c>
      <c r="K63" s="142">
        <f>IF($F63="ja",IF(Leerlinggegevens!D82=0,0,VLOOKUP(Leerlinggegevens!$E82,schoolbaden,4,FALSE)),0)</f>
        <v>0</v>
      </c>
      <c r="L63" s="59"/>
      <c r="M63" s="25"/>
    </row>
    <row r="64" spans="2:13" ht="12.75">
      <c r="B64" s="21"/>
      <c r="C64" s="121"/>
      <c r="D64" s="57" t="s">
        <v>203</v>
      </c>
      <c r="E64" s="61"/>
      <c r="F64" s="85">
        <v>0</v>
      </c>
      <c r="G64" s="67"/>
      <c r="H64" s="142">
        <f>IF($F64&lt;1,0,IF(Leerlinggegevens!$D28=0,0,VLOOKUP(Leerlinggegevens!$E28,schoolbaden,5,FALSE))*$F$64)</f>
        <v>0</v>
      </c>
      <c r="I64" s="142">
        <f>IF($F64&lt;1,0,IF(Leerlinggegevens!$D46=0,0,VLOOKUP(Leerlinggegevens!$E46,schoolbaden,5,FALSE))*$F$64)</f>
        <v>0</v>
      </c>
      <c r="J64" s="142">
        <f>IF($F64&lt;1,0,IF(Leerlinggegevens!$D64=0,0,VLOOKUP(Leerlinggegevens!$E64,schoolbaden,5,FALSE))*$F$64)</f>
        <v>0</v>
      </c>
      <c r="K64" s="142">
        <f>IF($F64&lt;1,0,IF(Leerlinggegevens!$D82=0,0,VLOOKUP(Leerlinggegevens!$E82,schoolbaden,5,FALSE))*$F$64)</f>
        <v>0</v>
      </c>
      <c r="L64" s="59"/>
      <c r="M64" s="25"/>
    </row>
    <row r="65" spans="2:13" ht="12.75">
      <c r="B65" s="21"/>
      <c r="C65" s="121"/>
      <c r="D65" s="57" t="s">
        <v>204</v>
      </c>
      <c r="E65" s="61"/>
      <c r="F65" s="85" t="s">
        <v>102</v>
      </c>
      <c r="G65" s="67"/>
      <c r="H65" s="142">
        <f>IF($F65="ja",tabellen!$G$125+(tabellen!$H$125*$F$64),0)</f>
        <v>0</v>
      </c>
      <c r="I65" s="142">
        <f>IF($F65="ja",tabellen!$G$125+(tabellen!$H$125*$F$64),0)</f>
        <v>0</v>
      </c>
      <c r="J65" s="142">
        <f>IF($F65="ja",tabellen!$G$125+(tabellen!$H$125*$F$64),0)</f>
        <v>0</v>
      </c>
      <c r="K65" s="142">
        <f>IF($F65="ja",tabellen!$G$125+(tabellen!$H$125*$F$64),0)</f>
        <v>0</v>
      </c>
      <c r="L65" s="59"/>
      <c r="M65" s="25"/>
    </row>
    <row r="66" spans="2:13" ht="12.75">
      <c r="B66" s="21"/>
      <c r="C66" s="118"/>
      <c r="D66" s="133" t="s">
        <v>37</v>
      </c>
      <c r="E66" s="92"/>
      <c r="F66" s="92"/>
      <c r="G66" s="92"/>
      <c r="H66" s="150">
        <f>SUM(H62:H65)</f>
        <v>0</v>
      </c>
      <c r="I66" s="150">
        <f>SUM(I62:I65)</f>
        <v>0</v>
      </c>
      <c r="J66" s="150">
        <f>SUM(J62:J65)</f>
        <v>0</v>
      </c>
      <c r="K66" s="150">
        <f>SUM(K62:K65)</f>
        <v>0</v>
      </c>
      <c r="L66" s="59"/>
      <c r="M66" s="25"/>
    </row>
    <row r="67" spans="2:13" ht="12.75">
      <c r="B67" s="21"/>
      <c r="C67" s="118"/>
      <c r="D67" s="61"/>
      <c r="E67" s="61"/>
      <c r="F67" s="56"/>
      <c r="G67" s="57"/>
      <c r="H67" s="120"/>
      <c r="I67" s="120"/>
      <c r="J67" s="120"/>
      <c r="K67" s="120"/>
      <c r="L67" s="59"/>
      <c r="M67" s="25"/>
    </row>
    <row r="68" spans="2:13" ht="12.75">
      <c r="B68" s="21"/>
      <c r="C68" s="118" t="s">
        <v>124</v>
      </c>
      <c r="D68" s="61" t="s">
        <v>71</v>
      </c>
      <c r="E68" s="61"/>
      <c r="F68" s="56"/>
      <c r="G68" s="57"/>
      <c r="H68" s="120"/>
      <c r="I68" s="120"/>
      <c r="J68" s="120"/>
      <c r="K68" s="120"/>
      <c r="L68" s="59"/>
      <c r="M68" s="25"/>
    </row>
    <row r="69" spans="2:13" ht="12.75">
      <c r="B69" s="21"/>
      <c r="C69" s="121"/>
      <c r="D69" s="57" t="s">
        <v>197</v>
      </c>
      <c r="E69" s="61"/>
      <c r="F69" s="151">
        <f>+tabellen!G130</f>
        <v>1003.72</v>
      </c>
      <c r="G69" s="132"/>
      <c r="H69" s="120"/>
      <c r="I69" s="120"/>
      <c r="J69" s="120"/>
      <c r="K69" s="120"/>
      <c r="L69" s="59"/>
      <c r="M69" s="25"/>
    </row>
    <row r="70" spans="2:13" ht="12.75">
      <c r="B70" s="21"/>
      <c r="C70" s="121"/>
      <c r="D70" s="57" t="s">
        <v>125</v>
      </c>
      <c r="E70" s="61"/>
      <c r="F70" s="85">
        <v>0</v>
      </c>
      <c r="G70" s="67"/>
      <c r="H70" s="142">
        <f>+F70*$F69</f>
        <v>0</v>
      </c>
      <c r="I70" s="142">
        <f>+H70</f>
        <v>0</v>
      </c>
      <c r="J70" s="142">
        <f>+I70</f>
        <v>0</v>
      </c>
      <c r="K70" s="142">
        <f>+J70</f>
        <v>0</v>
      </c>
      <c r="L70" s="59"/>
      <c r="M70" s="25"/>
    </row>
    <row r="71" spans="2:13" ht="12.75">
      <c r="B71" s="21"/>
      <c r="C71" s="118"/>
      <c r="D71" s="57" t="s">
        <v>198</v>
      </c>
      <c r="E71" s="61"/>
      <c r="F71" s="56"/>
      <c r="G71" s="57"/>
      <c r="H71" s="120"/>
      <c r="I71" s="120"/>
      <c r="J71" s="120"/>
      <c r="K71" s="120"/>
      <c r="L71" s="59"/>
      <c r="M71" s="25"/>
    </row>
    <row r="72" spans="2:13" ht="12.75">
      <c r="B72" s="21"/>
      <c r="C72" s="121"/>
      <c r="D72" s="57" t="s">
        <v>199</v>
      </c>
      <c r="E72" s="61"/>
      <c r="F72" s="85">
        <v>0</v>
      </c>
      <c r="G72" s="67"/>
      <c r="H72" s="142">
        <f>+$F72*tabellen!$G135</f>
        <v>0</v>
      </c>
      <c r="I72" s="142">
        <f>+$F72*tabellen!$G135</f>
        <v>0</v>
      </c>
      <c r="J72" s="142">
        <f>+$F72*tabellen!$G135</f>
        <v>0</v>
      </c>
      <c r="K72" s="142">
        <f>+$F72*tabellen!$G135</f>
        <v>0</v>
      </c>
      <c r="L72" s="59"/>
      <c r="M72" s="25"/>
    </row>
    <row r="73" spans="2:13" s="107" customFormat="1" ht="12.75">
      <c r="B73" s="90"/>
      <c r="C73" s="130"/>
      <c r="D73" s="57"/>
      <c r="E73" s="57"/>
      <c r="F73" s="57"/>
      <c r="G73" s="57"/>
      <c r="H73" s="57"/>
      <c r="I73" s="57"/>
      <c r="J73" s="57"/>
      <c r="K73" s="57"/>
      <c r="L73" s="93"/>
      <c r="M73" s="94"/>
    </row>
    <row r="74" spans="2:13" ht="12.75">
      <c r="B74" s="21"/>
      <c r="C74" s="118" t="s">
        <v>141</v>
      </c>
      <c r="D74" s="61" t="s">
        <v>166</v>
      </c>
      <c r="E74" s="61"/>
      <c r="F74" s="56"/>
      <c r="G74" s="57"/>
      <c r="H74" s="149">
        <v>0</v>
      </c>
      <c r="I74" s="149">
        <v>0</v>
      </c>
      <c r="J74" s="149">
        <v>0</v>
      </c>
      <c r="K74" s="149">
        <v>0</v>
      </c>
      <c r="L74" s="59"/>
      <c r="M74" s="25"/>
    </row>
    <row r="75" spans="2:13" ht="12.75">
      <c r="B75" s="21"/>
      <c r="C75" s="121"/>
      <c r="D75" s="57" t="s">
        <v>167</v>
      </c>
      <c r="E75" s="61"/>
      <c r="F75" s="56"/>
      <c r="G75" s="57"/>
      <c r="H75" s="149">
        <v>0</v>
      </c>
      <c r="I75" s="149">
        <v>0</v>
      </c>
      <c r="J75" s="149">
        <v>0</v>
      </c>
      <c r="K75" s="149">
        <v>0</v>
      </c>
      <c r="L75" s="59"/>
      <c r="M75" s="25"/>
    </row>
    <row r="76" spans="2:13" s="107" customFormat="1" ht="12.75">
      <c r="B76" s="90"/>
      <c r="C76" s="130"/>
      <c r="D76" s="133" t="s">
        <v>37</v>
      </c>
      <c r="E76" s="92"/>
      <c r="F76" s="92"/>
      <c r="G76" s="92"/>
      <c r="H76" s="150">
        <f>SUM(H74:H75)</f>
        <v>0</v>
      </c>
      <c r="I76" s="150">
        <f>SUM(I74:I75)</f>
        <v>0</v>
      </c>
      <c r="J76" s="150">
        <f>SUM(J74:J75)</f>
        <v>0</v>
      </c>
      <c r="K76" s="150">
        <f>SUM(K74:K75)</f>
        <v>0</v>
      </c>
      <c r="L76" s="93"/>
      <c r="M76" s="94"/>
    </row>
    <row r="77" spans="2:13" ht="12.75">
      <c r="B77" s="21"/>
      <c r="C77" s="121"/>
      <c r="D77" s="57"/>
      <c r="E77" s="57"/>
      <c r="F77" s="56"/>
      <c r="G77" s="57"/>
      <c r="H77" s="120"/>
      <c r="I77" s="120"/>
      <c r="J77" s="120"/>
      <c r="K77" s="120"/>
      <c r="L77" s="59"/>
      <c r="M77" s="25"/>
    </row>
    <row r="78" spans="2:13" ht="12.75">
      <c r="B78" s="21"/>
      <c r="C78" s="118" t="s">
        <v>142</v>
      </c>
      <c r="D78" s="61" t="s">
        <v>149</v>
      </c>
      <c r="E78" s="61"/>
      <c r="F78" s="56"/>
      <c r="G78" s="57"/>
      <c r="H78" s="119"/>
      <c r="I78" s="119"/>
      <c r="J78" s="119"/>
      <c r="K78" s="119"/>
      <c r="L78" s="59"/>
      <c r="M78" s="25"/>
    </row>
    <row r="79" spans="2:13" ht="12.75">
      <c r="B79" s="21"/>
      <c r="C79" s="121"/>
      <c r="D79" s="57" t="s">
        <v>145</v>
      </c>
      <c r="E79" s="61"/>
      <c r="F79" s="85">
        <v>0</v>
      </c>
      <c r="G79" s="67"/>
      <c r="H79" s="142">
        <f>IF(Leerlinggegevens!K28=0,0,F79*VLOOKUP(I14,TAB,2,FALSE))</f>
        <v>0</v>
      </c>
      <c r="I79" s="142">
        <f>IF(Leerlinggegevens!$K$46=0,0,+H79)</f>
        <v>0</v>
      </c>
      <c r="J79" s="142">
        <f>IF(Leerlinggegevens!$K$64=0,0,+I79)</f>
        <v>0</v>
      </c>
      <c r="K79" s="142">
        <f>IF(Leerlinggegevens!$K$82=0,0,+J79)</f>
        <v>0</v>
      </c>
      <c r="L79" s="59"/>
      <c r="M79" s="25"/>
    </row>
    <row r="80" spans="2:13" ht="12.75">
      <c r="B80" s="21"/>
      <c r="C80" s="121"/>
      <c r="D80" s="57" t="s">
        <v>146</v>
      </c>
      <c r="E80" s="61"/>
      <c r="F80" s="85">
        <v>0</v>
      </c>
      <c r="G80" s="67"/>
      <c r="H80" s="142">
        <f>IF(Leerlinggegevens!K28=0,0,F80*VLOOKUP(I14,TAB,3,FALSE))</f>
        <v>0</v>
      </c>
      <c r="I80" s="142">
        <f>IF(Leerlinggegevens!$K$46=0,0,+H80)</f>
        <v>0</v>
      </c>
      <c r="J80" s="142">
        <f>IF(Leerlinggegevens!$K$64=0,0,+I80)</f>
        <v>0</v>
      </c>
      <c r="K80" s="142">
        <f>IF(Leerlinggegevens!$K$82=0,0,+J80)</f>
        <v>0</v>
      </c>
      <c r="L80" s="59"/>
      <c r="M80" s="25"/>
    </row>
    <row r="81" spans="2:13" s="107" customFormat="1" ht="12.75">
      <c r="B81" s="90"/>
      <c r="C81" s="130"/>
      <c r="D81" s="92" t="s">
        <v>37</v>
      </c>
      <c r="E81" s="92"/>
      <c r="F81" s="91"/>
      <c r="G81" s="92"/>
      <c r="H81" s="150">
        <f>SUM(H79:H80)</f>
        <v>0</v>
      </c>
      <c r="I81" s="150">
        <f>SUM(I79:I80)</f>
        <v>0</v>
      </c>
      <c r="J81" s="150">
        <f>SUM(J79:J80)</f>
        <v>0</v>
      </c>
      <c r="K81" s="150">
        <f>SUM(K79:K80)</f>
        <v>0</v>
      </c>
      <c r="L81" s="93"/>
      <c r="M81" s="94"/>
    </row>
    <row r="82" spans="2:13" ht="12.75">
      <c r="B82" s="21"/>
      <c r="C82" s="121"/>
      <c r="D82" s="57"/>
      <c r="E82" s="57"/>
      <c r="F82" s="56"/>
      <c r="G82" s="57"/>
      <c r="H82" s="120"/>
      <c r="I82" s="120"/>
      <c r="J82" s="120"/>
      <c r="K82" s="120"/>
      <c r="L82" s="59"/>
      <c r="M82" s="25"/>
    </row>
    <row r="83" spans="2:13" ht="12.75">
      <c r="B83" s="21"/>
      <c r="C83" s="121"/>
      <c r="D83" s="61" t="s">
        <v>150</v>
      </c>
      <c r="E83" s="61"/>
      <c r="F83" s="56"/>
      <c r="G83" s="57"/>
      <c r="H83" s="120"/>
      <c r="I83" s="120"/>
      <c r="J83" s="120"/>
      <c r="K83" s="120"/>
      <c r="L83" s="59"/>
      <c r="M83" s="25"/>
    </row>
    <row r="84" spans="2:13" ht="12.75">
      <c r="B84" s="21"/>
      <c r="C84" s="121"/>
      <c r="D84" s="57" t="s">
        <v>145</v>
      </c>
      <c r="E84" s="61"/>
      <c r="F84" s="85">
        <v>0</v>
      </c>
      <c r="G84" s="67"/>
      <c r="H84" s="142">
        <f>IF(Leerlinggegevens!K28=0,0,F84*(VLOOKUP(I14,_LGF1,2,FALSE)*7/12+VLOOKUP(I14,_LGF2,2,FALSE)*5/12))</f>
        <v>0</v>
      </c>
      <c r="I84" s="142">
        <f>IF(Leerlinggegevens!$K$46=0,0,+H84)</f>
        <v>0</v>
      </c>
      <c r="J84" s="142">
        <f>IF(Leerlinggegevens!$K$64=0,0,+I84)</f>
        <v>0</v>
      </c>
      <c r="K84" s="142">
        <f>IF(Leerlinggegevens!$K$82=0,0,+J84)</f>
        <v>0</v>
      </c>
      <c r="L84" s="59"/>
      <c r="M84" s="25"/>
    </row>
    <row r="85" spans="2:13" ht="12.75">
      <c r="B85" s="21"/>
      <c r="C85" s="121"/>
      <c r="D85" s="57" t="s">
        <v>251</v>
      </c>
      <c r="E85" s="61"/>
      <c r="F85" s="85">
        <v>0</v>
      </c>
      <c r="G85" s="67"/>
      <c r="H85" s="142">
        <f>IF(Leerlinggegevens!K28=0,0,F85*(VLOOKUP(I14,_LGF1,3,FALSE)*7/12+VLOOKUP(I14,_LGF2,3,FALSE)*5/12))</f>
        <v>0</v>
      </c>
      <c r="I85" s="142">
        <f>IF(Leerlinggegevens!$K$46=0,0,+H85)</f>
        <v>0</v>
      </c>
      <c r="J85" s="142">
        <f>IF(Leerlinggegevens!$K$64=0,0,+I85)</f>
        <v>0</v>
      </c>
      <c r="K85" s="142">
        <f>IF(Leerlinggegevens!$K$82=0,0,+J85)</f>
        <v>0</v>
      </c>
      <c r="L85" s="59"/>
      <c r="M85" s="25"/>
    </row>
    <row r="86" spans="2:13" ht="12.75">
      <c r="B86" s="21"/>
      <c r="C86" s="121"/>
      <c r="D86" s="57" t="s">
        <v>252</v>
      </c>
      <c r="E86" s="61"/>
      <c r="F86" s="85">
        <v>0</v>
      </c>
      <c r="G86" s="67"/>
      <c r="H86" s="142">
        <f>IF(Leerlinggegevens!K$27=0,0,F86*VLOOKUP(I14,_LGF3,2,FALSE))</f>
        <v>0</v>
      </c>
      <c r="I86" s="142">
        <f>IF(Leerlinggegevens!$K$46=0,0,+H86)</f>
        <v>0</v>
      </c>
      <c r="J86" s="142">
        <f>IF(Leerlinggegevens!$K$64=0,0,+I86)</f>
        <v>0</v>
      </c>
      <c r="K86" s="142">
        <f>IF(Leerlinggegevens!$K$82=0,0,+J86)</f>
        <v>0</v>
      </c>
      <c r="L86" s="59"/>
      <c r="M86" s="25"/>
    </row>
    <row r="87" spans="2:13" ht="12.75">
      <c r="B87" s="21"/>
      <c r="C87" s="121"/>
      <c r="D87" s="57" t="s">
        <v>253</v>
      </c>
      <c r="E87" s="61"/>
      <c r="F87" s="85">
        <v>0</v>
      </c>
      <c r="G87" s="67"/>
      <c r="H87" s="142">
        <f>IF(Leerlinggegevens!K$27=0,0,F87*VLOOKUP(I14,_LGF3,3,FALSE))</f>
        <v>0</v>
      </c>
      <c r="I87" s="142">
        <f>IF(Leerlinggegevens!$K$46=0,0,+H87)</f>
        <v>0</v>
      </c>
      <c r="J87" s="142">
        <f>IF(Leerlinggegevens!$K$64=0,0,+I87)</f>
        <v>0</v>
      </c>
      <c r="K87" s="142">
        <f>IF(Leerlinggegevens!$K$82=0,0,+J87)</f>
        <v>0</v>
      </c>
      <c r="L87" s="59"/>
      <c r="M87" s="25"/>
    </row>
    <row r="88" spans="2:13" s="107" customFormat="1" ht="12.75">
      <c r="B88" s="90"/>
      <c r="C88" s="130"/>
      <c r="D88" s="92" t="s">
        <v>37</v>
      </c>
      <c r="E88" s="92"/>
      <c r="F88" s="91"/>
      <c r="G88" s="92"/>
      <c r="H88" s="150">
        <f>SUM(H84:H87)</f>
        <v>0</v>
      </c>
      <c r="I88" s="150">
        <f>SUM(I84:I87)</f>
        <v>0</v>
      </c>
      <c r="J88" s="150">
        <f>SUM(J84:J87)</f>
        <v>0</v>
      </c>
      <c r="K88" s="150">
        <f>SUM(K84:K87)</f>
        <v>0</v>
      </c>
      <c r="L88" s="93"/>
      <c r="M88" s="94"/>
    </row>
    <row r="89" spans="2:13" ht="12.75">
      <c r="B89" s="21"/>
      <c r="C89" s="121"/>
      <c r="D89" s="57"/>
      <c r="E89" s="57"/>
      <c r="F89" s="56"/>
      <c r="G89" s="57"/>
      <c r="H89" s="120"/>
      <c r="I89" s="120"/>
      <c r="J89" s="120"/>
      <c r="K89" s="120"/>
      <c r="L89" s="59"/>
      <c r="M89" s="25"/>
    </row>
    <row r="90" spans="2:13" ht="12.75">
      <c r="B90" s="21"/>
      <c r="C90" s="121"/>
      <c r="D90" s="57"/>
      <c r="E90" s="57"/>
      <c r="F90" s="56"/>
      <c r="G90" s="57"/>
      <c r="H90" s="120"/>
      <c r="I90" s="120"/>
      <c r="J90" s="120"/>
      <c r="K90" s="120"/>
      <c r="L90" s="59"/>
      <c r="M90" s="25"/>
    </row>
    <row r="91" spans="2:13" ht="12.75">
      <c r="B91" s="21"/>
      <c r="C91" s="121"/>
      <c r="D91" s="61" t="s">
        <v>213</v>
      </c>
      <c r="E91" s="61"/>
      <c r="F91" s="56"/>
      <c r="G91" s="57"/>
      <c r="H91" s="144">
        <f>+H59+H66+H70+H72+H76+H81+H88</f>
        <v>0</v>
      </c>
      <c r="I91" s="144">
        <f>+I59+I66+I70+I72+I76+I81+I88</f>
        <v>0</v>
      </c>
      <c r="J91" s="144">
        <f>+J59+J66+J70+J72+J76+J81+J88</f>
        <v>0</v>
      </c>
      <c r="K91" s="144">
        <f>+K59+K66+K70+K72+K76+K81+K88</f>
        <v>0</v>
      </c>
      <c r="L91" s="59"/>
      <c r="M91" s="25"/>
    </row>
    <row r="92" spans="2:13" ht="12.75">
      <c r="B92" s="21"/>
      <c r="C92" s="126"/>
      <c r="D92" s="75"/>
      <c r="E92" s="75"/>
      <c r="F92" s="74"/>
      <c r="G92" s="75"/>
      <c r="H92" s="124"/>
      <c r="I92" s="124"/>
      <c r="J92" s="124"/>
      <c r="K92" s="124"/>
      <c r="L92" s="76"/>
      <c r="M92" s="25"/>
    </row>
    <row r="93" spans="2:13" ht="12.75">
      <c r="B93" s="21"/>
      <c r="C93" s="24"/>
      <c r="D93" s="22"/>
      <c r="E93" s="22"/>
      <c r="F93" s="24"/>
      <c r="G93" s="22"/>
      <c r="H93" s="111"/>
      <c r="I93" s="111"/>
      <c r="J93" s="111"/>
      <c r="K93" s="111"/>
      <c r="L93" s="22"/>
      <c r="M93" s="25"/>
    </row>
    <row r="94" spans="2:13" ht="12.75">
      <c r="B94" s="21"/>
      <c r="C94" s="24"/>
      <c r="D94" s="22"/>
      <c r="E94" s="22"/>
      <c r="F94" s="24"/>
      <c r="G94" s="22"/>
      <c r="H94" s="111"/>
      <c r="I94" s="111"/>
      <c r="J94" s="111"/>
      <c r="K94" s="111"/>
      <c r="L94" s="22"/>
      <c r="M94" s="25"/>
    </row>
    <row r="95" spans="2:13" ht="12.75">
      <c r="B95" s="96"/>
      <c r="C95" s="100"/>
      <c r="D95" s="97"/>
      <c r="E95" s="97"/>
      <c r="F95" s="100"/>
      <c r="G95" s="97"/>
      <c r="H95" s="128"/>
      <c r="I95" s="128"/>
      <c r="J95" s="128"/>
      <c r="K95" s="128"/>
      <c r="L95" s="237" t="s">
        <v>230</v>
      </c>
      <c r="M95" s="101"/>
    </row>
  </sheetData>
  <sheetProtection password="DFB1" sheet="1" objects="1" scenarios="1"/>
  <dataValidations count="2">
    <dataValidation type="list" allowBlank="1" showInputMessage="1" showErrorMessage="1" sqref="G62:G65 G33">
      <formula1>$Z$7:$Z$9</formula1>
    </dataValidation>
    <dataValidation type="list" allowBlank="1" showInputMessage="1" showErrorMessage="1" sqref="F62:F63 F65 F33">
      <formula1>"ja,nee"</formula1>
    </dataValidation>
  </dataValidations>
  <printOptions gridLines="1"/>
  <pageMargins left="0.75" right="0.75" top="1" bottom="1" header="0.5" footer="0.5"/>
  <pageSetup horizontalDpi="600" verticalDpi="600" orientation="portrait" paperSize="9" scale="59" r:id="rId2"/>
  <headerFooter alignWithMargins="0">
    <oddHeader>&amp;L&amp;"Arial,Vet"&amp;F&amp;R&amp;"Arial,Vet"&amp;A</oddHeader>
    <oddFooter>&amp;L&amp;"Arial,Vet"&amp;9goedhart / keizer&amp;C&amp;"Arial,Vet"&amp;9&amp;D&amp;R&amp;"Arial,Vet"&amp;9pagina &amp;P</oddFooter>
  </headerFooter>
  <colBreaks count="1" manualBreakCount="1">
    <brk id="19" max="65535" man="1"/>
  </colBreaks>
  <drawing r:id="rId1"/>
</worksheet>
</file>

<file path=xl/worksheets/sheet7.xml><?xml version="1.0" encoding="utf-8"?>
<worksheet xmlns="http://schemas.openxmlformats.org/spreadsheetml/2006/main" xmlns:r="http://schemas.openxmlformats.org/officeDocument/2006/relationships">
  <dimension ref="B2:O163"/>
  <sheetViews>
    <sheetView zoomScale="85" zoomScaleNormal="85" zoomScalePageLayoutView="0" workbookViewId="0" topLeftCell="A1">
      <selection activeCell="B2" sqref="B2"/>
    </sheetView>
  </sheetViews>
  <sheetFormatPr defaultColWidth="9.140625" defaultRowHeight="12.75"/>
  <cols>
    <col min="1" max="1" width="3.7109375" style="102" customWidth="1"/>
    <col min="2" max="2" width="2.7109375" style="102" customWidth="1"/>
    <col min="3" max="3" width="2.57421875" style="104" customWidth="1"/>
    <col min="4" max="4" width="45.7109375" style="102" customWidth="1"/>
    <col min="5" max="5" width="2.7109375" style="102" customWidth="1"/>
    <col min="6" max="6" width="10.8515625" style="104" customWidth="1"/>
    <col min="7" max="7" width="2.7109375" style="102" customWidth="1"/>
    <col min="8" max="8" width="8.7109375" style="102" customWidth="1"/>
    <col min="9" max="9" width="2.7109375" style="102" customWidth="1"/>
    <col min="10" max="13" width="14.7109375" style="104" customWidth="1"/>
    <col min="14" max="15" width="2.7109375" style="102" customWidth="1"/>
    <col min="16" max="16384" width="9.140625" style="102" customWidth="1"/>
  </cols>
  <sheetData>
    <row r="1" ht="12.75"/>
    <row r="2" spans="2:15" ht="12.75" customHeight="1">
      <c r="B2" s="16"/>
      <c r="C2" s="19"/>
      <c r="D2" s="17"/>
      <c r="E2" s="17"/>
      <c r="F2" s="19"/>
      <c r="G2" s="17"/>
      <c r="H2" s="17"/>
      <c r="I2" s="17"/>
      <c r="J2" s="157"/>
      <c r="K2" s="157"/>
      <c r="L2" s="157"/>
      <c r="M2" s="157"/>
      <c r="N2" s="17"/>
      <c r="O2" s="20"/>
    </row>
    <row r="3" spans="2:15" ht="12.75" customHeight="1">
      <c r="B3" s="21"/>
      <c r="C3" s="24"/>
      <c r="D3" s="22"/>
      <c r="E3" s="22"/>
      <c r="F3" s="24"/>
      <c r="G3" s="22"/>
      <c r="H3" s="22"/>
      <c r="I3" s="22"/>
      <c r="J3" s="158"/>
      <c r="K3" s="158"/>
      <c r="L3" s="158"/>
      <c r="M3" s="158"/>
      <c r="N3" s="22"/>
      <c r="O3" s="25"/>
    </row>
    <row r="4" spans="2:15" s="106" customFormat="1" ht="18.75">
      <c r="B4" s="26"/>
      <c r="C4" s="112" t="s">
        <v>214</v>
      </c>
      <c r="D4" s="30"/>
      <c r="E4" s="27"/>
      <c r="F4" s="159"/>
      <c r="G4" s="27"/>
      <c r="H4" s="30"/>
      <c r="I4" s="27"/>
      <c r="J4" s="29"/>
      <c r="K4" s="29"/>
      <c r="L4" s="29"/>
      <c r="M4" s="29"/>
      <c r="N4" s="30"/>
      <c r="O4" s="31"/>
    </row>
    <row r="5" spans="2:15" s="106" customFormat="1" ht="18.75">
      <c r="B5" s="26"/>
      <c r="C5" s="160" t="str">
        <f>Leerlinggegevens!I9</f>
        <v>De Specialeschool</v>
      </c>
      <c r="D5" s="30"/>
      <c r="E5" s="27"/>
      <c r="F5" s="159"/>
      <c r="G5" s="27"/>
      <c r="H5" s="30"/>
      <c r="I5" s="27"/>
      <c r="J5" s="29"/>
      <c r="K5" s="29"/>
      <c r="L5" s="29"/>
      <c r="M5" s="29"/>
      <c r="N5" s="30"/>
      <c r="O5" s="31"/>
    </row>
    <row r="6" spans="2:15" ht="12.75">
      <c r="B6" s="21"/>
      <c r="C6" s="24"/>
      <c r="D6" s="38"/>
      <c r="E6" s="38"/>
      <c r="F6" s="39"/>
      <c r="G6" s="38"/>
      <c r="H6" s="37"/>
      <c r="I6" s="38"/>
      <c r="J6" s="24"/>
      <c r="K6" s="24"/>
      <c r="L6" s="24"/>
      <c r="M6" s="24"/>
      <c r="N6" s="22"/>
      <c r="O6" s="25"/>
    </row>
    <row r="7" spans="2:15" ht="12.75">
      <c r="B7" s="21"/>
      <c r="C7" s="24"/>
      <c r="D7" s="38"/>
      <c r="E7" s="38"/>
      <c r="F7" s="39"/>
      <c r="G7" s="38"/>
      <c r="H7" s="37"/>
      <c r="I7" s="38"/>
      <c r="J7" s="24"/>
      <c r="K7" s="24"/>
      <c r="L7" s="24"/>
      <c r="M7" s="24"/>
      <c r="N7" s="22"/>
      <c r="O7" s="25"/>
    </row>
    <row r="8" spans="2:15" ht="12.75">
      <c r="B8" s="21"/>
      <c r="C8" s="24"/>
      <c r="D8" s="38"/>
      <c r="E8" s="38"/>
      <c r="F8" s="39"/>
      <c r="G8" s="38"/>
      <c r="H8" s="137" t="s">
        <v>200</v>
      </c>
      <c r="I8" s="136"/>
      <c r="J8" s="84">
        <f>VLOOKUP(tabellen!$B$2,schooljaren,1,FALSE)</f>
        <v>2011</v>
      </c>
      <c r="K8" s="84">
        <f>VLOOKUP(tabellen!$B$2+1,schooljaren,1,FALSE)</f>
        <v>2012</v>
      </c>
      <c r="L8" s="84">
        <f>VLOOKUP(tabellen!$B$2+2,schooljaren,1,FALSE)</f>
        <v>2013</v>
      </c>
      <c r="M8" s="84">
        <f>VLOOKUP(tabellen!$B$2+3,schooljaren,1,FALSE)</f>
        <v>2014</v>
      </c>
      <c r="N8" s="22"/>
      <c r="O8" s="25"/>
    </row>
    <row r="9" spans="2:15" ht="12.75">
      <c r="B9" s="21"/>
      <c r="C9" s="24"/>
      <c r="D9" s="38"/>
      <c r="E9" s="38"/>
      <c r="F9" s="39"/>
      <c r="G9" s="38"/>
      <c r="H9" s="139" t="s">
        <v>201</v>
      </c>
      <c r="I9" s="136"/>
      <c r="J9" s="161">
        <f>Leerlinggegevens!AD37</f>
        <v>40452</v>
      </c>
      <c r="K9" s="161">
        <f>+Leerlinggegevens!AD55</f>
        <v>40817</v>
      </c>
      <c r="L9" s="161">
        <f>+Leerlinggegevens!AD73</f>
        <v>41183</v>
      </c>
      <c r="M9" s="161">
        <f>+Leerlinggegevens!AD91</f>
        <v>41548</v>
      </c>
      <c r="N9" s="22"/>
      <c r="O9" s="25"/>
    </row>
    <row r="10" spans="2:15" ht="12.75">
      <c r="B10" s="21"/>
      <c r="C10" s="24"/>
      <c r="D10" s="38"/>
      <c r="E10" s="38"/>
      <c r="F10" s="39"/>
      <c r="G10" s="38"/>
      <c r="H10" s="37"/>
      <c r="I10" s="38"/>
      <c r="J10" s="24"/>
      <c r="K10" s="24"/>
      <c r="L10" s="24"/>
      <c r="M10" s="24"/>
      <c r="N10" s="22"/>
      <c r="O10" s="25"/>
    </row>
    <row r="11" spans="2:15" ht="12.75">
      <c r="B11" s="21"/>
      <c r="C11" s="125"/>
      <c r="D11" s="129"/>
      <c r="E11" s="129"/>
      <c r="F11" s="88"/>
      <c r="G11" s="129"/>
      <c r="H11" s="162"/>
      <c r="I11" s="129"/>
      <c r="J11" s="51"/>
      <c r="K11" s="51"/>
      <c r="L11" s="51"/>
      <c r="M11" s="51"/>
      <c r="N11" s="53"/>
      <c r="O11" s="25"/>
    </row>
    <row r="12" spans="2:15" ht="12.75">
      <c r="B12" s="21"/>
      <c r="C12" s="121"/>
      <c r="D12" s="147" t="s">
        <v>215</v>
      </c>
      <c r="E12" s="61"/>
      <c r="F12" s="62"/>
      <c r="G12" s="61"/>
      <c r="H12" s="58"/>
      <c r="I12" s="61"/>
      <c r="J12" s="56"/>
      <c r="K12" s="56"/>
      <c r="L12" s="56"/>
      <c r="M12" s="56"/>
      <c r="N12" s="59"/>
      <c r="O12" s="25"/>
    </row>
    <row r="13" spans="2:15" ht="12.75">
      <c r="B13" s="21"/>
      <c r="C13" s="121"/>
      <c r="D13" s="61"/>
      <c r="E13" s="61"/>
      <c r="F13" s="62"/>
      <c r="G13" s="61"/>
      <c r="H13" s="58"/>
      <c r="I13" s="61"/>
      <c r="J13" s="56"/>
      <c r="K13" s="56"/>
      <c r="L13" s="56"/>
      <c r="M13" s="56"/>
      <c r="N13" s="59"/>
      <c r="O13" s="25"/>
    </row>
    <row r="14" spans="2:15" ht="12.75">
      <c r="B14" s="21"/>
      <c r="C14" s="118" t="s">
        <v>121</v>
      </c>
      <c r="D14" s="61" t="s">
        <v>41</v>
      </c>
      <c r="E14" s="61"/>
      <c r="F14" s="62"/>
      <c r="G14" s="61"/>
      <c r="H14" s="91" t="s">
        <v>156</v>
      </c>
      <c r="I14" s="61"/>
      <c r="J14" s="56"/>
      <c r="K14" s="56"/>
      <c r="L14" s="56"/>
      <c r="M14" s="56"/>
      <c r="N14" s="59"/>
      <c r="O14" s="25"/>
    </row>
    <row r="15" spans="2:15" ht="12.75">
      <c r="B15" s="21"/>
      <c r="C15" s="118"/>
      <c r="D15" s="92" t="s">
        <v>77</v>
      </c>
      <c r="E15" s="61"/>
      <c r="F15" s="62"/>
      <c r="G15" s="61"/>
      <c r="H15" s="57"/>
      <c r="I15" s="61"/>
      <c r="J15" s="62"/>
      <c r="K15" s="62"/>
      <c r="L15" s="62"/>
      <c r="M15" s="62"/>
      <c r="N15" s="59"/>
      <c r="O15" s="25"/>
    </row>
    <row r="16" spans="2:15" ht="12.75">
      <c r="B16" s="21"/>
      <c r="C16" s="121"/>
      <c r="D16" s="57" t="s">
        <v>82</v>
      </c>
      <c r="E16" s="57"/>
      <c r="F16" s="56"/>
      <c r="G16" s="57"/>
      <c r="H16" s="163">
        <v>0</v>
      </c>
      <c r="I16" s="57"/>
      <c r="J16" s="142">
        <f>+Hoofdafdeling!H18+'component 1'!H18+'component 2'!H18+'component 3'!H18</f>
        <v>20551.356200000002</v>
      </c>
      <c r="K16" s="142">
        <f>+Hoofdafdeling!I18+'component 1'!I18+'component 2'!I18+'component 3'!I18</f>
        <v>20551.356200000002</v>
      </c>
      <c r="L16" s="142">
        <f>+Hoofdafdeling!J18+'component 1'!J18+'component 2'!J18+'component 3'!J18</f>
        <v>20551.356200000002</v>
      </c>
      <c r="M16" s="142">
        <f>+Hoofdafdeling!K18+'component 1'!K18+'component 2'!K18+'component 3'!K18</f>
        <v>20551.356200000002</v>
      </c>
      <c r="N16" s="59"/>
      <c r="O16" s="25"/>
    </row>
    <row r="17" spans="2:15" ht="12.75">
      <c r="B17" s="21"/>
      <c r="C17" s="121"/>
      <c r="D17" s="57" t="s">
        <v>83</v>
      </c>
      <c r="E17" s="57"/>
      <c r="F17" s="56"/>
      <c r="G17" s="57"/>
      <c r="H17" s="163">
        <v>0</v>
      </c>
      <c r="I17" s="57"/>
      <c r="J17" s="142">
        <f>+Hoofdafdeling!H19+'component 1'!H19+'component 2'!H19+'component 3'!H19</f>
        <v>0</v>
      </c>
      <c r="K17" s="142">
        <f>+Hoofdafdeling!I19+'component 1'!I19+'component 2'!I19+'component 3'!I19</f>
        <v>0</v>
      </c>
      <c r="L17" s="142">
        <f>+Hoofdafdeling!J19+'component 1'!J19+'component 2'!J19+'component 3'!J19</f>
        <v>0</v>
      </c>
      <c r="M17" s="142">
        <f>+Hoofdafdeling!K19+'component 1'!K19+'component 2'!K19+'component 3'!K19</f>
        <v>0</v>
      </c>
      <c r="N17" s="59"/>
      <c r="O17" s="25"/>
    </row>
    <row r="18" spans="2:15" ht="12.75">
      <c r="B18" s="21"/>
      <c r="C18" s="121"/>
      <c r="D18" s="57" t="s">
        <v>84</v>
      </c>
      <c r="E18" s="57"/>
      <c r="F18" s="56"/>
      <c r="G18" s="57"/>
      <c r="H18" s="163">
        <v>0</v>
      </c>
      <c r="I18" s="57"/>
      <c r="J18" s="142">
        <f>+Hoofdafdeling!H20+'component 1'!H20+'component 2'!H20+'component 3'!H20</f>
        <v>31034.189199999997</v>
      </c>
      <c r="K18" s="142">
        <f>+Hoofdafdeling!I20+'component 1'!I20+'component 2'!I20+'component 3'!I20</f>
        <v>31034.189199999997</v>
      </c>
      <c r="L18" s="142">
        <f>+Hoofdafdeling!J20+'component 1'!J20+'component 2'!J20+'component 3'!J20</f>
        <v>31034.189199999997</v>
      </c>
      <c r="M18" s="142">
        <f>+Hoofdafdeling!K20+'component 1'!K20+'component 2'!K20+'component 3'!K20</f>
        <v>31034.189199999997</v>
      </c>
      <c r="N18" s="59"/>
      <c r="O18" s="25"/>
    </row>
    <row r="19" spans="2:15" ht="12.75">
      <c r="B19" s="21"/>
      <c r="C19" s="121"/>
      <c r="D19" s="92" t="s">
        <v>37</v>
      </c>
      <c r="E19" s="92"/>
      <c r="F19" s="91"/>
      <c r="G19" s="92"/>
      <c r="H19" s="92"/>
      <c r="I19" s="92"/>
      <c r="J19" s="143">
        <f>SUM(J16:J18)</f>
        <v>51585.5454</v>
      </c>
      <c r="K19" s="143">
        <f>SUM(K16:K18)</f>
        <v>51585.5454</v>
      </c>
      <c r="L19" s="143">
        <f>SUM(L16:L18)</f>
        <v>51585.5454</v>
      </c>
      <c r="M19" s="143">
        <f>SUM(M16:M18)</f>
        <v>51585.5454</v>
      </c>
      <c r="N19" s="59"/>
      <c r="O19" s="25"/>
    </row>
    <row r="20" spans="2:15" ht="12.75">
      <c r="B20" s="21"/>
      <c r="C20" s="121"/>
      <c r="D20" s="57"/>
      <c r="E20" s="57"/>
      <c r="F20" s="56"/>
      <c r="G20" s="57"/>
      <c r="H20" s="57"/>
      <c r="I20" s="57"/>
      <c r="J20" s="119"/>
      <c r="K20" s="119"/>
      <c r="L20" s="119"/>
      <c r="M20" s="119"/>
      <c r="N20" s="59"/>
      <c r="O20" s="25"/>
    </row>
    <row r="21" spans="2:15" ht="12.75">
      <c r="B21" s="21"/>
      <c r="C21" s="121"/>
      <c r="D21" s="92" t="s">
        <v>78</v>
      </c>
      <c r="E21" s="57"/>
      <c r="F21" s="56"/>
      <c r="G21" s="57"/>
      <c r="H21" s="57"/>
      <c r="I21" s="57"/>
      <c r="J21" s="119"/>
      <c r="K21" s="119"/>
      <c r="L21" s="119"/>
      <c r="M21" s="119"/>
      <c r="N21" s="59"/>
      <c r="O21" s="25"/>
    </row>
    <row r="22" spans="2:15" ht="12.75">
      <c r="B22" s="21"/>
      <c r="C22" s="121"/>
      <c r="D22" s="57" t="s">
        <v>79</v>
      </c>
      <c r="E22" s="57"/>
      <c r="F22" s="56"/>
      <c r="G22" s="57"/>
      <c r="H22" s="163">
        <v>0</v>
      </c>
      <c r="I22" s="57"/>
      <c r="J22" s="142">
        <f>+Hoofdafdeling!H24+'component 1'!H24+'component 2'!H24+'component 3'!H24</f>
        <v>4152.4786</v>
      </c>
      <c r="K22" s="142">
        <f>+Hoofdafdeling!I24+'component 1'!I24+'component 2'!I24+'component 3'!I24</f>
        <v>4152.4786</v>
      </c>
      <c r="L22" s="142">
        <f>+Hoofdafdeling!J24+'component 1'!J24+'component 2'!J24+'component 3'!J24</f>
        <v>4152.4786</v>
      </c>
      <c r="M22" s="142">
        <f>+Hoofdafdeling!K24+'component 1'!K24+'component 2'!K24+'component 3'!K24</f>
        <v>4152.4786</v>
      </c>
      <c r="N22" s="59"/>
      <c r="O22" s="25"/>
    </row>
    <row r="23" spans="2:15" ht="12.75">
      <c r="B23" s="21"/>
      <c r="C23" s="121"/>
      <c r="D23" s="57" t="s">
        <v>33</v>
      </c>
      <c r="E23" s="57"/>
      <c r="F23" s="56"/>
      <c r="G23" s="57"/>
      <c r="H23" s="163">
        <v>0</v>
      </c>
      <c r="I23" s="57"/>
      <c r="J23" s="142">
        <f>+Hoofdafdeling!H25+'component 1'!H25+'component 2'!H25+'component 3'!H25</f>
        <v>10354.277180000001</v>
      </c>
      <c r="K23" s="142">
        <f>+Hoofdafdeling!I25+'component 1'!I25+'component 2'!I25+'component 3'!I25</f>
        <v>10354.277180000001</v>
      </c>
      <c r="L23" s="142">
        <f>+Hoofdafdeling!J25+'component 1'!J25+'component 2'!J25+'component 3'!J25</f>
        <v>10354.277180000001</v>
      </c>
      <c r="M23" s="142">
        <f>+Hoofdafdeling!K25+'component 1'!K25+'component 2'!K25+'component 3'!K25</f>
        <v>10354.277180000001</v>
      </c>
      <c r="N23" s="59"/>
      <c r="O23" s="25"/>
    </row>
    <row r="24" spans="2:15" ht="12.75">
      <c r="B24" s="21"/>
      <c r="C24" s="121"/>
      <c r="D24" s="57" t="s">
        <v>85</v>
      </c>
      <c r="E24" s="57"/>
      <c r="F24" s="56"/>
      <c r="G24" s="57"/>
      <c r="H24" s="163">
        <v>0</v>
      </c>
      <c r="I24" s="57"/>
      <c r="J24" s="142">
        <f>+Hoofdafdeling!H26+'component 1'!H26+'component 2'!H26+'component 3'!H26</f>
        <v>1869.0389300000002</v>
      </c>
      <c r="K24" s="142">
        <f>+Hoofdafdeling!I26+'component 1'!I26+'component 2'!I26+'component 3'!I26</f>
        <v>1869.0389300000002</v>
      </c>
      <c r="L24" s="142">
        <f>+Hoofdafdeling!J26+'component 1'!J26+'component 2'!J26+'component 3'!J26</f>
        <v>1869.0389300000002</v>
      </c>
      <c r="M24" s="142">
        <f>+Hoofdafdeling!K26+'component 1'!K26+'component 2'!K26+'component 3'!K26</f>
        <v>1869.0389300000002</v>
      </c>
      <c r="N24" s="59"/>
      <c r="O24" s="25"/>
    </row>
    <row r="25" spans="2:15" ht="12.75">
      <c r="B25" s="21"/>
      <c r="C25" s="121"/>
      <c r="D25" s="92" t="s">
        <v>37</v>
      </c>
      <c r="E25" s="92"/>
      <c r="F25" s="91"/>
      <c r="G25" s="92"/>
      <c r="H25" s="92"/>
      <c r="I25" s="92"/>
      <c r="J25" s="143">
        <f>SUM(J22:J24)</f>
        <v>16375.794710000002</v>
      </c>
      <c r="K25" s="143">
        <f>SUM(K22:K24)</f>
        <v>16375.794710000002</v>
      </c>
      <c r="L25" s="143">
        <f>SUM(L22:L24)</f>
        <v>16375.794710000002</v>
      </c>
      <c r="M25" s="143">
        <f>SUM(M22:M24)</f>
        <v>16375.794710000002</v>
      </c>
      <c r="N25" s="59"/>
      <c r="O25" s="25"/>
    </row>
    <row r="26" spans="2:15" ht="12.75">
      <c r="B26" s="21"/>
      <c r="C26" s="121"/>
      <c r="D26" s="61"/>
      <c r="E26" s="57"/>
      <c r="F26" s="56"/>
      <c r="G26" s="57"/>
      <c r="H26" s="57"/>
      <c r="I26" s="57"/>
      <c r="J26" s="119"/>
      <c r="K26" s="119"/>
      <c r="L26" s="119"/>
      <c r="M26" s="119"/>
      <c r="N26" s="59"/>
      <c r="O26" s="25"/>
    </row>
    <row r="27" spans="2:15" ht="12.75">
      <c r="B27" s="21"/>
      <c r="C27" s="121"/>
      <c r="D27" s="57" t="s">
        <v>86</v>
      </c>
      <c r="E27" s="57"/>
      <c r="F27" s="56"/>
      <c r="G27" s="57"/>
      <c r="H27" s="163">
        <v>0</v>
      </c>
      <c r="I27" s="57"/>
      <c r="J27" s="142">
        <f>+Hoofdafdeling!H29+'component 1'!H29+'component 2'!H29+'component 3'!H29</f>
        <v>4137.8292</v>
      </c>
      <c r="K27" s="142">
        <f>+Hoofdafdeling!I29+'component 1'!I29+'component 2'!I29+'component 3'!I29</f>
        <v>4137.8292</v>
      </c>
      <c r="L27" s="142">
        <f>+Hoofdafdeling!J29+'component 1'!J29+'component 2'!J29+'component 3'!J29</f>
        <v>4137.8292</v>
      </c>
      <c r="M27" s="142">
        <f>+Hoofdafdeling!K29+'component 1'!K29+'component 2'!K29+'component 3'!K29</f>
        <v>4137.8292</v>
      </c>
      <c r="N27" s="59"/>
      <c r="O27" s="25"/>
    </row>
    <row r="28" spans="2:15" ht="12.75" customHeight="1">
      <c r="B28" s="21"/>
      <c r="C28" s="121"/>
      <c r="D28" s="61"/>
      <c r="E28" s="61"/>
      <c r="F28" s="62"/>
      <c r="G28" s="61"/>
      <c r="H28" s="57"/>
      <c r="I28" s="61"/>
      <c r="J28" s="152">
        <f>+J19+J25+J27</f>
        <v>72099.16931</v>
      </c>
      <c r="K28" s="152">
        <f>+K19+K25+K27</f>
        <v>72099.16931</v>
      </c>
      <c r="L28" s="152">
        <f>+L19+L25+L27</f>
        <v>72099.16931</v>
      </c>
      <c r="M28" s="152">
        <f>+M19+M25+M27</f>
        <v>72099.16931</v>
      </c>
      <c r="N28" s="59"/>
      <c r="O28" s="25"/>
    </row>
    <row r="29" spans="2:15" ht="12.75" customHeight="1">
      <c r="B29" s="21"/>
      <c r="C29" s="121"/>
      <c r="D29" s="61" t="s">
        <v>87</v>
      </c>
      <c r="E29" s="61"/>
      <c r="F29" s="62"/>
      <c r="G29" s="61"/>
      <c r="H29" s="57"/>
      <c r="I29" s="61"/>
      <c r="J29" s="144">
        <f>+Hoofdafdeling!H31+'component 1'!H31+'component 2'!H31+'component 3'!H31</f>
        <v>72091.15</v>
      </c>
      <c r="K29" s="144">
        <f>+Hoofdafdeling!I31+'component 1'!I31+'component 2'!I31+'component 3'!I31</f>
        <v>72091.15</v>
      </c>
      <c r="L29" s="144">
        <f>+Hoofdafdeling!J31+'component 1'!J31+'component 2'!J31+'component 3'!J31</f>
        <v>72091.15</v>
      </c>
      <c r="M29" s="144">
        <f>+Hoofdafdeling!K31+'component 1'!K31+'component 2'!K31+'component 3'!K31</f>
        <v>72091.15</v>
      </c>
      <c r="N29" s="59"/>
      <c r="O29" s="25"/>
    </row>
    <row r="30" spans="2:15" ht="12.75" customHeight="1">
      <c r="B30" s="21"/>
      <c r="C30" s="121"/>
      <c r="D30" s="61"/>
      <c r="E30" s="61"/>
      <c r="F30" s="62"/>
      <c r="G30" s="61"/>
      <c r="H30" s="57"/>
      <c r="I30" s="61"/>
      <c r="J30" s="120"/>
      <c r="K30" s="120"/>
      <c r="L30" s="120"/>
      <c r="M30" s="120"/>
      <c r="N30" s="59"/>
      <c r="O30" s="25"/>
    </row>
    <row r="31" spans="2:15" ht="12.75" customHeight="1">
      <c r="B31" s="21"/>
      <c r="C31" s="121"/>
      <c r="D31" s="61" t="s">
        <v>112</v>
      </c>
      <c r="E31" s="61"/>
      <c r="F31" s="62"/>
      <c r="G31" s="61"/>
      <c r="H31" s="57"/>
      <c r="I31" s="61"/>
      <c r="J31" s="142">
        <f>+Hoofdafdeling!H33+'component 1'!H33+'component 2'!H33+'component 3'!H33</f>
        <v>0</v>
      </c>
      <c r="K31" s="142">
        <f>+Hoofdafdeling!I33+'component 1'!I33+'component 2'!I33+'component 3'!I33</f>
        <v>0</v>
      </c>
      <c r="L31" s="142">
        <f>+Hoofdafdeling!J33+'component 1'!J33+'component 2'!J33+'component 3'!J33</f>
        <v>0</v>
      </c>
      <c r="M31" s="142">
        <f>+Hoofdafdeling!K33+'component 1'!K33+'component 2'!K33+'component 3'!K33</f>
        <v>0</v>
      </c>
      <c r="N31" s="59"/>
      <c r="O31" s="25"/>
    </row>
    <row r="32" spans="2:15" ht="12.75" customHeight="1">
      <c r="B32" s="21"/>
      <c r="C32" s="121"/>
      <c r="D32" s="57"/>
      <c r="E32" s="57"/>
      <c r="F32" s="56"/>
      <c r="G32" s="57"/>
      <c r="H32" s="57"/>
      <c r="I32" s="57"/>
      <c r="J32" s="120"/>
      <c r="K32" s="120"/>
      <c r="L32" s="120"/>
      <c r="M32" s="120"/>
      <c r="N32" s="59"/>
      <c r="O32" s="25"/>
    </row>
    <row r="33" spans="2:15" ht="12.75" customHeight="1">
      <c r="B33" s="21"/>
      <c r="C33" s="118" t="s">
        <v>122</v>
      </c>
      <c r="D33" s="61" t="s">
        <v>42</v>
      </c>
      <c r="E33" s="61"/>
      <c r="F33" s="62"/>
      <c r="G33" s="61"/>
      <c r="H33" s="57"/>
      <c r="I33" s="61"/>
      <c r="J33" s="119"/>
      <c r="K33" s="119"/>
      <c r="L33" s="119"/>
      <c r="M33" s="119"/>
      <c r="N33" s="59"/>
      <c r="O33" s="25"/>
    </row>
    <row r="34" spans="2:15" ht="12.75" customHeight="1">
      <c r="B34" s="21"/>
      <c r="C34" s="118"/>
      <c r="D34" s="92" t="s">
        <v>80</v>
      </c>
      <c r="E34" s="61"/>
      <c r="F34" s="62"/>
      <c r="G34" s="61"/>
      <c r="H34" s="57"/>
      <c r="I34" s="61"/>
      <c r="J34" s="119"/>
      <c r="K34" s="119"/>
      <c r="L34" s="119"/>
      <c r="M34" s="119"/>
      <c r="N34" s="59"/>
      <c r="O34" s="25"/>
    </row>
    <row r="35" spans="2:15" ht="12.75">
      <c r="B35" s="21"/>
      <c r="C35" s="121"/>
      <c r="D35" s="57" t="s">
        <v>34</v>
      </c>
      <c r="E35" s="61"/>
      <c r="F35" s="62"/>
      <c r="G35" s="61"/>
      <c r="H35" s="163">
        <v>0</v>
      </c>
      <c r="I35" s="61"/>
      <c r="J35" s="142">
        <f>+Hoofdafdeling!H37+'component 1'!H37+'component 2'!H37+'component 3'!H37</f>
        <v>237.51999999999998</v>
      </c>
      <c r="K35" s="142">
        <f>+Hoofdafdeling!I37+'component 1'!I37+'component 2'!I37+'component 3'!I37</f>
        <v>237.51999999999998</v>
      </c>
      <c r="L35" s="142">
        <f>+Hoofdafdeling!J37+'component 1'!J37+'component 2'!J37+'component 3'!J37</f>
        <v>237.51999999999998</v>
      </c>
      <c r="M35" s="142">
        <f>+Hoofdafdeling!K37+'component 1'!K37+'component 2'!K37+'component 3'!K37</f>
        <v>237.51999999999998</v>
      </c>
      <c r="N35" s="59"/>
      <c r="O35" s="25"/>
    </row>
    <row r="36" spans="2:15" ht="12.75">
      <c r="B36" s="21"/>
      <c r="C36" s="121"/>
      <c r="D36" s="57" t="s">
        <v>88</v>
      </c>
      <c r="E36" s="57"/>
      <c r="F36" s="56"/>
      <c r="G36" s="57"/>
      <c r="H36" s="163">
        <v>0</v>
      </c>
      <c r="I36" s="57"/>
      <c r="J36" s="142">
        <f>+Hoofdafdeling!H38+'component 1'!H38+'component 2'!H38+'component 3'!H38</f>
        <v>153.92</v>
      </c>
      <c r="K36" s="142">
        <f>+Hoofdafdeling!I38+'component 1'!I38+'component 2'!I38+'component 3'!I38</f>
        <v>153.92</v>
      </c>
      <c r="L36" s="142">
        <f>+Hoofdafdeling!J38+'component 1'!J38+'component 2'!J38+'component 3'!J38</f>
        <v>153.92</v>
      </c>
      <c r="M36" s="142">
        <f>+Hoofdafdeling!K38+'component 1'!K38+'component 2'!K38+'component 3'!K38</f>
        <v>153.92</v>
      </c>
      <c r="N36" s="59"/>
      <c r="O36" s="25"/>
    </row>
    <row r="37" spans="2:15" ht="12.75">
      <c r="B37" s="21"/>
      <c r="C37" s="121"/>
      <c r="D37" s="57" t="s">
        <v>35</v>
      </c>
      <c r="E37" s="57"/>
      <c r="F37" s="56"/>
      <c r="G37" s="57"/>
      <c r="H37" s="163">
        <v>0</v>
      </c>
      <c r="I37" s="57"/>
      <c r="J37" s="142">
        <f>+Hoofdafdeling!H39+'component 1'!H39+'component 2'!H39+'component 3'!H39</f>
        <v>71.05</v>
      </c>
      <c r="K37" s="142">
        <f>+Hoofdafdeling!I39+'component 1'!I39+'component 2'!I39+'component 3'!I39</f>
        <v>71.05</v>
      </c>
      <c r="L37" s="142">
        <f>+Hoofdafdeling!J39+'component 1'!J39+'component 2'!J39+'component 3'!J39</f>
        <v>71.05</v>
      </c>
      <c r="M37" s="142">
        <f>+Hoofdafdeling!K39+'component 1'!K39+'component 2'!K39+'component 3'!K39</f>
        <v>71.05</v>
      </c>
      <c r="N37" s="59"/>
      <c r="O37" s="25"/>
    </row>
    <row r="38" spans="2:15" ht="12.75">
      <c r="B38" s="21"/>
      <c r="C38" s="121"/>
      <c r="D38" s="57" t="s">
        <v>36</v>
      </c>
      <c r="E38" s="57"/>
      <c r="F38" s="56"/>
      <c r="G38" s="57"/>
      <c r="H38" s="163">
        <v>0</v>
      </c>
      <c r="I38" s="57"/>
      <c r="J38" s="142">
        <f>+Hoofdafdeling!H40+'component 1'!H40+'component 2'!H40+'component 3'!H40</f>
        <v>617.7299999999999</v>
      </c>
      <c r="K38" s="142">
        <f>+Hoofdafdeling!I40+'component 1'!I40+'component 2'!I40+'component 3'!I40</f>
        <v>617.7299999999999</v>
      </c>
      <c r="L38" s="142">
        <f>+Hoofdafdeling!J40+'component 1'!J40+'component 2'!J40+'component 3'!J40</f>
        <v>617.7299999999999</v>
      </c>
      <c r="M38" s="142">
        <f>+Hoofdafdeling!K40+'component 1'!K40+'component 2'!K40+'component 3'!K40</f>
        <v>617.7299999999999</v>
      </c>
      <c r="N38" s="59"/>
      <c r="O38" s="25"/>
    </row>
    <row r="39" spans="2:15" ht="12.75">
      <c r="B39" s="21"/>
      <c r="C39" s="121"/>
      <c r="D39" s="57" t="s">
        <v>114</v>
      </c>
      <c r="E39" s="57"/>
      <c r="F39" s="56"/>
      <c r="G39" s="57"/>
      <c r="H39" s="163">
        <v>0</v>
      </c>
      <c r="I39" s="57"/>
      <c r="J39" s="142">
        <f>+Hoofdafdeling!H41+'component 1'!H41+'component 2'!H41+'component 3'!H41</f>
        <v>6693.75</v>
      </c>
      <c r="K39" s="142">
        <f>+Hoofdafdeling!I41+'component 1'!I41+'component 2'!I41+'component 3'!I41</f>
        <v>6693.75</v>
      </c>
      <c r="L39" s="142">
        <f>+Hoofdafdeling!J41+'component 1'!J41+'component 2'!J41+'component 3'!J41</f>
        <v>6693.75</v>
      </c>
      <c r="M39" s="142">
        <f>+Hoofdafdeling!K41+'component 1'!K41+'component 2'!K41+'component 3'!K41</f>
        <v>6693.75</v>
      </c>
      <c r="N39" s="59"/>
      <c r="O39" s="25"/>
    </row>
    <row r="40" spans="2:15" ht="12.75">
      <c r="B40" s="21"/>
      <c r="C40" s="121"/>
      <c r="D40" s="131" t="s">
        <v>115</v>
      </c>
      <c r="E40" s="57"/>
      <c r="F40" s="56"/>
      <c r="G40" s="57"/>
      <c r="H40" s="57"/>
      <c r="I40" s="57"/>
      <c r="J40" s="143">
        <f>+Hoofdafdeling!H42+'component 1'!H42+'component 2'!H42+'component 3'!H42</f>
        <v>1929.51</v>
      </c>
      <c r="K40" s="143">
        <f>+Hoofdafdeling!I42+'component 1'!I42+'component 2'!I42+'component 3'!I42</f>
        <v>1929.51</v>
      </c>
      <c r="L40" s="143">
        <f>+Hoofdafdeling!J42+'component 1'!J42+'component 2'!J42+'component 3'!J42</f>
        <v>1929.51</v>
      </c>
      <c r="M40" s="143">
        <f>+Hoofdafdeling!K42+'component 1'!K42+'component 2'!K42+'component 3'!K42</f>
        <v>1929.51</v>
      </c>
      <c r="N40" s="59"/>
      <c r="O40" s="25"/>
    </row>
    <row r="41" spans="2:15" ht="12.75">
      <c r="B41" s="21"/>
      <c r="C41" s="121"/>
      <c r="D41" s="57" t="s">
        <v>81</v>
      </c>
      <c r="E41" s="57"/>
      <c r="F41" s="56"/>
      <c r="G41" s="57"/>
      <c r="H41" s="163">
        <v>0</v>
      </c>
      <c r="I41" s="57"/>
      <c r="J41" s="142">
        <f>+Hoofdafdeling!H43+'component 1'!H43+'component 2'!H43+'component 3'!H43</f>
        <v>2327.3</v>
      </c>
      <c r="K41" s="142">
        <f>+Hoofdafdeling!I43+'component 1'!I43+'component 2'!I43+'component 3'!I43</f>
        <v>2327.3</v>
      </c>
      <c r="L41" s="142">
        <f>+Hoofdafdeling!J43+'component 1'!J43+'component 2'!J43+'component 3'!J43</f>
        <v>2327.3</v>
      </c>
      <c r="M41" s="142">
        <f>+Hoofdafdeling!K43+'component 1'!K43+'component 2'!K43+'component 3'!K43</f>
        <v>2327.3</v>
      </c>
      <c r="N41" s="59"/>
      <c r="O41" s="25"/>
    </row>
    <row r="42" spans="2:15" ht="12.75">
      <c r="B42" s="21"/>
      <c r="C42" s="121"/>
      <c r="D42" s="57" t="s">
        <v>118</v>
      </c>
      <c r="E42" s="57"/>
      <c r="F42" s="56"/>
      <c r="G42" s="57"/>
      <c r="H42" s="163">
        <v>0</v>
      </c>
      <c r="I42" s="57"/>
      <c r="J42" s="142">
        <f>+Hoofdafdeling!H44+'component 1'!H44+'component 2'!H44+'component 3'!H44</f>
        <v>6479.000000000001</v>
      </c>
      <c r="K42" s="142">
        <f>+Hoofdafdeling!I44+'component 1'!I44+'component 2'!I44+'component 3'!I44</f>
        <v>6479.000000000001</v>
      </c>
      <c r="L42" s="142">
        <f>+Hoofdafdeling!J44+'component 1'!J44+'component 2'!J44+'component 3'!J44</f>
        <v>6479.000000000001</v>
      </c>
      <c r="M42" s="142">
        <f>+Hoofdafdeling!K44+'component 1'!K44+'component 2'!K44+'component 3'!K44</f>
        <v>6479.000000000001</v>
      </c>
      <c r="N42" s="59"/>
      <c r="O42" s="25"/>
    </row>
    <row r="43" spans="2:15" ht="12.75">
      <c r="B43" s="21"/>
      <c r="C43" s="121"/>
      <c r="D43" s="57" t="s">
        <v>119</v>
      </c>
      <c r="E43" s="57"/>
      <c r="F43" s="56"/>
      <c r="G43" s="57"/>
      <c r="H43" s="163">
        <v>0</v>
      </c>
      <c r="I43" s="57"/>
      <c r="J43" s="142">
        <f>+Hoofdafdeling!H45+'component 1'!H45+'component 2'!H45+'component 3'!H45</f>
        <v>3433</v>
      </c>
      <c r="K43" s="142">
        <f>+Hoofdafdeling!I45+'component 1'!I45+'component 2'!I45+'component 3'!I45</f>
        <v>3433</v>
      </c>
      <c r="L43" s="142">
        <f>+Hoofdafdeling!J45+'component 1'!J45+'component 2'!J45+'component 3'!J45</f>
        <v>3433</v>
      </c>
      <c r="M43" s="142">
        <f>+Hoofdafdeling!K45+'component 1'!K45+'component 2'!K45+'component 3'!K45</f>
        <v>3433</v>
      </c>
      <c r="N43" s="59"/>
      <c r="O43" s="25"/>
    </row>
    <row r="44" spans="2:15" ht="12.75">
      <c r="B44" s="21"/>
      <c r="C44" s="121"/>
      <c r="D44" s="57" t="s">
        <v>116</v>
      </c>
      <c r="E44" s="57"/>
      <c r="F44" s="56"/>
      <c r="G44" s="57"/>
      <c r="H44" s="163">
        <v>0</v>
      </c>
      <c r="I44" s="57"/>
      <c r="J44" s="142">
        <f>+Hoofdafdeling!H46+'component 1'!H46+'component 2'!H46+'component 3'!H46</f>
        <v>51369.350000000006</v>
      </c>
      <c r="K44" s="142">
        <f>+Hoofdafdeling!I46+'component 1'!I46+'component 2'!I46+'component 3'!I46</f>
        <v>51369.350000000006</v>
      </c>
      <c r="L44" s="142">
        <f>+Hoofdafdeling!J46+'component 1'!J46+'component 2'!J46+'component 3'!J46</f>
        <v>51369.350000000006</v>
      </c>
      <c r="M44" s="142">
        <f>+Hoofdafdeling!K46+'component 1'!K46+'component 2'!K46+'component 3'!K46</f>
        <v>51369.350000000006</v>
      </c>
      <c r="N44" s="59"/>
      <c r="O44" s="25"/>
    </row>
    <row r="45" spans="2:15" ht="12.75">
      <c r="B45" s="21"/>
      <c r="C45" s="121"/>
      <c r="D45" s="131" t="s">
        <v>120</v>
      </c>
      <c r="E45" s="57"/>
      <c r="F45" s="56"/>
      <c r="G45" s="57"/>
      <c r="H45" s="57"/>
      <c r="I45" s="57"/>
      <c r="J45" s="143">
        <f>+Hoofdafdeling!H47+'component 1'!H47+'component 2'!H47+'component 3'!H47</f>
        <v>15252.84</v>
      </c>
      <c r="K45" s="143">
        <f>+Hoofdafdeling!I47+'component 1'!I47+'component 2'!I47+'component 3'!I47</f>
        <v>15252.84</v>
      </c>
      <c r="L45" s="143">
        <f>+Hoofdafdeling!J47+'component 1'!J47+'component 2'!J47+'component 3'!J47</f>
        <v>15252.84</v>
      </c>
      <c r="M45" s="143">
        <f>+Hoofdafdeling!K47+'component 1'!K47+'component 2'!K47+'component 3'!K47</f>
        <v>15252.84</v>
      </c>
      <c r="N45" s="59"/>
      <c r="O45" s="25"/>
    </row>
    <row r="46" spans="2:15" ht="12.75">
      <c r="B46" s="21"/>
      <c r="C46" s="121"/>
      <c r="D46" s="57" t="s">
        <v>117</v>
      </c>
      <c r="E46" s="57"/>
      <c r="F46" s="56"/>
      <c r="G46" s="57"/>
      <c r="H46" s="163">
        <v>0</v>
      </c>
      <c r="I46" s="57"/>
      <c r="J46" s="142">
        <f>+Hoofdafdeling!H48+'component 1'!H48+'component 2'!H48+'component 3'!H48</f>
        <v>5571.070000000001</v>
      </c>
      <c r="K46" s="142">
        <f>+Hoofdafdeling!I48+'component 1'!I48+'component 2'!I48+'component 3'!I48</f>
        <v>5571.070000000001</v>
      </c>
      <c r="L46" s="142">
        <f>+Hoofdafdeling!J48+'component 1'!J48+'component 2'!J48+'component 3'!J48</f>
        <v>5571.070000000001</v>
      </c>
      <c r="M46" s="142">
        <f>+Hoofdafdeling!K48+'component 1'!K48+'component 2'!K48+'component 3'!K48</f>
        <v>5571.070000000001</v>
      </c>
      <c r="N46" s="59"/>
      <c r="O46" s="25"/>
    </row>
    <row r="47" spans="2:15" ht="12.75">
      <c r="B47" s="21"/>
      <c r="C47" s="121"/>
      <c r="D47" s="92" t="s">
        <v>37</v>
      </c>
      <c r="E47" s="92"/>
      <c r="F47" s="91"/>
      <c r="G47" s="92"/>
      <c r="H47" s="92"/>
      <c r="I47" s="92"/>
      <c r="J47" s="143">
        <f>SUM(J35:J46)-J40-J45</f>
        <v>76953.69000000002</v>
      </c>
      <c r="K47" s="143">
        <f>SUM(K35:K46)-K40-K45</f>
        <v>76953.69000000002</v>
      </c>
      <c r="L47" s="143">
        <f>SUM(L35:L46)-L40-L45</f>
        <v>76953.69000000002</v>
      </c>
      <c r="M47" s="143">
        <f>SUM(M35:M46)-M40-M45</f>
        <v>76953.69000000002</v>
      </c>
      <c r="N47" s="59"/>
      <c r="O47" s="25"/>
    </row>
    <row r="48" spans="2:15" ht="12.75">
      <c r="B48" s="21"/>
      <c r="C48" s="121"/>
      <c r="D48" s="57"/>
      <c r="E48" s="57"/>
      <c r="F48" s="56"/>
      <c r="G48" s="57"/>
      <c r="H48" s="57"/>
      <c r="I48" s="57"/>
      <c r="J48" s="119"/>
      <c r="K48" s="119"/>
      <c r="L48" s="119"/>
      <c r="M48" s="119"/>
      <c r="N48" s="59"/>
      <c r="O48" s="25"/>
    </row>
    <row r="49" spans="2:15" ht="12.75">
      <c r="B49" s="21"/>
      <c r="C49" s="121"/>
      <c r="D49" s="92" t="s">
        <v>43</v>
      </c>
      <c r="E49" s="61"/>
      <c r="F49" s="62"/>
      <c r="G49" s="61"/>
      <c r="H49" s="57"/>
      <c r="I49" s="61"/>
      <c r="J49" s="120"/>
      <c r="K49" s="120"/>
      <c r="L49" s="120"/>
      <c r="M49" s="120"/>
      <c r="N49" s="59"/>
      <c r="O49" s="25"/>
    </row>
    <row r="50" spans="2:15" ht="12.75">
      <c r="B50" s="21"/>
      <c r="C50" s="121"/>
      <c r="D50" s="57" t="s">
        <v>38</v>
      </c>
      <c r="E50" s="57"/>
      <c r="F50" s="56"/>
      <c r="G50" s="57"/>
      <c r="H50" s="163">
        <v>0</v>
      </c>
      <c r="I50" s="57"/>
      <c r="J50" s="142">
        <f>+Hoofdafdeling!H52+'component 1'!H52+'component 2'!H52+'component 3'!H52</f>
        <v>8684.82</v>
      </c>
      <c r="K50" s="142">
        <f>+Hoofdafdeling!I52+'component 1'!I52+'component 2'!I52+'component 3'!I52</f>
        <v>8684.82</v>
      </c>
      <c r="L50" s="142">
        <f>+Hoofdafdeling!J52+'component 1'!J52+'component 2'!J52+'component 3'!J52</f>
        <v>8684.82</v>
      </c>
      <c r="M50" s="142">
        <f>+Hoofdafdeling!K52+'component 1'!K52+'component 2'!K52+'component 3'!K52</f>
        <v>8684.82</v>
      </c>
      <c r="N50" s="59"/>
      <c r="O50" s="25"/>
    </row>
    <row r="51" spans="2:15" ht="12.75">
      <c r="B51" s="21"/>
      <c r="C51" s="121"/>
      <c r="D51" s="57" t="s">
        <v>39</v>
      </c>
      <c r="E51" s="57"/>
      <c r="F51" s="56"/>
      <c r="G51" s="57"/>
      <c r="H51" s="163">
        <v>0</v>
      </c>
      <c r="I51" s="57"/>
      <c r="J51" s="142">
        <f>+Hoofdafdeling!H53+'component 1'!H53+'component 2'!H53+'component 3'!H53</f>
        <v>1852</v>
      </c>
      <c r="K51" s="142">
        <f>+Hoofdafdeling!I53+'component 1'!I53+'component 2'!I53+'component 3'!I53</f>
        <v>1852</v>
      </c>
      <c r="L51" s="142">
        <f>+Hoofdafdeling!J53+'component 1'!J53+'component 2'!J53+'component 3'!J53</f>
        <v>1852</v>
      </c>
      <c r="M51" s="142">
        <f>+Hoofdafdeling!K53+'component 1'!K53+'component 2'!K53+'component 3'!K53</f>
        <v>1852</v>
      </c>
      <c r="N51" s="59"/>
      <c r="O51" s="25"/>
    </row>
    <row r="52" spans="2:15" ht="12.75">
      <c r="B52" s="21"/>
      <c r="C52" s="121"/>
      <c r="D52" s="57" t="s">
        <v>40</v>
      </c>
      <c r="E52" s="57"/>
      <c r="F52" s="56"/>
      <c r="G52" s="57"/>
      <c r="H52" s="163">
        <v>0</v>
      </c>
      <c r="I52" s="57"/>
      <c r="J52" s="142">
        <f>+Hoofdafdeling!H54+'component 1'!H54+'component 2'!H54+'component 3'!H54</f>
        <v>4417.29</v>
      </c>
      <c r="K52" s="142">
        <f>+Hoofdafdeling!I54+'component 1'!I54+'component 2'!I54+'component 3'!I54</f>
        <v>4417.29</v>
      </c>
      <c r="L52" s="142">
        <f>+Hoofdafdeling!J54+'component 1'!J54+'component 2'!J54+'component 3'!J54</f>
        <v>4417.29</v>
      </c>
      <c r="M52" s="142">
        <f>+Hoofdafdeling!K54+'component 1'!K54+'component 2'!K54+'component 3'!K54</f>
        <v>4417.29</v>
      </c>
      <c r="N52" s="59"/>
      <c r="O52" s="25"/>
    </row>
    <row r="53" spans="2:15" ht="12.75">
      <c r="B53" s="21"/>
      <c r="C53" s="121"/>
      <c r="D53" s="92" t="s">
        <v>37</v>
      </c>
      <c r="E53" s="92"/>
      <c r="F53" s="91"/>
      <c r="G53" s="92"/>
      <c r="H53" s="92"/>
      <c r="I53" s="92"/>
      <c r="J53" s="143">
        <f>SUM(J50:J52)</f>
        <v>14954.11</v>
      </c>
      <c r="K53" s="143">
        <f>SUM(K50:K52)</f>
        <v>14954.11</v>
      </c>
      <c r="L53" s="143">
        <f>SUM(L50:L52)</f>
        <v>14954.11</v>
      </c>
      <c r="M53" s="143">
        <f>SUM(M50:M52)</f>
        <v>14954.11</v>
      </c>
      <c r="N53" s="59"/>
      <c r="O53" s="25"/>
    </row>
    <row r="54" spans="2:15" ht="12.75">
      <c r="B54" s="21"/>
      <c r="C54" s="121"/>
      <c r="D54" s="61"/>
      <c r="E54" s="61"/>
      <c r="F54" s="62"/>
      <c r="G54" s="61"/>
      <c r="H54" s="57"/>
      <c r="I54" s="61"/>
      <c r="J54" s="152">
        <f>+J47+J53</f>
        <v>91907.80000000002</v>
      </c>
      <c r="K54" s="152">
        <f>+K47+K53</f>
        <v>91907.80000000002</v>
      </c>
      <c r="L54" s="152">
        <f>+L47+L53</f>
        <v>91907.80000000002</v>
      </c>
      <c r="M54" s="152">
        <f>+M47+M53</f>
        <v>91907.80000000002</v>
      </c>
      <c r="N54" s="59"/>
      <c r="O54" s="25"/>
    </row>
    <row r="55" spans="2:15" ht="12.75">
      <c r="B55" s="21"/>
      <c r="C55" s="121"/>
      <c r="D55" s="61" t="s">
        <v>87</v>
      </c>
      <c r="E55" s="61"/>
      <c r="F55" s="62"/>
      <c r="G55" s="61"/>
      <c r="H55" s="57"/>
      <c r="I55" s="61"/>
      <c r="J55" s="144">
        <f>+Hoofdafdeling!H57+'component 1'!H57+'component 2'!H57+'component 3'!H57</f>
        <v>91907.8</v>
      </c>
      <c r="K55" s="144">
        <f>+Hoofdafdeling!I57+'component 1'!I57+'component 2'!I57+'component 3'!I57</f>
        <v>91907.8</v>
      </c>
      <c r="L55" s="144">
        <f>+Hoofdafdeling!J57+'component 1'!J57+'component 2'!J57+'component 3'!J57</f>
        <v>91907.8</v>
      </c>
      <c r="M55" s="144">
        <f>+Hoofdafdeling!K57+'component 1'!K57+'component 2'!K57+'component 3'!K57</f>
        <v>91907.8</v>
      </c>
      <c r="N55" s="59"/>
      <c r="O55" s="25"/>
    </row>
    <row r="56" spans="2:15" ht="12.75">
      <c r="B56" s="21"/>
      <c r="C56" s="121"/>
      <c r="D56" s="61"/>
      <c r="E56" s="61"/>
      <c r="F56" s="62"/>
      <c r="G56" s="61"/>
      <c r="H56" s="57"/>
      <c r="I56" s="61"/>
      <c r="J56" s="119"/>
      <c r="K56" s="119"/>
      <c r="L56" s="119"/>
      <c r="M56" s="119"/>
      <c r="N56" s="59"/>
      <c r="O56" s="25"/>
    </row>
    <row r="57" spans="2:15" ht="12.75">
      <c r="B57" s="21"/>
      <c r="C57" s="121"/>
      <c r="D57" s="61" t="s">
        <v>140</v>
      </c>
      <c r="E57" s="61"/>
      <c r="F57" s="62"/>
      <c r="G57" s="61"/>
      <c r="H57" s="57"/>
      <c r="I57" s="61"/>
      <c r="J57" s="144">
        <f>+J29+J31+J55</f>
        <v>163998.95</v>
      </c>
      <c r="K57" s="144">
        <f>+K29+K31+K55</f>
        <v>163998.95</v>
      </c>
      <c r="L57" s="144">
        <f>+L29+L31+L55</f>
        <v>163998.95</v>
      </c>
      <c r="M57" s="144">
        <f>+M29+M31+M55</f>
        <v>163998.95</v>
      </c>
      <c r="N57" s="59"/>
      <c r="O57" s="25"/>
    </row>
    <row r="58" spans="2:15" ht="12.75">
      <c r="B58" s="21"/>
      <c r="C58" s="121"/>
      <c r="D58" s="57"/>
      <c r="E58" s="57"/>
      <c r="F58" s="56"/>
      <c r="G58" s="57"/>
      <c r="H58" s="57"/>
      <c r="I58" s="57"/>
      <c r="J58" s="120"/>
      <c r="K58" s="120"/>
      <c r="L58" s="120"/>
      <c r="M58" s="120"/>
      <c r="N58" s="59"/>
      <c r="O58" s="25"/>
    </row>
    <row r="59" spans="2:15" ht="12.75">
      <c r="B59" s="21"/>
      <c r="C59" s="118" t="s">
        <v>123</v>
      </c>
      <c r="D59" s="61" t="s">
        <v>16</v>
      </c>
      <c r="E59" s="61"/>
      <c r="F59" s="62"/>
      <c r="G59" s="61"/>
      <c r="H59" s="57"/>
      <c r="I59" s="61"/>
      <c r="J59" s="119"/>
      <c r="K59" s="119"/>
      <c r="L59" s="119"/>
      <c r="M59" s="119"/>
      <c r="N59" s="59"/>
      <c r="O59" s="25"/>
    </row>
    <row r="60" spans="2:15" ht="12.75">
      <c r="B60" s="21"/>
      <c r="C60" s="118"/>
      <c r="D60" s="57" t="s">
        <v>195</v>
      </c>
      <c r="E60" s="61"/>
      <c r="F60" s="62"/>
      <c r="G60" s="61"/>
      <c r="H60" s="57"/>
      <c r="I60" s="61"/>
      <c r="J60" s="142">
        <f>+Hoofdafdeling!H62+'component 1'!H62+'component 2'!H62+'component 3'!H62</f>
        <v>0</v>
      </c>
      <c r="K60" s="142">
        <f>+Hoofdafdeling!I62+'component 1'!I62+'component 2'!I62+'component 3'!I62</f>
        <v>0</v>
      </c>
      <c r="L60" s="142">
        <f>+Hoofdafdeling!J62+'component 1'!J62+'component 2'!J62+'component 3'!J62</f>
        <v>0</v>
      </c>
      <c r="M60" s="142">
        <f>+Hoofdafdeling!K62+'component 1'!K62+'component 2'!K62+'component 3'!K62</f>
        <v>0</v>
      </c>
      <c r="N60" s="59"/>
      <c r="O60" s="25"/>
    </row>
    <row r="61" spans="2:15" ht="12.75">
      <c r="B61" s="21"/>
      <c r="C61" s="118"/>
      <c r="D61" s="57" t="s">
        <v>196</v>
      </c>
      <c r="E61" s="61"/>
      <c r="F61" s="62"/>
      <c r="G61" s="61"/>
      <c r="H61" s="57"/>
      <c r="I61" s="61"/>
      <c r="J61" s="142">
        <f>+Hoofdafdeling!H63+'component 1'!H63+'component 2'!H63+'component 3'!H63</f>
        <v>0</v>
      </c>
      <c r="K61" s="142">
        <f>+Hoofdafdeling!I63+'component 1'!I63+'component 2'!I63+'component 3'!I63</f>
        <v>0</v>
      </c>
      <c r="L61" s="142">
        <f>+Hoofdafdeling!J63+'component 1'!J63+'component 2'!J63+'component 3'!J63</f>
        <v>0</v>
      </c>
      <c r="M61" s="142">
        <f>+Hoofdafdeling!K63+'component 1'!K63+'component 2'!K63+'component 3'!K63</f>
        <v>0</v>
      </c>
      <c r="N61" s="59"/>
      <c r="O61" s="25"/>
    </row>
    <row r="62" spans="2:15" ht="12.75">
      <c r="B62" s="21"/>
      <c r="C62" s="118"/>
      <c r="D62" s="57" t="s">
        <v>203</v>
      </c>
      <c r="E62" s="61"/>
      <c r="F62" s="62"/>
      <c r="G62" s="61"/>
      <c r="H62" s="57"/>
      <c r="I62" s="61"/>
      <c r="J62" s="142">
        <f>+Hoofdafdeling!H64+'component 1'!H64+'component 2'!H64+'component 3'!H64</f>
        <v>0</v>
      </c>
      <c r="K62" s="142">
        <f>+Hoofdafdeling!I64+'component 1'!I64+'component 2'!I64+'component 3'!I64</f>
        <v>0</v>
      </c>
      <c r="L62" s="142">
        <f>+Hoofdafdeling!J64+'component 1'!J64+'component 2'!J64+'component 3'!J64</f>
        <v>0</v>
      </c>
      <c r="M62" s="142">
        <f>+Hoofdafdeling!K64+'component 1'!K64+'component 2'!K64+'component 3'!K64</f>
        <v>0</v>
      </c>
      <c r="N62" s="59"/>
      <c r="O62" s="25"/>
    </row>
    <row r="63" spans="2:15" ht="12.75">
      <c r="B63" s="21"/>
      <c r="C63" s="118"/>
      <c r="D63" s="57" t="s">
        <v>204</v>
      </c>
      <c r="E63" s="61"/>
      <c r="F63" s="62"/>
      <c r="G63" s="61"/>
      <c r="H63" s="57"/>
      <c r="I63" s="61"/>
      <c r="J63" s="142">
        <f>+Hoofdafdeling!H65+'component 1'!H65+'component 2'!H65+'component 3'!H65</f>
        <v>0</v>
      </c>
      <c r="K63" s="142">
        <f>+Hoofdafdeling!I65+'component 1'!I65+'component 2'!I65+'component 3'!I65</f>
        <v>0</v>
      </c>
      <c r="L63" s="142">
        <f>+Hoofdafdeling!J65+'component 1'!J65+'component 2'!J65+'component 3'!J65</f>
        <v>0</v>
      </c>
      <c r="M63" s="142">
        <f>+Hoofdafdeling!K65+'component 1'!K65+'component 2'!K65+'component 3'!K65</f>
        <v>0</v>
      </c>
      <c r="N63" s="59"/>
      <c r="O63" s="25"/>
    </row>
    <row r="64" spans="2:15" ht="12.75">
      <c r="B64" s="21"/>
      <c r="C64" s="118"/>
      <c r="D64" s="61"/>
      <c r="E64" s="61"/>
      <c r="F64" s="62"/>
      <c r="G64" s="61"/>
      <c r="H64" s="57"/>
      <c r="I64" s="61"/>
      <c r="J64" s="120"/>
      <c r="K64" s="120"/>
      <c r="L64" s="120"/>
      <c r="M64" s="120"/>
      <c r="N64" s="59"/>
      <c r="O64" s="25"/>
    </row>
    <row r="65" spans="2:15" ht="12.75">
      <c r="B65" s="21"/>
      <c r="C65" s="118" t="s">
        <v>124</v>
      </c>
      <c r="D65" s="61" t="s">
        <v>71</v>
      </c>
      <c r="E65" s="61"/>
      <c r="F65" s="62"/>
      <c r="G65" s="61"/>
      <c r="H65" s="57"/>
      <c r="I65" s="61"/>
      <c r="J65" s="120"/>
      <c r="K65" s="120"/>
      <c r="L65" s="120"/>
      <c r="M65" s="120"/>
      <c r="N65" s="59"/>
      <c r="O65" s="25"/>
    </row>
    <row r="66" spans="2:15" ht="12.75">
      <c r="B66" s="21"/>
      <c r="C66" s="121"/>
      <c r="D66" s="57" t="s">
        <v>202</v>
      </c>
      <c r="E66" s="61"/>
      <c r="F66" s="151">
        <f>+tabellen!G130</f>
        <v>1003.72</v>
      </c>
      <c r="G66" s="61"/>
      <c r="H66" s="57"/>
      <c r="I66" s="61"/>
      <c r="J66" s="120"/>
      <c r="K66" s="120"/>
      <c r="L66" s="120"/>
      <c r="M66" s="120"/>
      <c r="N66" s="59"/>
      <c r="O66" s="25"/>
    </row>
    <row r="67" spans="2:15" ht="12.75">
      <c r="B67" s="21"/>
      <c r="C67" s="121"/>
      <c r="D67" s="57" t="s">
        <v>125</v>
      </c>
      <c r="E67" s="61"/>
      <c r="F67" s="165">
        <f>+Hoofdafdeling!F70+'component 1'!F70+'component 2'!F70+'component 3'!F70</f>
        <v>0</v>
      </c>
      <c r="G67" s="61"/>
      <c r="H67" s="163">
        <v>0</v>
      </c>
      <c r="I67" s="61"/>
      <c r="J67" s="142">
        <f>+Hoofdafdeling!H70+'component 1'!H70+'component 2'!H70+'component 3'!H70</f>
        <v>0</v>
      </c>
      <c r="K67" s="142">
        <f>+Hoofdafdeling!I70+'component 1'!I70+'component 2'!I70+'component 3'!I70</f>
        <v>0</v>
      </c>
      <c r="L67" s="142">
        <f>+Hoofdafdeling!J70+'component 1'!J70+'component 2'!J70+'component 3'!J70</f>
        <v>0</v>
      </c>
      <c r="M67" s="142">
        <f>+Hoofdafdeling!K70+'component 1'!K70+'component 2'!K70+'component 3'!K70</f>
        <v>0</v>
      </c>
      <c r="N67" s="59"/>
      <c r="O67" s="25"/>
    </row>
    <row r="68" spans="2:15" ht="12.75">
      <c r="B68" s="21"/>
      <c r="C68" s="121"/>
      <c r="D68" s="57" t="s">
        <v>198</v>
      </c>
      <c r="E68" s="61"/>
      <c r="F68" s="62"/>
      <c r="G68" s="61"/>
      <c r="H68" s="57"/>
      <c r="I68" s="61"/>
      <c r="J68" s="120"/>
      <c r="K68" s="120"/>
      <c r="L68" s="120"/>
      <c r="M68" s="120"/>
      <c r="N68" s="59"/>
      <c r="O68" s="25"/>
    </row>
    <row r="69" spans="2:15" ht="12.75">
      <c r="B69" s="21"/>
      <c r="C69" s="121"/>
      <c r="D69" s="57" t="s">
        <v>199</v>
      </c>
      <c r="E69" s="61"/>
      <c r="F69" s="165">
        <f>+Hoofdafdeling!F72+'component 1'!F72+'component 2'!F72+'component 3'!F72</f>
        <v>0</v>
      </c>
      <c r="G69" s="61"/>
      <c r="H69" s="163">
        <v>0</v>
      </c>
      <c r="I69" s="61"/>
      <c r="J69" s="142">
        <f>+Hoofdafdeling!H72+'component 1'!H72+'component 2'!H72+'component 3'!H72</f>
        <v>0</v>
      </c>
      <c r="K69" s="142">
        <f>+Hoofdafdeling!I72+'component 1'!I72+'component 2'!I72+'component 3'!I72</f>
        <v>0</v>
      </c>
      <c r="L69" s="142">
        <f>+Hoofdafdeling!J72+'component 1'!J72+'component 2'!J72+'component 3'!J72</f>
        <v>0</v>
      </c>
      <c r="M69" s="142">
        <f>+Hoofdafdeling!K72+'component 1'!K72+'component 2'!K72+'component 3'!K72</f>
        <v>0</v>
      </c>
      <c r="N69" s="59"/>
      <c r="O69" s="25"/>
    </row>
    <row r="70" spans="2:15" ht="12.75">
      <c r="B70" s="21"/>
      <c r="C70" s="121"/>
      <c r="D70" s="57"/>
      <c r="E70" s="57"/>
      <c r="F70" s="56"/>
      <c r="G70" s="57"/>
      <c r="H70" s="57"/>
      <c r="I70" s="57"/>
      <c r="J70" s="120"/>
      <c r="K70" s="120"/>
      <c r="L70" s="120"/>
      <c r="M70" s="120"/>
      <c r="N70" s="59"/>
      <c r="O70" s="25"/>
    </row>
    <row r="71" spans="2:15" ht="12.75">
      <c r="B71" s="21"/>
      <c r="C71" s="118" t="s">
        <v>141</v>
      </c>
      <c r="D71" s="61" t="s">
        <v>166</v>
      </c>
      <c r="E71" s="61"/>
      <c r="F71" s="62"/>
      <c r="G71" s="61"/>
      <c r="H71" s="57"/>
      <c r="I71" s="61"/>
      <c r="J71" s="149">
        <v>0</v>
      </c>
      <c r="K71" s="149">
        <v>0</v>
      </c>
      <c r="L71" s="149">
        <v>0</v>
      </c>
      <c r="M71" s="149">
        <v>0</v>
      </c>
      <c r="N71" s="59"/>
      <c r="O71" s="25"/>
    </row>
    <row r="72" spans="2:15" ht="12.75">
      <c r="B72" s="21"/>
      <c r="C72" s="121"/>
      <c r="D72" s="57" t="s">
        <v>167</v>
      </c>
      <c r="E72" s="61"/>
      <c r="F72" s="62"/>
      <c r="G72" s="61"/>
      <c r="H72" s="57"/>
      <c r="I72" s="61"/>
      <c r="J72" s="149">
        <v>0</v>
      </c>
      <c r="K72" s="149">
        <v>0</v>
      </c>
      <c r="L72" s="149">
        <v>0</v>
      </c>
      <c r="M72" s="149">
        <v>0</v>
      </c>
      <c r="N72" s="59"/>
      <c r="O72" s="25"/>
    </row>
    <row r="73" spans="2:15" ht="12.75">
      <c r="B73" s="21"/>
      <c r="C73" s="121"/>
      <c r="D73" s="92" t="s">
        <v>151</v>
      </c>
      <c r="E73" s="57"/>
      <c r="F73" s="56"/>
      <c r="G73" s="57"/>
      <c r="H73" s="61"/>
      <c r="I73" s="57"/>
      <c r="J73" s="150">
        <f>SUM(J71:J72)</f>
        <v>0</v>
      </c>
      <c r="K73" s="150">
        <f>SUM(K71:K72)</f>
        <v>0</v>
      </c>
      <c r="L73" s="150">
        <f>SUM(L71:L72)</f>
        <v>0</v>
      </c>
      <c r="M73" s="150">
        <f>SUM(M71:M72)</f>
        <v>0</v>
      </c>
      <c r="N73" s="59"/>
      <c r="O73" s="25"/>
    </row>
    <row r="74" spans="2:15" ht="12.75">
      <c r="B74" s="21"/>
      <c r="C74" s="121"/>
      <c r="D74" s="57"/>
      <c r="E74" s="57"/>
      <c r="F74" s="56"/>
      <c r="G74" s="57"/>
      <c r="H74" s="57"/>
      <c r="I74" s="57"/>
      <c r="J74" s="120"/>
      <c r="K74" s="120"/>
      <c r="L74" s="120"/>
      <c r="M74" s="120"/>
      <c r="N74" s="59"/>
      <c r="O74" s="25"/>
    </row>
    <row r="75" spans="2:15" ht="12.75">
      <c r="B75" s="21"/>
      <c r="C75" s="118" t="s">
        <v>142</v>
      </c>
      <c r="D75" s="61" t="s">
        <v>149</v>
      </c>
      <c r="E75" s="61"/>
      <c r="F75" s="62"/>
      <c r="G75" s="61"/>
      <c r="H75" s="57"/>
      <c r="I75" s="61"/>
      <c r="J75" s="119"/>
      <c r="K75" s="119"/>
      <c r="L75" s="119"/>
      <c r="M75" s="119"/>
      <c r="N75" s="59"/>
      <c r="O75" s="25"/>
    </row>
    <row r="76" spans="2:15" ht="12.75">
      <c r="B76" s="21"/>
      <c r="C76" s="121"/>
      <c r="D76" s="57" t="s">
        <v>145</v>
      </c>
      <c r="E76" s="61"/>
      <c r="F76" s="166">
        <f>+Hoofdafdeling!F79+'component 1'!F79+'component 2'!F79+'component 3'!F79</f>
        <v>0</v>
      </c>
      <c r="G76" s="61"/>
      <c r="H76" s="163">
        <v>0</v>
      </c>
      <c r="I76" s="61"/>
      <c r="J76" s="142">
        <f>+Hoofdafdeling!H79+'component 1'!H79+'component 2'!H79+'component 3'!H79</f>
        <v>0</v>
      </c>
      <c r="K76" s="142">
        <f>+Hoofdafdeling!I79+'component 1'!I79+'component 2'!I79+'component 3'!I79</f>
        <v>0</v>
      </c>
      <c r="L76" s="142">
        <f>+Hoofdafdeling!J79+'component 1'!J79+'component 2'!J79+'component 3'!J79</f>
        <v>0</v>
      </c>
      <c r="M76" s="142">
        <f>+Hoofdafdeling!K79+'component 1'!K79+'component 2'!K79+'component 3'!K79</f>
        <v>0</v>
      </c>
      <c r="N76" s="59"/>
      <c r="O76" s="25"/>
    </row>
    <row r="77" spans="2:15" ht="12.75">
      <c r="B77" s="21"/>
      <c r="C77" s="121"/>
      <c r="D77" s="57" t="s">
        <v>146</v>
      </c>
      <c r="E77" s="57"/>
      <c r="F77" s="166">
        <f>+Hoofdafdeling!F80+'component 1'!F80+'component 2'!F80+'component 3'!F80</f>
        <v>0</v>
      </c>
      <c r="G77" s="57"/>
      <c r="H77" s="163">
        <v>0</v>
      </c>
      <c r="I77" s="57"/>
      <c r="J77" s="142">
        <f>+Hoofdafdeling!H80+'component 1'!H80+'component 2'!H80+'component 3'!H80</f>
        <v>0</v>
      </c>
      <c r="K77" s="142">
        <f>+Hoofdafdeling!I80+'component 1'!I80+'component 2'!I80+'component 3'!I80</f>
        <v>0</v>
      </c>
      <c r="L77" s="142">
        <f>+Hoofdafdeling!J80+'component 1'!J80+'component 2'!J80+'component 3'!J80</f>
        <v>0</v>
      </c>
      <c r="M77" s="142">
        <f>+Hoofdafdeling!K80+'component 1'!K80+'component 2'!K80+'component 3'!K80</f>
        <v>0</v>
      </c>
      <c r="N77" s="59"/>
      <c r="O77" s="25"/>
    </row>
    <row r="78" spans="2:15" ht="12.75">
      <c r="B78" s="21"/>
      <c r="C78" s="121"/>
      <c r="D78" s="92" t="s">
        <v>37</v>
      </c>
      <c r="E78" s="57"/>
      <c r="F78" s="56"/>
      <c r="G78" s="57"/>
      <c r="H78" s="61"/>
      <c r="I78" s="57"/>
      <c r="J78" s="150">
        <f>SUM(J76:J77)</f>
        <v>0</v>
      </c>
      <c r="K78" s="150">
        <f>SUM(K76:K77)</f>
        <v>0</v>
      </c>
      <c r="L78" s="150">
        <f>SUM(L76:L77)</f>
        <v>0</v>
      </c>
      <c r="M78" s="150">
        <f>SUM(M76:M77)</f>
        <v>0</v>
      </c>
      <c r="N78" s="59"/>
      <c r="O78" s="25"/>
    </row>
    <row r="79" spans="2:15" ht="12.75">
      <c r="B79" s="21"/>
      <c r="C79" s="121"/>
      <c r="D79" s="57"/>
      <c r="E79" s="57"/>
      <c r="F79" s="56"/>
      <c r="G79" s="57"/>
      <c r="H79" s="57"/>
      <c r="I79" s="57"/>
      <c r="J79" s="120"/>
      <c r="K79" s="120"/>
      <c r="L79" s="120"/>
      <c r="M79" s="120"/>
      <c r="N79" s="59"/>
      <c r="O79" s="25"/>
    </row>
    <row r="80" spans="2:15" ht="12.75">
      <c r="B80" s="21"/>
      <c r="C80" s="121"/>
      <c r="D80" s="61" t="s">
        <v>150</v>
      </c>
      <c r="E80" s="61"/>
      <c r="F80" s="62"/>
      <c r="G80" s="61"/>
      <c r="H80" s="57"/>
      <c r="I80" s="61"/>
      <c r="J80" s="120"/>
      <c r="K80" s="120"/>
      <c r="L80" s="120"/>
      <c r="M80" s="120"/>
      <c r="N80" s="59"/>
      <c r="O80" s="25"/>
    </row>
    <row r="81" spans="2:15" ht="12.75">
      <c r="B81" s="21"/>
      <c r="C81" s="121"/>
      <c r="D81" s="57" t="s">
        <v>145</v>
      </c>
      <c r="E81" s="57"/>
      <c r="F81" s="166">
        <f>+Hoofdafdeling!F84+'component 1'!F84+'component 2'!F84+'component 3'!F84</f>
        <v>0</v>
      </c>
      <c r="G81" s="57"/>
      <c r="H81" s="163">
        <v>0</v>
      </c>
      <c r="I81" s="57"/>
      <c r="J81" s="142">
        <f>+Hoofdafdeling!H84+'component 1'!H84+'component 2'!H84+'component 3'!H84</f>
        <v>0</v>
      </c>
      <c r="K81" s="142">
        <f>+Hoofdafdeling!I84+'component 1'!I84+'component 2'!I84+'component 3'!I84</f>
        <v>0</v>
      </c>
      <c r="L81" s="142">
        <f>+Hoofdafdeling!J84+'component 1'!J84+'component 2'!J84+'component 3'!J84</f>
        <v>0</v>
      </c>
      <c r="M81" s="142">
        <f>+Hoofdafdeling!K84+'component 1'!K84+'component 2'!K84+'component 3'!K84</f>
        <v>0</v>
      </c>
      <c r="N81" s="59"/>
      <c r="O81" s="25"/>
    </row>
    <row r="82" spans="2:15" ht="12.75">
      <c r="B82" s="21"/>
      <c r="C82" s="121"/>
      <c r="D82" s="57" t="s">
        <v>251</v>
      </c>
      <c r="E82" s="57"/>
      <c r="F82" s="166">
        <f>+Hoofdafdeling!F85+'component 1'!F85+'component 2'!F85+'component 3'!F85</f>
        <v>0</v>
      </c>
      <c r="G82" s="57"/>
      <c r="H82" s="163">
        <v>0</v>
      </c>
      <c r="I82" s="57"/>
      <c r="J82" s="142">
        <f>+Hoofdafdeling!H85+'component 1'!H85+'component 2'!H85+'component 3'!H85</f>
        <v>0</v>
      </c>
      <c r="K82" s="142">
        <f>+Hoofdafdeling!I85+'component 1'!I85+'component 2'!I85+'component 3'!I85</f>
        <v>0</v>
      </c>
      <c r="L82" s="142">
        <f>+Hoofdafdeling!J85+'component 1'!J85+'component 2'!J85+'component 3'!J85</f>
        <v>0</v>
      </c>
      <c r="M82" s="142">
        <f>+Hoofdafdeling!K85+'component 1'!K85+'component 2'!K85+'component 3'!K85</f>
        <v>0</v>
      </c>
      <c r="N82" s="59"/>
      <c r="O82" s="25"/>
    </row>
    <row r="83" spans="2:15" ht="12.75">
      <c r="B83" s="21"/>
      <c r="C83" s="121"/>
      <c r="D83" s="57" t="s">
        <v>252</v>
      </c>
      <c r="E83" s="57"/>
      <c r="F83" s="166">
        <f>+Hoofdafdeling!F86+'component 1'!F86+'component 2'!F86+'component 3'!F86</f>
        <v>0</v>
      </c>
      <c r="G83" s="57"/>
      <c r="H83" s="163">
        <v>0</v>
      </c>
      <c r="I83" s="57"/>
      <c r="J83" s="142">
        <f>+Hoofdafdeling!H86+'component 1'!H86+'component 2'!H86+'component 3'!H86</f>
        <v>0</v>
      </c>
      <c r="K83" s="142">
        <f>+Hoofdafdeling!I86+'component 1'!I86+'component 2'!I86+'component 3'!I86</f>
        <v>0</v>
      </c>
      <c r="L83" s="142">
        <f>+Hoofdafdeling!J86+'component 1'!J86+'component 2'!J86+'component 3'!J86</f>
        <v>0</v>
      </c>
      <c r="M83" s="142">
        <f>+Hoofdafdeling!K86+'component 1'!K86+'component 2'!K86+'component 3'!K86</f>
        <v>0</v>
      </c>
      <c r="N83" s="59"/>
      <c r="O83" s="25"/>
    </row>
    <row r="84" spans="2:15" ht="12.75">
      <c r="B84" s="21"/>
      <c r="C84" s="121"/>
      <c r="D84" s="57" t="s">
        <v>253</v>
      </c>
      <c r="E84" s="57"/>
      <c r="F84" s="166">
        <f>+Hoofdafdeling!F87+'component 1'!F87+'component 2'!F87+'component 3'!F87</f>
        <v>0</v>
      </c>
      <c r="G84" s="57"/>
      <c r="H84" s="163">
        <v>0</v>
      </c>
      <c r="I84" s="57"/>
      <c r="J84" s="142">
        <f>+Hoofdafdeling!H87+'component 1'!H87+'component 2'!H87+'component 3'!H87</f>
        <v>0</v>
      </c>
      <c r="K84" s="142">
        <f>+Hoofdafdeling!I87+'component 1'!I87+'component 2'!I87+'component 3'!I87</f>
        <v>0</v>
      </c>
      <c r="L84" s="142">
        <f>+Hoofdafdeling!J87+'component 1'!J87+'component 2'!J87+'component 3'!J87</f>
        <v>0</v>
      </c>
      <c r="M84" s="142">
        <f>+Hoofdafdeling!K87+'component 1'!K87+'component 2'!K87+'component 3'!K87</f>
        <v>0</v>
      </c>
      <c r="N84" s="59"/>
      <c r="O84" s="25"/>
    </row>
    <row r="85" spans="2:15" ht="12.75">
      <c r="B85" s="21"/>
      <c r="C85" s="121"/>
      <c r="D85" s="92" t="s">
        <v>37</v>
      </c>
      <c r="E85" s="57"/>
      <c r="F85" s="56"/>
      <c r="G85" s="57"/>
      <c r="H85" s="61"/>
      <c r="I85" s="57"/>
      <c r="J85" s="150">
        <f>SUM(J81:J84)</f>
        <v>0</v>
      </c>
      <c r="K85" s="150">
        <f>SUM(K81:K84)</f>
        <v>0</v>
      </c>
      <c r="L85" s="150">
        <f>SUM(L81:L84)</f>
        <v>0</v>
      </c>
      <c r="M85" s="150">
        <f>SUM(M81:M84)</f>
        <v>0</v>
      </c>
      <c r="N85" s="59"/>
      <c r="O85" s="25"/>
    </row>
    <row r="86" spans="2:15" ht="12.75">
      <c r="B86" s="21"/>
      <c r="C86" s="121"/>
      <c r="D86" s="57"/>
      <c r="E86" s="57"/>
      <c r="F86" s="56"/>
      <c r="G86" s="57"/>
      <c r="H86" s="57"/>
      <c r="I86" s="57"/>
      <c r="J86" s="120"/>
      <c r="K86" s="120"/>
      <c r="L86" s="120"/>
      <c r="M86" s="120"/>
      <c r="N86" s="59"/>
      <c r="O86" s="25"/>
    </row>
    <row r="87" spans="2:15" ht="12.75">
      <c r="B87" s="21"/>
      <c r="C87" s="121"/>
      <c r="D87" s="57"/>
      <c r="E87" s="57"/>
      <c r="F87" s="56"/>
      <c r="G87" s="57"/>
      <c r="H87" s="57"/>
      <c r="I87" s="57"/>
      <c r="J87" s="120"/>
      <c r="K87" s="120"/>
      <c r="L87" s="120"/>
      <c r="M87" s="120"/>
      <c r="N87" s="59"/>
      <c r="O87" s="25"/>
    </row>
    <row r="88" spans="2:15" ht="12.75">
      <c r="B88" s="21"/>
      <c r="C88" s="121"/>
      <c r="D88" s="61" t="s">
        <v>23</v>
      </c>
      <c r="E88" s="61"/>
      <c r="F88" s="62"/>
      <c r="G88" s="61"/>
      <c r="H88" s="57"/>
      <c r="I88" s="61"/>
      <c r="J88" s="144">
        <f>+J57+J60+J61+J62+J63+J67+J69+J73+J78+J85</f>
        <v>163998.95</v>
      </c>
      <c r="K88" s="144">
        <f>+K57+K60+K61+K62+K63+K67+K69+K73+K78+K85</f>
        <v>163998.95</v>
      </c>
      <c r="L88" s="144">
        <f>+L57+L60+L61+L62+L63+L67+L69+L73+L78+L85</f>
        <v>163998.95</v>
      </c>
      <c r="M88" s="144">
        <f>+M57+M60+M61+M62+M63+M67+M69+M73+M78+M85</f>
        <v>163998.95</v>
      </c>
      <c r="N88" s="59"/>
      <c r="O88" s="25"/>
    </row>
    <row r="89" spans="2:15" ht="12.75">
      <c r="B89" s="21"/>
      <c r="C89" s="126"/>
      <c r="D89" s="75"/>
      <c r="E89" s="75"/>
      <c r="F89" s="74"/>
      <c r="G89" s="75"/>
      <c r="H89" s="75"/>
      <c r="I89" s="75"/>
      <c r="J89" s="124"/>
      <c r="K89" s="124"/>
      <c r="L89" s="124"/>
      <c r="M89" s="124"/>
      <c r="N89" s="76"/>
      <c r="O89" s="25"/>
    </row>
    <row r="90" spans="2:15" ht="12.75">
      <c r="B90" s="21"/>
      <c r="C90" s="24"/>
      <c r="D90" s="22"/>
      <c r="E90" s="22"/>
      <c r="F90" s="24"/>
      <c r="G90" s="22"/>
      <c r="H90" s="22"/>
      <c r="I90" s="22"/>
      <c r="J90" s="111"/>
      <c r="K90" s="111"/>
      <c r="L90" s="111"/>
      <c r="M90" s="111"/>
      <c r="N90" s="22"/>
      <c r="O90" s="25"/>
    </row>
    <row r="91" spans="2:15" ht="12.75">
      <c r="B91" s="21"/>
      <c r="C91" s="24"/>
      <c r="D91" s="22"/>
      <c r="E91" s="22"/>
      <c r="F91" s="24"/>
      <c r="G91" s="22"/>
      <c r="H91" s="22"/>
      <c r="I91" s="22"/>
      <c r="J91" s="111"/>
      <c r="K91" s="111"/>
      <c r="L91" s="111"/>
      <c r="M91" s="111"/>
      <c r="N91" s="22"/>
      <c r="O91" s="25"/>
    </row>
    <row r="92" spans="2:15" ht="12.75">
      <c r="B92" s="96"/>
      <c r="C92" s="100"/>
      <c r="D92" s="97"/>
      <c r="E92" s="97"/>
      <c r="F92" s="100"/>
      <c r="G92" s="97"/>
      <c r="H92" s="97"/>
      <c r="I92" s="97"/>
      <c r="J92" s="128"/>
      <c r="K92" s="128"/>
      <c r="L92" s="128"/>
      <c r="M92" s="128"/>
      <c r="N92" s="237" t="s">
        <v>230</v>
      </c>
      <c r="O92" s="101"/>
    </row>
    <row r="93" spans="2:15" ht="12.75">
      <c r="B93" s="16"/>
      <c r="C93" s="19"/>
      <c r="D93" s="17"/>
      <c r="E93" s="17"/>
      <c r="F93" s="19"/>
      <c r="G93" s="17"/>
      <c r="H93" s="17"/>
      <c r="I93" s="17"/>
      <c r="J93" s="110"/>
      <c r="K93" s="110"/>
      <c r="L93" s="110"/>
      <c r="M93" s="110"/>
      <c r="N93" s="17"/>
      <c r="O93" s="20"/>
    </row>
    <row r="94" spans="2:15" ht="12.75">
      <c r="B94" s="21"/>
      <c r="C94" s="24"/>
      <c r="D94" s="22"/>
      <c r="E94" s="22"/>
      <c r="F94" s="24"/>
      <c r="G94" s="22"/>
      <c r="H94" s="22"/>
      <c r="I94" s="22"/>
      <c r="J94" s="111"/>
      <c r="K94" s="111"/>
      <c r="L94" s="111"/>
      <c r="M94" s="111"/>
      <c r="N94" s="22"/>
      <c r="O94" s="25"/>
    </row>
    <row r="95" spans="2:15" ht="12.75">
      <c r="B95" s="21"/>
      <c r="C95" s="24"/>
      <c r="D95" s="22"/>
      <c r="E95" s="22"/>
      <c r="F95" s="24"/>
      <c r="G95" s="22"/>
      <c r="H95" s="22"/>
      <c r="I95" s="22"/>
      <c r="J95" s="111"/>
      <c r="K95" s="111"/>
      <c r="L95" s="111"/>
      <c r="M95" s="111"/>
      <c r="N95" s="22"/>
      <c r="O95" s="25"/>
    </row>
    <row r="96" spans="2:15" ht="12.75">
      <c r="B96" s="21"/>
      <c r="C96" s="24"/>
      <c r="D96" s="22"/>
      <c r="E96" s="22"/>
      <c r="F96" s="24"/>
      <c r="G96" s="22"/>
      <c r="H96" s="22"/>
      <c r="I96" s="22"/>
      <c r="J96" s="84">
        <f>VLOOKUP(tabellen!$B$2,schooljaren,1,FALSE)</f>
        <v>2011</v>
      </c>
      <c r="K96" s="84">
        <f>VLOOKUP(tabellen!$B$2+1,schooljaren,1,FALSE)</f>
        <v>2012</v>
      </c>
      <c r="L96" s="84">
        <f>VLOOKUP(tabellen!$B$2+2,schooljaren,1,FALSE)</f>
        <v>2013</v>
      </c>
      <c r="M96" s="84">
        <f>VLOOKUP(tabellen!$B$2+3,schooljaren,1,FALSE)</f>
        <v>2014</v>
      </c>
      <c r="N96" s="22"/>
      <c r="O96" s="25"/>
    </row>
    <row r="97" spans="2:15" ht="12.75">
      <c r="B97" s="21"/>
      <c r="C97" s="24"/>
      <c r="D97" s="22"/>
      <c r="E97" s="22"/>
      <c r="F97" s="24"/>
      <c r="G97" s="22"/>
      <c r="H97" s="22"/>
      <c r="I97" s="22"/>
      <c r="J97" s="111"/>
      <c r="K97" s="111"/>
      <c r="L97" s="111"/>
      <c r="M97" s="111"/>
      <c r="N97" s="22"/>
      <c r="O97" s="25"/>
    </row>
    <row r="98" spans="2:15" ht="12.75">
      <c r="B98" s="21"/>
      <c r="C98" s="50"/>
      <c r="D98" s="129"/>
      <c r="E98" s="52"/>
      <c r="F98" s="167"/>
      <c r="G98" s="167"/>
      <c r="H98" s="51"/>
      <c r="I98" s="52"/>
      <c r="J98" s="52"/>
      <c r="K98" s="168"/>
      <c r="L98" s="168"/>
      <c r="M98" s="168"/>
      <c r="N98" s="183"/>
      <c r="O98" s="25"/>
    </row>
    <row r="99" spans="2:15" ht="12.75">
      <c r="B99" s="21"/>
      <c r="C99" s="54"/>
      <c r="D99" s="61" t="s">
        <v>216</v>
      </c>
      <c r="E99" s="57"/>
      <c r="F99" s="169"/>
      <c r="G99" s="169"/>
      <c r="H99" s="61"/>
      <c r="I99" s="57"/>
      <c r="J99" s="170"/>
      <c r="K99" s="170"/>
      <c r="L99" s="170"/>
      <c r="M99" s="170"/>
      <c r="N99" s="184"/>
      <c r="O99" s="25"/>
    </row>
    <row r="100" spans="2:15" ht="12.75">
      <c r="B100" s="21"/>
      <c r="C100" s="54"/>
      <c r="D100" s="171" t="s">
        <v>217</v>
      </c>
      <c r="E100" s="75"/>
      <c r="F100" s="172"/>
      <c r="G100" s="172"/>
      <c r="H100" s="74"/>
      <c r="I100" s="57"/>
      <c r="J100" s="170"/>
      <c r="K100" s="170"/>
      <c r="L100" s="170"/>
      <c r="M100" s="170"/>
      <c r="N100" s="184"/>
      <c r="O100" s="25"/>
    </row>
    <row r="101" spans="2:15" ht="12.75">
      <c r="B101" s="21"/>
      <c r="C101" s="173"/>
      <c r="D101" s="239" t="s">
        <v>231</v>
      </c>
      <c r="E101" s="187"/>
      <c r="F101" s="188"/>
      <c r="G101" s="188"/>
      <c r="H101" s="186">
        <f>IF(J88=0,0,($H16*J16+$H17*J17+$H18*J18+$H22*J22+$H23*J23+$H24*J24+$H27*J27+$H35*J35+$H36*J36+$H37*J37+$H38*J38+$H39*J39+$H41*J41+$H42*J42+$H43*J43+$H44*J44+$H46*J46+$H50*J50+$H51*J51+$H52*J52+$H67*J67+$H69*J69+$H76*J76+$H77*J77+$H81*J81+$H82*J82+$H83*J83+$H84*J84)/J88)</f>
        <v>0</v>
      </c>
      <c r="I101" s="54"/>
      <c r="J101" s="149">
        <f>J88*$H$101</f>
        <v>0</v>
      </c>
      <c r="K101" s="149">
        <f>K88*$H$101</f>
        <v>0</v>
      </c>
      <c r="L101" s="149">
        <f>L88*$H$101</f>
        <v>0</v>
      </c>
      <c r="M101" s="149">
        <f>M88*$H$101</f>
        <v>0</v>
      </c>
      <c r="N101" s="184"/>
      <c r="O101" s="25"/>
    </row>
    <row r="102" spans="2:15" ht="12.75">
      <c r="B102" s="21"/>
      <c r="C102" s="173"/>
      <c r="D102" s="174"/>
      <c r="E102" s="189"/>
      <c r="F102" s="190"/>
      <c r="G102" s="190"/>
      <c r="H102" s="191"/>
      <c r="I102" s="54"/>
      <c r="J102" s="148">
        <v>0</v>
      </c>
      <c r="K102" s="148">
        <v>0</v>
      </c>
      <c r="L102" s="148">
        <v>0</v>
      </c>
      <c r="M102" s="148">
        <v>0</v>
      </c>
      <c r="N102" s="184"/>
      <c r="O102" s="25"/>
    </row>
    <row r="103" spans="2:15" ht="12.75">
      <c r="B103" s="21"/>
      <c r="C103" s="173"/>
      <c r="D103" s="174"/>
      <c r="E103" s="189"/>
      <c r="F103" s="190"/>
      <c r="G103" s="190"/>
      <c r="H103" s="191"/>
      <c r="I103" s="54"/>
      <c r="J103" s="148">
        <v>0</v>
      </c>
      <c r="K103" s="148">
        <v>0</v>
      </c>
      <c r="L103" s="148">
        <v>0</v>
      </c>
      <c r="M103" s="148">
        <v>0</v>
      </c>
      <c r="N103" s="184"/>
      <c r="O103" s="25"/>
    </row>
    <row r="104" spans="2:15" ht="12.75">
      <c r="B104" s="21"/>
      <c r="C104" s="173"/>
      <c r="D104" s="174"/>
      <c r="E104" s="189"/>
      <c r="F104" s="190"/>
      <c r="G104" s="190"/>
      <c r="H104" s="191"/>
      <c r="I104" s="54"/>
      <c r="J104" s="148">
        <v>0</v>
      </c>
      <c r="K104" s="148">
        <v>0</v>
      </c>
      <c r="L104" s="148">
        <v>0</v>
      </c>
      <c r="M104" s="148">
        <v>0</v>
      </c>
      <c r="N104" s="184"/>
      <c r="O104" s="25"/>
    </row>
    <row r="105" spans="2:15" ht="12.75">
      <c r="B105" s="21"/>
      <c r="C105" s="173"/>
      <c r="D105" s="174"/>
      <c r="E105" s="189"/>
      <c r="F105" s="190"/>
      <c r="G105" s="190"/>
      <c r="H105" s="191"/>
      <c r="I105" s="54"/>
      <c r="J105" s="148">
        <v>0</v>
      </c>
      <c r="K105" s="148">
        <v>0</v>
      </c>
      <c r="L105" s="148">
        <v>0</v>
      </c>
      <c r="M105" s="148">
        <v>0</v>
      </c>
      <c r="N105" s="184"/>
      <c r="O105" s="25"/>
    </row>
    <row r="106" spans="2:15" ht="12.75">
      <c r="B106" s="21"/>
      <c r="C106" s="173"/>
      <c r="D106" s="173"/>
      <c r="E106" s="173"/>
      <c r="F106" s="175"/>
      <c r="G106" s="175"/>
      <c r="H106" s="176"/>
      <c r="I106" s="54"/>
      <c r="J106" s="177">
        <f>SUM(J101:J105)</f>
        <v>0</v>
      </c>
      <c r="K106" s="177">
        <f>SUM(K101:K105)</f>
        <v>0</v>
      </c>
      <c r="L106" s="177">
        <f>SUM(L101:L105)</f>
        <v>0</v>
      </c>
      <c r="M106" s="177">
        <f>SUM(M101:M105)</f>
        <v>0</v>
      </c>
      <c r="N106" s="184"/>
      <c r="O106" s="25"/>
    </row>
    <row r="107" spans="2:15" ht="12.75">
      <c r="B107" s="21"/>
      <c r="C107" s="173"/>
      <c r="D107" s="178" t="s">
        <v>218</v>
      </c>
      <c r="E107" s="173"/>
      <c r="F107" s="175"/>
      <c r="G107" s="175"/>
      <c r="H107" s="176"/>
      <c r="I107" s="54"/>
      <c r="J107" s="170"/>
      <c r="K107" s="170"/>
      <c r="L107" s="170"/>
      <c r="M107" s="170"/>
      <c r="N107" s="184"/>
      <c r="O107" s="25"/>
    </row>
    <row r="108" spans="2:15" ht="12.75">
      <c r="B108" s="21"/>
      <c r="C108" s="173"/>
      <c r="D108" s="174"/>
      <c r="E108" s="189"/>
      <c r="F108" s="190"/>
      <c r="G108" s="190"/>
      <c r="H108" s="191"/>
      <c r="I108" s="54"/>
      <c r="J108" s="148">
        <v>0</v>
      </c>
      <c r="K108" s="148">
        <v>0</v>
      </c>
      <c r="L108" s="148">
        <v>0</v>
      </c>
      <c r="M108" s="148">
        <v>0</v>
      </c>
      <c r="N108" s="184"/>
      <c r="O108" s="25"/>
    </row>
    <row r="109" spans="2:15" ht="12.75">
      <c r="B109" s="21"/>
      <c r="C109" s="173"/>
      <c r="D109" s="174"/>
      <c r="E109" s="189"/>
      <c r="F109" s="190"/>
      <c r="G109" s="190"/>
      <c r="H109" s="191"/>
      <c r="I109" s="54"/>
      <c r="J109" s="148">
        <v>0</v>
      </c>
      <c r="K109" s="148">
        <v>0</v>
      </c>
      <c r="L109" s="148">
        <v>0</v>
      </c>
      <c r="M109" s="148">
        <v>0</v>
      </c>
      <c r="N109" s="184"/>
      <c r="O109" s="25"/>
    </row>
    <row r="110" spans="2:15" ht="12.75">
      <c r="B110" s="21"/>
      <c r="C110" s="173"/>
      <c r="D110" s="174"/>
      <c r="E110" s="189"/>
      <c r="F110" s="190"/>
      <c r="G110" s="190"/>
      <c r="H110" s="191"/>
      <c r="I110" s="54"/>
      <c r="J110" s="148">
        <v>0</v>
      </c>
      <c r="K110" s="148">
        <v>0</v>
      </c>
      <c r="L110" s="148">
        <v>0</v>
      </c>
      <c r="M110" s="148">
        <v>0</v>
      </c>
      <c r="N110" s="184"/>
      <c r="O110" s="25"/>
    </row>
    <row r="111" spans="2:15" ht="12.75">
      <c r="B111" s="21"/>
      <c r="C111" s="173"/>
      <c r="D111" s="174"/>
      <c r="E111" s="189"/>
      <c r="F111" s="190"/>
      <c r="G111" s="190"/>
      <c r="H111" s="191"/>
      <c r="I111" s="54"/>
      <c r="J111" s="148">
        <v>0</v>
      </c>
      <c r="K111" s="148">
        <v>0</v>
      </c>
      <c r="L111" s="148">
        <v>0</v>
      </c>
      <c r="M111" s="148">
        <v>0</v>
      </c>
      <c r="N111" s="184"/>
      <c r="O111" s="25"/>
    </row>
    <row r="112" spans="2:15" ht="12.75">
      <c r="B112" s="21"/>
      <c r="C112" s="173"/>
      <c r="D112" s="179"/>
      <c r="E112" s="192"/>
      <c r="F112" s="193"/>
      <c r="G112" s="193"/>
      <c r="H112" s="194"/>
      <c r="I112" s="54"/>
      <c r="J112" s="148">
        <v>0</v>
      </c>
      <c r="K112" s="148">
        <v>0</v>
      </c>
      <c r="L112" s="148">
        <v>0</v>
      </c>
      <c r="M112" s="148">
        <v>0</v>
      </c>
      <c r="N112" s="184"/>
      <c r="O112" s="25"/>
    </row>
    <row r="113" spans="2:15" ht="12.75">
      <c r="B113" s="21"/>
      <c r="C113" s="54"/>
      <c r="D113" s="52"/>
      <c r="E113" s="52"/>
      <c r="F113" s="167"/>
      <c r="G113" s="167"/>
      <c r="H113" s="51"/>
      <c r="I113" s="57"/>
      <c r="J113" s="177">
        <f>SUM(J108:J112)</f>
        <v>0</v>
      </c>
      <c r="K113" s="177">
        <f>SUM(K108:K112)</f>
        <v>0</v>
      </c>
      <c r="L113" s="177">
        <f>SUM(L108:L112)</f>
        <v>0</v>
      </c>
      <c r="M113" s="177">
        <f>SUM(M108:M112)</f>
        <v>0</v>
      </c>
      <c r="N113" s="184"/>
      <c r="O113" s="25"/>
    </row>
    <row r="114" spans="2:15" ht="12.75">
      <c r="B114" s="21"/>
      <c r="C114" s="54"/>
      <c r="D114" s="57"/>
      <c r="E114" s="57"/>
      <c r="F114" s="169"/>
      <c r="G114" s="169"/>
      <c r="H114" s="56"/>
      <c r="I114" s="57"/>
      <c r="J114" s="170"/>
      <c r="K114" s="170"/>
      <c r="L114" s="170"/>
      <c r="M114" s="170"/>
      <c r="N114" s="184"/>
      <c r="O114" s="25"/>
    </row>
    <row r="115" spans="2:15" ht="12.75">
      <c r="B115" s="21"/>
      <c r="C115" s="54"/>
      <c r="D115" s="70" t="s">
        <v>219</v>
      </c>
      <c r="E115" s="57"/>
      <c r="F115" s="169"/>
      <c r="G115" s="169"/>
      <c r="H115" s="56"/>
      <c r="I115" s="57"/>
      <c r="J115" s="180">
        <f>J106-J113</f>
        <v>0</v>
      </c>
      <c r="K115" s="180">
        <f>K106-K113</f>
        <v>0</v>
      </c>
      <c r="L115" s="180">
        <f>L106-L113</f>
        <v>0</v>
      </c>
      <c r="M115" s="180">
        <f>M106-M113</f>
        <v>0</v>
      </c>
      <c r="N115" s="184"/>
      <c r="O115" s="25"/>
    </row>
    <row r="116" spans="2:15" ht="12.75">
      <c r="B116" s="21"/>
      <c r="C116" s="54"/>
      <c r="D116" s="61"/>
      <c r="E116" s="57"/>
      <c r="F116" s="169"/>
      <c r="G116" s="169"/>
      <c r="H116" s="56"/>
      <c r="I116" s="57"/>
      <c r="J116" s="170"/>
      <c r="K116" s="170"/>
      <c r="L116" s="170"/>
      <c r="M116" s="170"/>
      <c r="N116" s="184"/>
      <c r="O116" s="25"/>
    </row>
    <row r="117" spans="2:15" ht="12.75">
      <c r="B117" s="21"/>
      <c r="C117" s="54"/>
      <c r="D117" s="61"/>
      <c r="E117" s="57"/>
      <c r="F117" s="169"/>
      <c r="G117" s="169"/>
      <c r="H117" s="56"/>
      <c r="I117" s="57"/>
      <c r="J117" s="170"/>
      <c r="K117" s="170"/>
      <c r="L117" s="170"/>
      <c r="M117" s="170"/>
      <c r="N117" s="184"/>
      <c r="O117" s="25"/>
    </row>
    <row r="118" spans="2:15" ht="12.75">
      <c r="B118" s="21"/>
      <c r="C118" s="54"/>
      <c r="D118" s="61" t="s">
        <v>23</v>
      </c>
      <c r="E118" s="57"/>
      <c r="F118" s="169"/>
      <c r="G118" s="169"/>
      <c r="H118" s="56"/>
      <c r="I118" s="57"/>
      <c r="J118" s="181">
        <f>J88-J115</f>
        <v>163998.95</v>
      </c>
      <c r="K118" s="181">
        <f>K88-K115</f>
        <v>163998.95</v>
      </c>
      <c r="L118" s="181">
        <f>L88-L115</f>
        <v>163998.95</v>
      </c>
      <c r="M118" s="181">
        <f>M88-M115</f>
        <v>163998.95</v>
      </c>
      <c r="N118" s="184"/>
      <c r="O118" s="25"/>
    </row>
    <row r="119" spans="2:15" ht="12.75">
      <c r="B119" s="21"/>
      <c r="C119" s="71"/>
      <c r="D119" s="146"/>
      <c r="E119" s="75"/>
      <c r="F119" s="172"/>
      <c r="G119" s="172"/>
      <c r="H119" s="74"/>
      <c r="I119" s="75"/>
      <c r="J119" s="75"/>
      <c r="K119" s="182"/>
      <c r="L119" s="182"/>
      <c r="M119" s="182"/>
      <c r="N119" s="185"/>
      <c r="O119" s="25"/>
    </row>
    <row r="120" spans="2:15" ht="12.75">
      <c r="B120" s="21"/>
      <c r="C120" s="24"/>
      <c r="D120" s="22"/>
      <c r="E120" s="22"/>
      <c r="F120" s="24"/>
      <c r="G120" s="22"/>
      <c r="H120" s="22"/>
      <c r="I120" s="22"/>
      <c r="J120" s="111"/>
      <c r="K120" s="111"/>
      <c r="L120" s="111"/>
      <c r="M120" s="111"/>
      <c r="N120" s="22"/>
      <c r="O120" s="25"/>
    </row>
    <row r="121" spans="2:15" ht="12.75">
      <c r="B121" s="21"/>
      <c r="C121" s="125"/>
      <c r="D121" s="52"/>
      <c r="E121" s="52"/>
      <c r="F121" s="51"/>
      <c r="G121" s="52"/>
      <c r="H121" s="52"/>
      <c r="I121" s="52"/>
      <c r="J121" s="117"/>
      <c r="K121" s="117"/>
      <c r="L121" s="117"/>
      <c r="M121" s="117"/>
      <c r="N121" s="53"/>
      <c r="O121" s="25"/>
    </row>
    <row r="122" spans="2:15" ht="12.75">
      <c r="B122" s="21"/>
      <c r="C122" s="121"/>
      <c r="D122" s="147" t="s">
        <v>157</v>
      </c>
      <c r="E122" s="61"/>
      <c r="F122" s="62"/>
      <c r="G122" s="61"/>
      <c r="H122" s="57"/>
      <c r="I122" s="61"/>
      <c r="J122" s="119"/>
      <c r="K122" s="119"/>
      <c r="L122" s="119"/>
      <c r="M122" s="119"/>
      <c r="N122" s="59"/>
      <c r="O122" s="25"/>
    </row>
    <row r="123" spans="2:15" ht="12.75">
      <c r="B123" s="21"/>
      <c r="C123" s="121"/>
      <c r="D123" s="61"/>
      <c r="E123" s="61"/>
      <c r="F123" s="62"/>
      <c r="G123" s="61"/>
      <c r="H123" s="57"/>
      <c r="I123" s="61"/>
      <c r="J123" s="119"/>
      <c r="K123" s="119"/>
      <c r="L123" s="119"/>
      <c r="M123" s="119"/>
      <c r="N123" s="59"/>
      <c r="O123" s="25"/>
    </row>
    <row r="124" spans="2:15" ht="12.75">
      <c r="B124" s="21"/>
      <c r="C124" s="121"/>
      <c r="D124" s="77" t="s">
        <v>158</v>
      </c>
      <c r="E124" s="57"/>
      <c r="F124" s="56"/>
      <c r="G124" s="57"/>
      <c r="H124" s="57"/>
      <c r="I124" s="57"/>
      <c r="J124" s="145">
        <v>0</v>
      </c>
      <c r="K124" s="145">
        <f aca="true" t="shared" si="0" ref="K124:M130">J124</f>
        <v>0</v>
      </c>
      <c r="L124" s="145">
        <f t="shared" si="0"/>
        <v>0</v>
      </c>
      <c r="M124" s="145">
        <f t="shared" si="0"/>
        <v>0</v>
      </c>
      <c r="N124" s="59"/>
      <c r="O124" s="25"/>
    </row>
    <row r="125" spans="2:15" ht="12.75">
      <c r="B125" s="21"/>
      <c r="C125" s="121"/>
      <c r="D125" s="77"/>
      <c r="E125" s="57"/>
      <c r="F125" s="56"/>
      <c r="G125" s="57"/>
      <c r="H125" s="57"/>
      <c r="I125" s="57"/>
      <c r="J125" s="145">
        <v>0</v>
      </c>
      <c r="K125" s="145">
        <f t="shared" si="0"/>
        <v>0</v>
      </c>
      <c r="L125" s="145">
        <f t="shared" si="0"/>
        <v>0</v>
      </c>
      <c r="M125" s="145">
        <f t="shared" si="0"/>
        <v>0</v>
      </c>
      <c r="N125" s="59"/>
      <c r="O125" s="25"/>
    </row>
    <row r="126" spans="2:15" ht="12.75">
      <c r="B126" s="21"/>
      <c r="C126" s="121"/>
      <c r="D126" s="77"/>
      <c r="E126" s="57"/>
      <c r="F126" s="56"/>
      <c r="G126" s="57"/>
      <c r="H126" s="57"/>
      <c r="I126" s="57"/>
      <c r="J126" s="145">
        <v>0</v>
      </c>
      <c r="K126" s="145">
        <f t="shared" si="0"/>
        <v>0</v>
      </c>
      <c r="L126" s="145">
        <f t="shared" si="0"/>
        <v>0</v>
      </c>
      <c r="M126" s="145">
        <f t="shared" si="0"/>
        <v>0</v>
      </c>
      <c r="N126" s="59"/>
      <c r="O126" s="25"/>
    </row>
    <row r="127" spans="2:15" ht="12.75">
      <c r="B127" s="21"/>
      <c r="C127" s="121"/>
      <c r="D127" s="77"/>
      <c r="E127" s="57"/>
      <c r="F127" s="56"/>
      <c r="G127" s="57"/>
      <c r="H127" s="57"/>
      <c r="I127" s="57"/>
      <c r="J127" s="145">
        <v>0</v>
      </c>
      <c r="K127" s="145">
        <f t="shared" si="0"/>
        <v>0</v>
      </c>
      <c r="L127" s="145">
        <f t="shared" si="0"/>
        <v>0</v>
      </c>
      <c r="M127" s="145">
        <f t="shared" si="0"/>
        <v>0</v>
      </c>
      <c r="N127" s="59"/>
      <c r="O127" s="25"/>
    </row>
    <row r="128" spans="2:15" ht="12.75">
      <c r="B128" s="21"/>
      <c r="C128" s="121"/>
      <c r="D128" s="77"/>
      <c r="E128" s="57"/>
      <c r="F128" s="56"/>
      <c r="G128" s="57"/>
      <c r="H128" s="57"/>
      <c r="I128" s="57"/>
      <c r="J128" s="145">
        <v>0</v>
      </c>
      <c r="K128" s="145">
        <f t="shared" si="0"/>
        <v>0</v>
      </c>
      <c r="L128" s="145">
        <f t="shared" si="0"/>
        <v>0</v>
      </c>
      <c r="M128" s="145">
        <f t="shared" si="0"/>
        <v>0</v>
      </c>
      <c r="N128" s="59"/>
      <c r="O128" s="25"/>
    </row>
    <row r="129" spans="2:15" ht="12.75">
      <c r="B129" s="21"/>
      <c r="C129" s="121"/>
      <c r="D129" s="77"/>
      <c r="E129" s="57"/>
      <c r="F129" s="56"/>
      <c r="G129" s="57"/>
      <c r="H129" s="57"/>
      <c r="I129" s="57"/>
      <c r="J129" s="145">
        <v>0</v>
      </c>
      <c r="K129" s="145">
        <f t="shared" si="0"/>
        <v>0</v>
      </c>
      <c r="L129" s="145">
        <f t="shared" si="0"/>
        <v>0</v>
      </c>
      <c r="M129" s="145">
        <f t="shared" si="0"/>
        <v>0</v>
      </c>
      <c r="N129" s="59"/>
      <c r="O129" s="25"/>
    </row>
    <row r="130" spans="2:15" ht="12.75">
      <c r="B130" s="21"/>
      <c r="C130" s="121"/>
      <c r="D130" s="77"/>
      <c r="E130" s="57"/>
      <c r="F130" s="56"/>
      <c r="G130" s="57"/>
      <c r="H130" s="57"/>
      <c r="I130" s="57"/>
      <c r="J130" s="145">
        <v>0</v>
      </c>
      <c r="K130" s="145">
        <f t="shared" si="0"/>
        <v>0</v>
      </c>
      <c r="L130" s="145">
        <f t="shared" si="0"/>
        <v>0</v>
      </c>
      <c r="M130" s="145">
        <f t="shared" si="0"/>
        <v>0</v>
      </c>
      <c r="N130" s="59"/>
      <c r="O130" s="25"/>
    </row>
    <row r="131" spans="2:15" ht="12.75">
      <c r="B131" s="21"/>
      <c r="C131" s="121"/>
      <c r="D131" s="57"/>
      <c r="E131" s="57"/>
      <c r="F131" s="56"/>
      <c r="G131" s="57"/>
      <c r="H131" s="57"/>
      <c r="I131" s="57"/>
      <c r="J131" s="120"/>
      <c r="K131" s="120"/>
      <c r="L131" s="120"/>
      <c r="M131" s="120"/>
      <c r="N131" s="59"/>
      <c r="O131" s="25"/>
    </row>
    <row r="132" spans="2:15" ht="12.75">
      <c r="B132" s="21"/>
      <c r="C132" s="121"/>
      <c r="D132" s="61" t="s">
        <v>23</v>
      </c>
      <c r="E132" s="61"/>
      <c r="F132" s="62"/>
      <c r="G132" s="61"/>
      <c r="H132" s="60"/>
      <c r="I132" s="61"/>
      <c r="J132" s="144">
        <f>SUM(J124:J130)</f>
        <v>0</v>
      </c>
      <c r="K132" s="144">
        <f>SUM(K124:K130)</f>
        <v>0</v>
      </c>
      <c r="L132" s="144">
        <f>SUM(L124:L130)</f>
        <v>0</v>
      </c>
      <c r="M132" s="144">
        <f>SUM(M124:M130)</f>
        <v>0</v>
      </c>
      <c r="N132" s="59"/>
      <c r="O132" s="25"/>
    </row>
    <row r="133" spans="2:15" ht="12.75">
      <c r="B133" s="21"/>
      <c r="C133" s="126"/>
      <c r="D133" s="146"/>
      <c r="E133" s="146"/>
      <c r="F133" s="87"/>
      <c r="G133" s="146"/>
      <c r="H133" s="75"/>
      <c r="I133" s="146"/>
      <c r="J133" s="124"/>
      <c r="K133" s="124"/>
      <c r="L133" s="124"/>
      <c r="M133" s="124"/>
      <c r="N133" s="76"/>
      <c r="O133" s="25"/>
    </row>
    <row r="134" spans="2:15" ht="12.75">
      <c r="B134" s="21"/>
      <c r="C134" s="24"/>
      <c r="D134" s="38"/>
      <c r="E134" s="38"/>
      <c r="F134" s="39"/>
      <c r="G134" s="38"/>
      <c r="H134" s="22"/>
      <c r="I134" s="38"/>
      <c r="J134" s="111"/>
      <c r="K134" s="111"/>
      <c r="L134" s="111"/>
      <c r="M134" s="111"/>
      <c r="N134" s="22"/>
      <c r="O134" s="25"/>
    </row>
    <row r="135" spans="2:15" ht="12.75">
      <c r="B135" s="21"/>
      <c r="C135" s="125"/>
      <c r="D135" s="129"/>
      <c r="E135" s="129"/>
      <c r="F135" s="88"/>
      <c r="G135" s="129"/>
      <c r="H135" s="52"/>
      <c r="I135" s="129"/>
      <c r="J135" s="117"/>
      <c r="K135" s="117"/>
      <c r="L135" s="117"/>
      <c r="M135" s="117"/>
      <c r="N135" s="53"/>
      <c r="O135" s="25"/>
    </row>
    <row r="136" spans="2:15" ht="12.75">
      <c r="B136" s="21"/>
      <c r="C136" s="121"/>
      <c r="D136" s="147" t="s">
        <v>159</v>
      </c>
      <c r="E136" s="61"/>
      <c r="F136" s="62"/>
      <c r="G136" s="61"/>
      <c r="H136" s="57"/>
      <c r="I136" s="61"/>
      <c r="J136" s="119"/>
      <c r="K136" s="119"/>
      <c r="L136" s="119"/>
      <c r="M136" s="119"/>
      <c r="N136" s="59"/>
      <c r="O136" s="25"/>
    </row>
    <row r="137" spans="2:15" ht="12.75">
      <c r="B137" s="21"/>
      <c r="C137" s="121"/>
      <c r="D137" s="61"/>
      <c r="E137" s="61"/>
      <c r="F137" s="62"/>
      <c r="G137" s="61"/>
      <c r="H137" s="57"/>
      <c r="I137" s="61"/>
      <c r="J137" s="119"/>
      <c r="K137" s="119"/>
      <c r="L137" s="119"/>
      <c r="M137" s="119"/>
      <c r="N137" s="59"/>
      <c r="O137" s="25"/>
    </row>
    <row r="138" spans="2:15" ht="12.75">
      <c r="B138" s="21"/>
      <c r="C138" s="121"/>
      <c r="D138" s="77" t="s">
        <v>160</v>
      </c>
      <c r="E138" s="57"/>
      <c r="F138" s="56"/>
      <c r="G138" s="57"/>
      <c r="H138" s="57"/>
      <c r="I138" s="57"/>
      <c r="J138" s="145">
        <v>0</v>
      </c>
      <c r="K138" s="145">
        <f aca="true" t="shared" si="1" ref="K138:M144">J138</f>
        <v>0</v>
      </c>
      <c r="L138" s="145">
        <f t="shared" si="1"/>
        <v>0</v>
      </c>
      <c r="M138" s="145">
        <f t="shared" si="1"/>
        <v>0</v>
      </c>
      <c r="N138" s="59"/>
      <c r="O138" s="25"/>
    </row>
    <row r="139" spans="2:15" ht="12.75">
      <c r="B139" s="21"/>
      <c r="C139" s="121"/>
      <c r="D139" s="77" t="s">
        <v>161</v>
      </c>
      <c r="E139" s="57"/>
      <c r="F139" s="56"/>
      <c r="G139" s="57"/>
      <c r="H139" s="57"/>
      <c r="I139" s="57"/>
      <c r="J139" s="145">
        <v>0</v>
      </c>
      <c r="K139" s="145">
        <f t="shared" si="1"/>
        <v>0</v>
      </c>
      <c r="L139" s="145">
        <f t="shared" si="1"/>
        <v>0</v>
      </c>
      <c r="M139" s="145">
        <f t="shared" si="1"/>
        <v>0</v>
      </c>
      <c r="N139" s="59"/>
      <c r="O139" s="25"/>
    </row>
    <row r="140" spans="2:15" ht="12.75">
      <c r="B140" s="21"/>
      <c r="C140" s="121"/>
      <c r="D140" s="77" t="s">
        <v>162</v>
      </c>
      <c r="E140" s="57"/>
      <c r="F140" s="56"/>
      <c r="G140" s="57"/>
      <c r="H140" s="57"/>
      <c r="I140" s="57"/>
      <c r="J140" s="145">
        <v>0</v>
      </c>
      <c r="K140" s="145">
        <f t="shared" si="1"/>
        <v>0</v>
      </c>
      <c r="L140" s="145">
        <f t="shared" si="1"/>
        <v>0</v>
      </c>
      <c r="M140" s="145">
        <f t="shared" si="1"/>
        <v>0</v>
      </c>
      <c r="N140" s="59"/>
      <c r="O140" s="25"/>
    </row>
    <row r="141" spans="2:15" ht="12.75">
      <c r="B141" s="21"/>
      <c r="C141" s="121"/>
      <c r="D141" s="77" t="s">
        <v>163</v>
      </c>
      <c r="E141" s="57"/>
      <c r="F141" s="56"/>
      <c r="G141" s="57"/>
      <c r="H141" s="57"/>
      <c r="I141" s="57"/>
      <c r="J141" s="145">
        <v>0</v>
      </c>
      <c r="K141" s="145">
        <f t="shared" si="1"/>
        <v>0</v>
      </c>
      <c r="L141" s="145">
        <f t="shared" si="1"/>
        <v>0</v>
      </c>
      <c r="M141" s="145">
        <f t="shared" si="1"/>
        <v>0</v>
      </c>
      <c r="N141" s="59"/>
      <c r="O141" s="25"/>
    </row>
    <row r="142" spans="2:15" ht="12.75">
      <c r="B142" s="21"/>
      <c r="C142" s="121"/>
      <c r="D142" s="77" t="s">
        <v>164</v>
      </c>
      <c r="E142" s="57"/>
      <c r="F142" s="56"/>
      <c r="G142" s="57"/>
      <c r="H142" s="57"/>
      <c r="I142" s="57"/>
      <c r="J142" s="145">
        <v>0</v>
      </c>
      <c r="K142" s="145">
        <f t="shared" si="1"/>
        <v>0</v>
      </c>
      <c r="L142" s="145">
        <f t="shared" si="1"/>
        <v>0</v>
      </c>
      <c r="M142" s="145">
        <f t="shared" si="1"/>
        <v>0</v>
      </c>
      <c r="N142" s="59"/>
      <c r="O142" s="25"/>
    </row>
    <row r="143" spans="2:15" ht="12.75">
      <c r="B143" s="21"/>
      <c r="C143" s="121"/>
      <c r="D143" s="77"/>
      <c r="E143" s="57"/>
      <c r="F143" s="56"/>
      <c r="G143" s="57"/>
      <c r="H143" s="57"/>
      <c r="I143" s="57"/>
      <c r="J143" s="145">
        <v>0</v>
      </c>
      <c r="K143" s="145">
        <f t="shared" si="1"/>
        <v>0</v>
      </c>
      <c r="L143" s="145">
        <f t="shared" si="1"/>
        <v>0</v>
      </c>
      <c r="M143" s="145">
        <f t="shared" si="1"/>
        <v>0</v>
      </c>
      <c r="N143" s="59"/>
      <c r="O143" s="25"/>
    </row>
    <row r="144" spans="2:15" ht="12.75">
      <c r="B144" s="21"/>
      <c r="C144" s="121"/>
      <c r="D144" s="77"/>
      <c r="E144" s="57"/>
      <c r="F144" s="56"/>
      <c r="G144" s="57"/>
      <c r="H144" s="57"/>
      <c r="I144" s="57"/>
      <c r="J144" s="145">
        <v>0</v>
      </c>
      <c r="K144" s="145">
        <f t="shared" si="1"/>
        <v>0</v>
      </c>
      <c r="L144" s="145">
        <f t="shared" si="1"/>
        <v>0</v>
      </c>
      <c r="M144" s="145">
        <f t="shared" si="1"/>
        <v>0</v>
      </c>
      <c r="N144" s="59"/>
      <c r="O144" s="25"/>
    </row>
    <row r="145" spans="2:15" ht="12.75">
      <c r="B145" s="21"/>
      <c r="C145" s="121"/>
      <c r="D145" s="57"/>
      <c r="E145" s="57"/>
      <c r="F145" s="56"/>
      <c r="G145" s="57"/>
      <c r="H145" s="57"/>
      <c r="I145" s="57"/>
      <c r="J145" s="120"/>
      <c r="K145" s="120"/>
      <c r="L145" s="120"/>
      <c r="M145" s="120"/>
      <c r="N145" s="59"/>
      <c r="O145" s="25"/>
    </row>
    <row r="146" spans="2:15" ht="12.75">
      <c r="B146" s="21"/>
      <c r="C146" s="121"/>
      <c r="D146" s="61" t="s">
        <v>23</v>
      </c>
      <c r="E146" s="60"/>
      <c r="F146" s="62"/>
      <c r="G146" s="60"/>
      <c r="H146" s="60"/>
      <c r="I146" s="60"/>
      <c r="J146" s="144">
        <f>SUM(J138:J144)</f>
        <v>0</v>
      </c>
      <c r="K146" s="144">
        <f>SUM(K138:K144)</f>
        <v>0</v>
      </c>
      <c r="L146" s="144">
        <f>SUM(L138:L144)</f>
        <v>0</v>
      </c>
      <c r="M146" s="144">
        <f>SUM(M138:M144)</f>
        <v>0</v>
      </c>
      <c r="N146" s="59"/>
      <c r="O146" s="25"/>
    </row>
    <row r="147" spans="2:15" ht="12.75">
      <c r="B147" s="21"/>
      <c r="C147" s="126"/>
      <c r="D147" s="75"/>
      <c r="E147" s="75"/>
      <c r="F147" s="74"/>
      <c r="G147" s="75"/>
      <c r="H147" s="75"/>
      <c r="I147" s="75"/>
      <c r="J147" s="124"/>
      <c r="K147" s="124"/>
      <c r="L147" s="124"/>
      <c r="M147" s="124"/>
      <c r="N147" s="76"/>
      <c r="O147" s="25"/>
    </row>
    <row r="148" spans="2:15" ht="12.75">
      <c r="B148" s="21"/>
      <c r="C148" s="24"/>
      <c r="D148" s="22"/>
      <c r="E148" s="22"/>
      <c r="F148" s="24"/>
      <c r="G148" s="22"/>
      <c r="H148" s="22"/>
      <c r="I148" s="22"/>
      <c r="J148" s="111"/>
      <c r="K148" s="111"/>
      <c r="L148" s="111"/>
      <c r="M148" s="111"/>
      <c r="N148" s="22"/>
      <c r="O148" s="25"/>
    </row>
    <row r="149" spans="2:15" ht="12.75">
      <c r="B149" s="21"/>
      <c r="C149" s="24"/>
      <c r="D149" s="22"/>
      <c r="E149" s="22"/>
      <c r="F149" s="24"/>
      <c r="G149" s="22"/>
      <c r="H149" s="22"/>
      <c r="I149" s="22"/>
      <c r="J149" s="111"/>
      <c r="K149" s="111"/>
      <c r="L149" s="111"/>
      <c r="M149" s="111"/>
      <c r="N149" s="22"/>
      <c r="O149" s="25"/>
    </row>
    <row r="150" spans="2:15" ht="12.75">
      <c r="B150" s="21"/>
      <c r="C150" s="125"/>
      <c r="D150" s="52"/>
      <c r="E150" s="52"/>
      <c r="F150" s="51"/>
      <c r="G150" s="52"/>
      <c r="H150" s="52"/>
      <c r="I150" s="52"/>
      <c r="J150" s="117"/>
      <c r="K150" s="117"/>
      <c r="L150" s="117"/>
      <c r="M150" s="117"/>
      <c r="N150" s="53"/>
      <c r="O150" s="25"/>
    </row>
    <row r="151" spans="2:15" ht="12.75">
      <c r="B151" s="21"/>
      <c r="C151" s="121"/>
      <c r="D151" s="61" t="s">
        <v>211</v>
      </c>
      <c r="E151" s="61"/>
      <c r="F151" s="62"/>
      <c r="G151" s="61"/>
      <c r="H151" s="57"/>
      <c r="I151" s="61"/>
      <c r="J151" s="144">
        <f>+J88+J132+J146</f>
        <v>163998.95</v>
      </c>
      <c r="K151" s="144">
        <f>+K88+K132+K146</f>
        <v>163998.95</v>
      </c>
      <c r="L151" s="144">
        <f>+L88+L132+L146</f>
        <v>163998.95</v>
      </c>
      <c r="M151" s="144">
        <f>+M88+M132+M146</f>
        <v>163998.95</v>
      </c>
      <c r="N151" s="59"/>
      <c r="O151" s="25"/>
    </row>
    <row r="152" spans="2:15" ht="12.75">
      <c r="B152" s="21"/>
      <c r="C152" s="126"/>
      <c r="D152" s="146"/>
      <c r="E152" s="146"/>
      <c r="F152" s="87"/>
      <c r="G152" s="146"/>
      <c r="H152" s="75"/>
      <c r="I152" s="146"/>
      <c r="J152" s="164"/>
      <c r="K152" s="164"/>
      <c r="L152" s="164"/>
      <c r="M152" s="164"/>
      <c r="N152" s="76"/>
      <c r="O152" s="25"/>
    </row>
    <row r="153" spans="2:15" ht="12.75">
      <c r="B153" s="21"/>
      <c r="C153" s="24"/>
      <c r="D153" s="22"/>
      <c r="E153" s="22"/>
      <c r="F153" s="24"/>
      <c r="G153" s="22"/>
      <c r="H153" s="22"/>
      <c r="I153" s="22"/>
      <c r="J153" s="111"/>
      <c r="K153" s="111"/>
      <c r="L153" s="111"/>
      <c r="M153" s="111"/>
      <c r="N153" s="22"/>
      <c r="O153" s="25"/>
    </row>
    <row r="154" spans="2:15" ht="12.75">
      <c r="B154" s="21"/>
      <c r="C154" s="24"/>
      <c r="D154" s="22"/>
      <c r="E154" s="22"/>
      <c r="F154" s="24"/>
      <c r="G154" s="22"/>
      <c r="H154" s="22"/>
      <c r="I154" s="22"/>
      <c r="J154" s="24"/>
      <c r="K154" s="24"/>
      <c r="L154" s="24"/>
      <c r="M154" s="24"/>
      <c r="N154" s="22"/>
      <c r="O154" s="25"/>
    </row>
    <row r="155" spans="2:15" ht="12.75">
      <c r="B155" s="96"/>
      <c r="C155" s="100"/>
      <c r="D155" s="97"/>
      <c r="E155" s="97"/>
      <c r="F155" s="100"/>
      <c r="G155" s="97"/>
      <c r="H155" s="97"/>
      <c r="I155" s="97"/>
      <c r="J155" s="100"/>
      <c r="K155" s="100"/>
      <c r="L155" s="100"/>
      <c r="M155" s="100"/>
      <c r="N155" s="237" t="s">
        <v>230</v>
      </c>
      <c r="O155" s="101"/>
    </row>
    <row r="162" ht="12.75">
      <c r="D162" s="102" t="s">
        <v>113</v>
      </c>
    </row>
    <row r="163" ht="12.75">
      <c r="D163" s="102" t="s">
        <v>102</v>
      </c>
    </row>
  </sheetData>
  <sheetProtection password="DFB1" sheet="1" objects="1" scenarios="1"/>
  <printOptions gridLines="1"/>
  <pageMargins left="0.75" right="0.75" top="1" bottom="1" header="0.5" footer="0.5"/>
  <pageSetup horizontalDpi="600" verticalDpi="600" orientation="portrait" paperSize="9" scale="60" r:id="rId4"/>
  <headerFooter alignWithMargins="0">
    <oddHeader>&amp;L&amp;"Arial,Vet"&amp;F&amp;R&amp;"Arial,Vet"&amp;A</oddHeader>
    <oddFooter>&amp;L&amp;"Arial,Vet"&amp;9goedhart / keizer&amp;C&amp;"Arial,Vet"&amp;9&amp;D&amp;R&amp;"Arial,Vet"&amp;9pagina &amp;P</oddFooter>
  </headerFooter>
  <rowBreaks count="1" manualBreakCount="1">
    <brk id="92" min="1" max="14" man="1"/>
  </rowBreaks>
  <drawing r:id="rId3"/>
  <legacyDrawing r:id="rId2"/>
</worksheet>
</file>

<file path=xl/worksheets/sheet8.xml><?xml version="1.0" encoding="utf-8"?>
<worksheet xmlns="http://schemas.openxmlformats.org/spreadsheetml/2006/main" xmlns:r="http://schemas.openxmlformats.org/officeDocument/2006/relationships">
  <dimension ref="A2:BB202"/>
  <sheetViews>
    <sheetView zoomScale="85" zoomScaleNormal="85" zoomScaleSheetLayoutView="70" zoomScalePageLayoutView="0" workbookViewId="0" topLeftCell="A1">
      <selection activeCell="A1" sqref="A1"/>
    </sheetView>
  </sheetViews>
  <sheetFormatPr defaultColWidth="9.140625" defaultRowHeight="12" customHeight="1"/>
  <cols>
    <col min="1" max="1" width="12.57421875" style="200" customWidth="1"/>
    <col min="2" max="3" width="6.57421875" style="201" customWidth="1"/>
    <col min="4" max="4" width="12.8515625" style="201" customWidth="1"/>
    <col min="5" max="47" width="12.7109375" style="201" customWidth="1"/>
    <col min="48" max="48" width="2.00390625" style="201" customWidth="1"/>
    <col min="49" max="50" width="9.7109375" style="201" customWidth="1"/>
    <col min="51" max="51" width="1.7109375" style="201" customWidth="1"/>
    <col min="52" max="52" width="8.7109375" style="201" customWidth="1"/>
    <col min="53" max="53" width="10.7109375" style="201" customWidth="1"/>
    <col min="54" max="54" width="9.28125" style="201" bestFit="1" customWidth="1"/>
    <col min="55" max="16384" width="9.140625" style="201" customWidth="1"/>
  </cols>
  <sheetData>
    <row r="2" spans="1:2" s="1" customFormat="1" ht="12" customHeight="1">
      <c r="A2" s="1" t="s">
        <v>153</v>
      </c>
      <c r="B2" s="288">
        <v>2011</v>
      </c>
    </row>
    <row r="4" spans="5:51" ht="12" customHeight="1">
      <c r="E4" s="261" t="s">
        <v>57</v>
      </c>
      <c r="F4" s="261"/>
      <c r="G4" s="261"/>
      <c r="H4" s="261"/>
      <c r="I4" s="261"/>
      <c r="J4" s="261"/>
      <c r="K4" s="261"/>
      <c r="L4" s="261"/>
      <c r="M4" s="202"/>
      <c r="N4" s="202"/>
      <c r="O4" s="202"/>
      <c r="P4" s="202"/>
      <c r="Q4" s="202"/>
      <c r="R4" s="262" t="s">
        <v>58</v>
      </c>
      <c r="AJ4" s="273">
        <v>2438.05</v>
      </c>
      <c r="AK4" s="263"/>
      <c r="AL4" s="263"/>
      <c r="AM4" s="263"/>
      <c r="AN4" s="273">
        <v>468.47</v>
      </c>
      <c r="AO4" s="263"/>
      <c r="AP4" s="273">
        <v>4233.92</v>
      </c>
      <c r="AQ4" s="263"/>
      <c r="AR4" s="263"/>
      <c r="AS4" s="263"/>
      <c r="AT4" s="273">
        <v>2858.59</v>
      </c>
      <c r="AU4" s="203"/>
      <c r="AV4" s="203"/>
      <c r="AW4" s="208">
        <f>+R11+T11+V11+X11+Z11+AJ4+AN4+AP4+AT4</f>
        <v>11450.5</v>
      </c>
      <c r="AY4" s="202"/>
    </row>
    <row r="5" spans="1:46" s="205" customFormat="1" ht="12" customHeight="1">
      <c r="A5" s="204"/>
      <c r="C5" s="205" t="s">
        <v>45</v>
      </c>
      <c r="D5" s="238" t="s">
        <v>52</v>
      </c>
      <c r="E5" s="205" t="s">
        <v>53</v>
      </c>
      <c r="G5" s="205" t="s">
        <v>220</v>
      </c>
      <c r="H5" s="205" t="s">
        <v>222</v>
      </c>
      <c r="I5" s="205" t="s">
        <v>224</v>
      </c>
      <c r="J5" s="205" t="s">
        <v>54</v>
      </c>
      <c r="L5" s="205" t="s">
        <v>55</v>
      </c>
      <c r="N5" s="205" t="s">
        <v>56</v>
      </c>
      <c r="P5" s="205" t="s">
        <v>225</v>
      </c>
      <c r="R5" s="205" t="s">
        <v>59</v>
      </c>
      <c r="T5" s="205" t="s">
        <v>226</v>
      </c>
      <c r="V5" s="205" t="s">
        <v>60</v>
      </c>
      <c r="X5" s="205" t="s">
        <v>61</v>
      </c>
      <c r="Z5" s="205" t="s">
        <v>25</v>
      </c>
      <c r="AB5" s="205" t="s">
        <v>62</v>
      </c>
      <c r="AD5" s="205" t="s">
        <v>26</v>
      </c>
      <c r="AF5" s="205" t="s">
        <v>27</v>
      </c>
      <c r="AH5" s="205" t="s">
        <v>69</v>
      </c>
      <c r="AJ5" s="205" t="s">
        <v>29</v>
      </c>
      <c r="AL5" s="205" t="s">
        <v>63</v>
      </c>
      <c r="AN5" s="205" t="s">
        <v>30</v>
      </c>
      <c r="AP5" s="205" t="s">
        <v>31</v>
      </c>
      <c r="AR5" s="205" t="s">
        <v>32</v>
      </c>
      <c r="AT5" s="205" t="s">
        <v>44</v>
      </c>
    </row>
    <row r="6" spans="1:20" s="205" customFormat="1" ht="12" customHeight="1">
      <c r="A6" s="204"/>
      <c r="G6" s="205" t="s">
        <v>221</v>
      </c>
      <c r="H6" s="205" t="s">
        <v>223</v>
      </c>
      <c r="I6" s="205" t="s">
        <v>223</v>
      </c>
      <c r="T6" s="205" t="s">
        <v>59</v>
      </c>
    </row>
    <row r="7" s="205" customFormat="1" ht="12" customHeight="1">
      <c r="A7" s="204"/>
    </row>
    <row r="8" spans="4:50" ht="12" customHeight="1">
      <c r="D8" s="201" t="s">
        <v>28</v>
      </c>
      <c r="E8" s="201" t="s">
        <v>64</v>
      </c>
      <c r="F8" s="201" t="s">
        <v>65</v>
      </c>
      <c r="H8" s="201" t="s">
        <v>65</v>
      </c>
      <c r="I8" s="201" t="s">
        <v>65</v>
      </c>
      <c r="J8" s="201" t="s">
        <v>66</v>
      </c>
      <c r="K8" s="201" t="s">
        <v>65</v>
      </c>
      <c r="L8" s="201" t="s">
        <v>66</v>
      </c>
      <c r="M8" s="201" t="s">
        <v>65</v>
      </c>
      <c r="N8" s="201" t="s">
        <v>66</v>
      </c>
      <c r="O8" s="201" t="s">
        <v>65</v>
      </c>
      <c r="P8" s="201" t="s">
        <v>66</v>
      </c>
      <c r="Q8" s="201" t="s">
        <v>65</v>
      </c>
      <c r="R8" s="201" t="s">
        <v>4</v>
      </c>
      <c r="S8" s="201" t="s">
        <v>68</v>
      </c>
      <c r="T8" s="201" t="s">
        <v>4</v>
      </c>
      <c r="U8" s="201" t="s">
        <v>68</v>
      </c>
      <c r="V8" s="201" t="s">
        <v>4</v>
      </c>
      <c r="W8" s="201" t="s">
        <v>68</v>
      </c>
      <c r="X8" s="201" t="s">
        <v>4</v>
      </c>
      <c r="Y8" s="201" t="s">
        <v>68</v>
      </c>
      <c r="Z8" s="201" t="s">
        <v>4</v>
      </c>
      <c r="AA8" s="201" t="s">
        <v>68</v>
      </c>
      <c r="AB8" s="201" t="s">
        <v>4</v>
      </c>
      <c r="AC8" s="201" t="s">
        <v>68</v>
      </c>
      <c r="AD8" s="201" t="s">
        <v>4</v>
      </c>
      <c r="AE8" s="201" t="s">
        <v>68</v>
      </c>
      <c r="AF8" s="201" t="s">
        <v>4</v>
      </c>
      <c r="AG8" s="201" t="s">
        <v>68</v>
      </c>
      <c r="AH8" s="201" t="s">
        <v>4</v>
      </c>
      <c r="AI8" s="201" t="s">
        <v>68</v>
      </c>
      <c r="AJ8" s="201" t="s">
        <v>4</v>
      </c>
      <c r="AK8" s="201" t="s">
        <v>68</v>
      </c>
      <c r="AL8" s="201" t="s">
        <v>4</v>
      </c>
      <c r="AM8" s="201" t="s">
        <v>68</v>
      </c>
      <c r="AN8" s="201" t="s">
        <v>4</v>
      </c>
      <c r="AO8" s="201" t="s">
        <v>68</v>
      </c>
      <c r="AP8" s="201" t="s">
        <v>4</v>
      </c>
      <c r="AQ8" s="201" t="s">
        <v>68</v>
      </c>
      <c r="AR8" s="201" t="s">
        <v>4</v>
      </c>
      <c r="AS8" s="201" t="s">
        <v>68</v>
      </c>
      <c r="AT8" s="201" t="s">
        <v>4</v>
      </c>
      <c r="AU8" s="201" t="s">
        <v>68</v>
      </c>
      <c r="AW8" s="201" t="s">
        <v>4</v>
      </c>
      <c r="AX8" s="201" t="s">
        <v>68</v>
      </c>
    </row>
    <row r="9" spans="1:52" ht="12" customHeight="1">
      <c r="A9" s="200">
        <f aca="true" t="shared" si="0" ref="A9:A14">+E9+J9+L9+N9+P9</f>
        <v>0</v>
      </c>
      <c r="B9" s="206">
        <f aca="true" t="shared" si="1" ref="B9:B14">+F9+H9+I9+K9+M9+O9+Q9</f>
        <v>0</v>
      </c>
      <c r="C9" s="201">
        <v>1</v>
      </c>
      <c r="D9" s="201" t="s">
        <v>51</v>
      </c>
      <c r="E9" s="208">
        <v>0</v>
      </c>
      <c r="F9" s="208">
        <v>0</v>
      </c>
      <c r="G9" s="208">
        <v>0</v>
      </c>
      <c r="H9" s="208">
        <v>0</v>
      </c>
      <c r="I9" s="208">
        <v>0</v>
      </c>
      <c r="J9" s="208">
        <v>0</v>
      </c>
      <c r="K9" s="208">
        <v>0</v>
      </c>
      <c r="L9" s="208">
        <v>0</v>
      </c>
      <c r="M9" s="208">
        <v>0</v>
      </c>
      <c r="N9" s="208">
        <v>0</v>
      </c>
      <c r="O9" s="208">
        <v>0</v>
      </c>
      <c r="P9" s="208">
        <v>0</v>
      </c>
      <c r="Q9" s="208">
        <v>0</v>
      </c>
      <c r="R9" s="258">
        <v>89.02</v>
      </c>
      <c r="S9" s="258">
        <v>1.35</v>
      </c>
      <c r="T9" s="258">
        <v>89.02</v>
      </c>
      <c r="U9" s="258">
        <v>0.59</v>
      </c>
      <c r="V9" s="258">
        <v>46.85</v>
      </c>
      <c r="W9" s="258">
        <v>0.22</v>
      </c>
      <c r="X9" s="258">
        <v>56.73</v>
      </c>
      <c r="Y9" s="258">
        <v>5.1</v>
      </c>
      <c r="Z9" s="258">
        <v>1169.85</v>
      </c>
      <c r="AA9" s="258">
        <v>47.59</v>
      </c>
      <c r="AB9" s="258">
        <v>365.31</v>
      </c>
      <c r="AC9" s="258">
        <v>14.22</v>
      </c>
      <c r="AD9" s="258">
        <v>0</v>
      </c>
      <c r="AE9" s="258">
        <v>60.09</v>
      </c>
      <c r="AF9" s="258">
        <v>0</v>
      </c>
      <c r="AG9" s="258">
        <v>64.79</v>
      </c>
      <c r="AH9" s="258">
        <v>0</v>
      </c>
      <c r="AI9" s="258">
        <v>34.33</v>
      </c>
      <c r="AJ9" s="258">
        <v>5405</v>
      </c>
      <c r="AK9" s="258">
        <v>614.97</v>
      </c>
      <c r="AL9" s="258">
        <v>1733.84</v>
      </c>
      <c r="AM9" s="258">
        <v>122.9</v>
      </c>
      <c r="AN9" s="258">
        <v>821</v>
      </c>
      <c r="AO9" s="258">
        <v>43.2</v>
      </c>
      <c r="AP9" s="258">
        <v>4233.92</v>
      </c>
      <c r="AQ9" s="258">
        <v>117.16</v>
      </c>
      <c r="AR9" s="258">
        <v>183</v>
      </c>
      <c r="AS9" s="258">
        <v>20.01</v>
      </c>
      <c r="AT9" s="258">
        <v>2858.59</v>
      </c>
      <c r="AU9" s="258">
        <v>14.17</v>
      </c>
      <c r="AV9" s="200"/>
      <c r="AW9" s="271">
        <f>+AJ9+AN9+AR9</f>
        <v>6409</v>
      </c>
      <c r="AX9" s="271">
        <f>+S9+U9+W9+Y9+AA9+AE9+AG9+AI9+AK9+AO9+AQ9+AS9+AU9</f>
        <v>1023.5699999999999</v>
      </c>
      <c r="AZ9" s="201" t="s">
        <v>51</v>
      </c>
    </row>
    <row r="10" spans="1:52" ht="12" customHeight="1">
      <c r="A10" s="200">
        <f t="shared" si="0"/>
        <v>0</v>
      </c>
      <c r="B10" s="206">
        <f t="shared" si="1"/>
        <v>0</v>
      </c>
      <c r="D10" s="201" t="s">
        <v>46</v>
      </c>
      <c r="E10" s="208">
        <v>0</v>
      </c>
      <c r="F10" s="208">
        <v>0</v>
      </c>
      <c r="G10" s="208">
        <v>0</v>
      </c>
      <c r="H10" s="208">
        <v>0</v>
      </c>
      <c r="I10" s="208">
        <v>0</v>
      </c>
      <c r="J10" s="208">
        <v>0</v>
      </c>
      <c r="K10" s="208">
        <v>0</v>
      </c>
      <c r="L10" s="208">
        <v>0</v>
      </c>
      <c r="M10" s="208">
        <v>0</v>
      </c>
      <c r="N10" s="208">
        <v>0</v>
      </c>
      <c r="O10" s="208">
        <v>0</v>
      </c>
      <c r="P10" s="208">
        <v>0</v>
      </c>
      <c r="Q10" s="208">
        <v>0</v>
      </c>
      <c r="R10" s="258">
        <v>89.02</v>
      </c>
      <c r="S10" s="258">
        <v>1.35</v>
      </c>
      <c r="T10" s="258">
        <v>89.02</v>
      </c>
      <c r="U10" s="258">
        <v>0.59</v>
      </c>
      <c r="V10" s="258">
        <v>46.85</v>
      </c>
      <c r="W10" s="258">
        <v>0.22</v>
      </c>
      <c r="X10" s="258">
        <v>56.73</v>
      </c>
      <c r="Y10" s="258">
        <v>5.1</v>
      </c>
      <c r="Z10" s="258">
        <v>1169.85</v>
      </c>
      <c r="AA10" s="258">
        <v>47.59</v>
      </c>
      <c r="AB10" s="258">
        <v>365.31</v>
      </c>
      <c r="AC10" s="258">
        <v>14.22</v>
      </c>
      <c r="AD10" s="258">
        <v>0</v>
      </c>
      <c r="AE10" s="258">
        <v>60.09</v>
      </c>
      <c r="AF10" s="258">
        <v>0</v>
      </c>
      <c r="AG10" s="258">
        <v>64.79</v>
      </c>
      <c r="AH10" s="258">
        <v>0</v>
      </c>
      <c r="AI10" s="258">
        <v>34.33</v>
      </c>
      <c r="AJ10" s="258">
        <v>5405</v>
      </c>
      <c r="AK10" s="258">
        <v>614.97</v>
      </c>
      <c r="AL10" s="258">
        <v>1733.84</v>
      </c>
      <c r="AM10" s="258">
        <v>122.9</v>
      </c>
      <c r="AN10" s="258">
        <v>821</v>
      </c>
      <c r="AO10" s="258">
        <v>43.2</v>
      </c>
      <c r="AP10" s="258">
        <v>4233.92</v>
      </c>
      <c r="AQ10" s="258">
        <v>117.16</v>
      </c>
      <c r="AR10" s="258">
        <v>183</v>
      </c>
      <c r="AS10" s="258">
        <v>20.01</v>
      </c>
      <c r="AT10" s="258">
        <v>2858.59</v>
      </c>
      <c r="AU10" s="258">
        <v>14.17</v>
      </c>
      <c r="AV10" s="200"/>
      <c r="AW10" s="271">
        <f>+AJ10+AN10+AR10</f>
        <v>6409</v>
      </c>
      <c r="AX10" s="271">
        <f>+S10+U10+W10+Y10+AA10+AE10+AG10+AI10+AK10+AO10+AQ10+AS10+AU10</f>
        <v>1023.5699999999999</v>
      </c>
      <c r="AZ10" s="201" t="s">
        <v>46</v>
      </c>
    </row>
    <row r="11" spans="1:52" ht="12" customHeight="1">
      <c r="A11" s="200">
        <f t="shared" si="0"/>
        <v>2956.3999999999996</v>
      </c>
      <c r="B11" s="206">
        <f t="shared" si="1"/>
        <v>37.358</v>
      </c>
      <c r="C11" s="201">
        <v>2</v>
      </c>
      <c r="D11" s="209" t="s">
        <v>6</v>
      </c>
      <c r="E11" s="258">
        <v>2230</v>
      </c>
      <c r="F11" s="258">
        <v>10.75</v>
      </c>
      <c r="G11" s="258">
        <v>611</v>
      </c>
      <c r="H11" s="258">
        <v>0</v>
      </c>
      <c r="I11" s="258">
        <v>15.66</v>
      </c>
      <c r="J11" s="258">
        <v>298.44</v>
      </c>
      <c r="K11" s="258">
        <v>2.61</v>
      </c>
      <c r="L11" s="258">
        <v>30.14</v>
      </c>
      <c r="M11" s="259">
        <v>5.682</v>
      </c>
      <c r="N11" s="258">
        <v>39.33</v>
      </c>
      <c r="O11" s="259">
        <v>0.576</v>
      </c>
      <c r="P11" s="258">
        <v>358.49</v>
      </c>
      <c r="Q11" s="258">
        <v>2.08</v>
      </c>
      <c r="R11" s="258">
        <v>89.02</v>
      </c>
      <c r="S11" s="258">
        <v>1.35</v>
      </c>
      <c r="T11" s="258">
        <v>89.02</v>
      </c>
      <c r="U11" s="258">
        <v>0.59</v>
      </c>
      <c r="V11" s="258">
        <v>46.85</v>
      </c>
      <c r="W11" s="258">
        <v>0.22</v>
      </c>
      <c r="X11" s="258">
        <v>56.73</v>
      </c>
      <c r="Y11" s="258">
        <v>5.1</v>
      </c>
      <c r="Z11" s="258">
        <v>1169.85</v>
      </c>
      <c r="AA11" s="258">
        <v>47.59</v>
      </c>
      <c r="AB11" s="258">
        <v>365.31</v>
      </c>
      <c r="AC11" s="258">
        <v>14.22</v>
      </c>
      <c r="AD11" s="258">
        <v>0</v>
      </c>
      <c r="AE11" s="258">
        <v>60.09</v>
      </c>
      <c r="AF11" s="258">
        <v>0</v>
      </c>
      <c r="AG11" s="258">
        <v>64.79</v>
      </c>
      <c r="AH11" s="258">
        <v>0</v>
      </c>
      <c r="AI11" s="258">
        <v>34.33</v>
      </c>
      <c r="AJ11" s="258">
        <v>5405</v>
      </c>
      <c r="AK11" s="258">
        <v>614.97</v>
      </c>
      <c r="AL11" s="258">
        <v>1733.84</v>
      </c>
      <c r="AM11" s="258">
        <v>122.9</v>
      </c>
      <c r="AN11" s="258">
        <v>821</v>
      </c>
      <c r="AO11" s="258">
        <v>43.2</v>
      </c>
      <c r="AP11" s="258">
        <v>4233.92</v>
      </c>
      <c r="AQ11" s="258">
        <v>117.16</v>
      </c>
      <c r="AR11" s="258">
        <v>183</v>
      </c>
      <c r="AS11" s="258">
        <v>20.01</v>
      </c>
      <c r="AT11" s="258">
        <v>2858.59</v>
      </c>
      <c r="AU11" s="258">
        <v>14.17</v>
      </c>
      <c r="AW11" s="271">
        <f>+AJ11+AN11+AR11</f>
        <v>6409</v>
      </c>
      <c r="AX11" s="271">
        <f>+S11+U11+W11+Y11+AA11+AE11+AG11+AI11+AK11+AO11+AQ11+AS11+AU11</f>
        <v>1023.5699999999999</v>
      </c>
      <c r="AZ11" s="209" t="s">
        <v>6</v>
      </c>
    </row>
    <row r="12" spans="1:52" ht="12" customHeight="1">
      <c r="A12" s="200">
        <f t="shared" si="0"/>
        <v>2319.34</v>
      </c>
      <c r="B12" s="206">
        <f t="shared" si="1"/>
        <v>36.758</v>
      </c>
      <c r="D12" s="209" t="s">
        <v>7</v>
      </c>
      <c r="E12" s="258">
        <v>1619</v>
      </c>
      <c r="F12" s="258">
        <v>10.75</v>
      </c>
      <c r="G12" s="258">
        <v>0</v>
      </c>
      <c r="H12" s="258">
        <v>0</v>
      </c>
      <c r="I12" s="258">
        <v>15.14</v>
      </c>
      <c r="J12" s="258">
        <v>272.38</v>
      </c>
      <c r="K12" s="258">
        <v>2.53</v>
      </c>
      <c r="L12" s="258">
        <v>30.14</v>
      </c>
      <c r="M12" s="259">
        <v>5.682</v>
      </c>
      <c r="N12" s="258">
        <v>39.33</v>
      </c>
      <c r="O12" s="259">
        <v>0.576</v>
      </c>
      <c r="P12" s="258">
        <v>358.49</v>
      </c>
      <c r="Q12" s="258">
        <v>2.08</v>
      </c>
      <c r="R12" s="258">
        <v>89.02</v>
      </c>
      <c r="S12" s="258">
        <v>1.35</v>
      </c>
      <c r="T12" s="258">
        <v>89.02</v>
      </c>
      <c r="U12" s="258">
        <v>0.59</v>
      </c>
      <c r="V12" s="258">
        <v>46.85</v>
      </c>
      <c r="W12" s="258">
        <v>0.22</v>
      </c>
      <c r="X12" s="258">
        <v>56.73</v>
      </c>
      <c r="Y12" s="258">
        <v>5.1</v>
      </c>
      <c r="Z12" s="258">
        <v>1169.85</v>
      </c>
      <c r="AA12" s="258">
        <v>47.59</v>
      </c>
      <c r="AB12" s="258">
        <v>365.31</v>
      </c>
      <c r="AC12" s="258">
        <v>14.22</v>
      </c>
      <c r="AD12" s="258">
        <v>0</v>
      </c>
      <c r="AE12" s="258">
        <v>56.67</v>
      </c>
      <c r="AF12" s="258">
        <v>0</v>
      </c>
      <c r="AG12" s="258">
        <v>64.79</v>
      </c>
      <c r="AH12" s="258">
        <v>0</v>
      </c>
      <c r="AI12" s="258">
        <v>34.33</v>
      </c>
      <c r="AJ12" s="258">
        <v>4557</v>
      </c>
      <c r="AK12" s="258">
        <v>511.63</v>
      </c>
      <c r="AL12" s="258">
        <v>1733.84</v>
      </c>
      <c r="AM12" s="258">
        <v>122.9</v>
      </c>
      <c r="AN12" s="258">
        <v>854</v>
      </c>
      <c r="AO12" s="258">
        <v>35.18</v>
      </c>
      <c r="AP12" s="258">
        <v>4233.92</v>
      </c>
      <c r="AQ12" s="258">
        <v>84.71</v>
      </c>
      <c r="AR12" s="258">
        <v>182</v>
      </c>
      <c r="AS12" s="258">
        <v>14.72</v>
      </c>
      <c r="AT12" s="258">
        <v>2858.59</v>
      </c>
      <c r="AU12" s="258">
        <v>14.17</v>
      </c>
      <c r="AW12" s="271">
        <f aca="true" t="shared" si="2" ref="AW12:AW20">+AJ12+AN12+AR12</f>
        <v>5593</v>
      </c>
      <c r="AX12" s="271">
        <f aca="true" t="shared" si="3" ref="AX12:AX20">+S12+U12+W12+Y12+AA12+AE12+AG12+AI12+AK12+AO12+AQ12+AS12+AU12</f>
        <v>871.05</v>
      </c>
      <c r="AZ12" s="209" t="s">
        <v>7</v>
      </c>
    </row>
    <row r="13" spans="1:52" ht="12" customHeight="1">
      <c r="A13" s="200">
        <f t="shared" si="0"/>
        <v>2302.34</v>
      </c>
      <c r="B13" s="206">
        <f t="shared" si="1"/>
        <v>37.367999999999995</v>
      </c>
      <c r="D13" s="209" t="s">
        <v>8</v>
      </c>
      <c r="E13" s="258">
        <v>1619</v>
      </c>
      <c r="F13" s="258">
        <v>10.75</v>
      </c>
      <c r="G13" s="258">
        <v>0</v>
      </c>
      <c r="H13" s="258">
        <v>0</v>
      </c>
      <c r="I13" s="258">
        <v>16.13</v>
      </c>
      <c r="J13" s="258">
        <v>255.38</v>
      </c>
      <c r="K13" s="258">
        <v>2.15</v>
      </c>
      <c r="L13" s="258">
        <v>30.14</v>
      </c>
      <c r="M13" s="259">
        <v>5.682</v>
      </c>
      <c r="N13" s="258">
        <v>39.33</v>
      </c>
      <c r="O13" s="259">
        <v>0.576</v>
      </c>
      <c r="P13" s="258">
        <v>358.49</v>
      </c>
      <c r="Q13" s="258">
        <v>2.08</v>
      </c>
      <c r="R13" s="258">
        <v>89.02</v>
      </c>
      <c r="S13" s="258">
        <v>1.35</v>
      </c>
      <c r="T13" s="258">
        <v>89.02</v>
      </c>
      <c r="U13" s="258">
        <v>0.59</v>
      </c>
      <c r="V13" s="258">
        <v>46.85</v>
      </c>
      <c r="W13" s="258">
        <v>0.22</v>
      </c>
      <c r="X13" s="258">
        <v>56.73</v>
      </c>
      <c r="Y13" s="258">
        <v>5.1</v>
      </c>
      <c r="Z13" s="258">
        <v>1169.85</v>
      </c>
      <c r="AA13" s="258">
        <v>47.59</v>
      </c>
      <c r="AB13" s="258">
        <v>365.31</v>
      </c>
      <c r="AC13" s="258">
        <v>14.22</v>
      </c>
      <c r="AD13" s="258">
        <v>0</v>
      </c>
      <c r="AE13" s="258">
        <v>56.67</v>
      </c>
      <c r="AF13" s="258">
        <v>0</v>
      </c>
      <c r="AG13" s="258">
        <v>64.79</v>
      </c>
      <c r="AH13" s="258">
        <v>0</v>
      </c>
      <c r="AI13" s="258">
        <v>34.33</v>
      </c>
      <c r="AJ13" s="258">
        <v>3714</v>
      </c>
      <c r="AK13" s="258">
        <v>375.48</v>
      </c>
      <c r="AL13" s="258">
        <v>1733.84</v>
      </c>
      <c r="AM13" s="258">
        <v>122.9</v>
      </c>
      <c r="AN13" s="258">
        <v>885</v>
      </c>
      <c r="AO13" s="258">
        <v>27.38</v>
      </c>
      <c r="AP13" s="258">
        <v>4233.92</v>
      </c>
      <c r="AQ13" s="258">
        <v>84.71</v>
      </c>
      <c r="AR13" s="258">
        <v>182</v>
      </c>
      <c r="AS13" s="258">
        <v>13.67</v>
      </c>
      <c r="AT13" s="258">
        <v>2858.59</v>
      </c>
      <c r="AU13" s="258">
        <v>14.17</v>
      </c>
      <c r="AW13" s="271">
        <f t="shared" si="2"/>
        <v>4781</v>
      </c>
      <c r="AX13" s="271">
        <f t="shared" si="3"/>
        <v>726.05</v>
      </c>
      <c r="AZ13" s="209" t="s">
        <v>8</v>
      </c>
    </row>
    <row r="14" spans="1:52" ht="12" customHeight="1">
      <c r="A14" s="200">
        <f t="shared" si="0"/>
        <v>5339.25</v>
      </c>
      <c r="B14" s="206">
        <f t="shared" si="1"/>
        <v>37.650999999999996</v>
      </c>
      <c r="C14" s="201">
        <v>3</v>
      </c>
      <c r="D14" s="209" t="s">
        <v>9</v>
      </c>
      <c r="E14" s="258">
        <v>4636</v>
      </c>
      <c r="F14" s="258">
        <v>10.25</v>
      </c>
      <c r="G14" s="258">
        <v>3021</v>
      </c>
      <c r="H14" s="258">
        <v>0</v>
      </c>
      <c r="I14" s="258">
        <v>15.91</v>
      </c>
      <c r="J14" s="258">
        <v>275.29</v>
      </c>
      <c r="K14" s="258">
        <v>2.18</v>
      </c>
      <c r="L14" s="258">
        <v>30.14</v>
      </c>
      <c r="M14" s="259">
        <v>6.224</v>
      </c>
      <c r="N14" s="258">
        <v>39.33</v>
      </c>
      <c r="O14" s="259">
        <v>1.0070000000000001</v>
      </c>
      <c r="P14" s="258">
        <v>358.49</v>
      </c>
      <c r="Q14" s="258">
        <v>2.08</v>
      </c>
      <c r="R14" s="258">
        <v>89.02</v>
      </c>
      <c r="S14" s="258">
        <v>1.35</v>
      </c>
      <c r="T14" s="258">
        <v>89.02</v>
      </c>
      <c r="U14" s="258">
        <v>0.59</v>
      </c>
      <c r="V14" s="258">
        <v>46.85</v>
      </c>
      <c r="W14" s="258">
        <v>0.22</v>
      </c>
      <c r="X14" s="258">
        <v>56.73</v>
      </c>
      <c r="Y14" s="258">
        <v>32.4</v>
      </c>
      <c r="Z14" s="258">
        <v>1169.85</v>
      </c>
      <c r="AA14" s="258">
        <v>47.59</v>
      </c>
      <c r="AB14" s="258">
        <v>365.31</v>
      </c>
      <c r="AC14" s="258">
        <v>14.22</v>
      </c>
      <c r="AD14" s="258">
        <v>0</v>
      </c>
      <c r="AE14" s="258">
        <v>56.67</v>
      </c>
      <c r="AF14" s="258">
        <v>0</v>
      </c>
      <c r="AG14" s="258">
        <v>64.79</v>
      </c>
      <c r="AH14" s="258">
        <v>0</v>
      </c>
      <c r="AI14" s="258">
        <v>153.1</v>
      </c>
      <c r="AJ14" s="258">
        <v>10265</v>
      </c>
      <c r="AK14" s="258">
        <v>246.66</v>
      </c>
      <c r="AL14" s="258">
        <v>1733.84</v>
      </c>
      <c r="AM14" s="258">
        <v>122.9</v>
      </c>
      <c r="AN14" s="258">
        <v>1697</v>
      </c>
      <c r="AO14" s="258">
        <v>67.55</v>
      </c>
      <c r="AP14" s="258">
        <v>4233.92</v>
      </c>
      <c r="AQ14" s="258">
        <v>143.63</v>
      </c>
      <c r="AR14" s="258">
        <v>252</v>
      </c>
      <c r="AS14" s="258">
        <v>19.93</v>
      </c>
      <c r="AT14" s="258">
        <v>2858.59</v>
      </c>
      <c r="AU14" s="258">
        <v>14.17</v>
      </c>
      <c r="AW14" s="271">
        <f t="shared" si="2"/>
        <v>12214</v>
      </c>
      <c r="AX14" s="271">
        <f t="shared" si="3"/>
        <v>848.6499999999999</v>
      </c>
      <c r="AZ14" s="209" t="s">
        <v>9</v>
      </c>
    </row>
    <row r="15" spans="1:52" ht="12" customHeight="1">
      <c r="A15" s="200">
        <f>+E15+J15+L15+N15+P15</f>
        <v>2383.08</v>
      </c>
      <c r="B15" s="206">
        <f>+F15+H15+I15+K15+M15+O15+Q15</f>
        <v>38.369</v>
      </c>
      <c r="D15" s="209" t="s">
        <v>10</v>
      </c>
      <c r="E15" s="258">
        <v>1691</v>
      </c>
      <c r="F15" s="258">
        <v>10.38</v>
      </c>
      <c r="G15" s="258">
        <v>75</v>
      </c>
      <c r="H15" s="258">
        <v>0</v>
      </c>
      <c r="I15" s="258">
        <v>17.08</v>
      </c>
      <c r="J15" s="258">
        <v>264.12</v>
      </c>
      <c r="K15" s="258">
        <v>2.14</v>
      </c>
      <c r="L15" s="258">
        <v>30.14</v>
      </c>
      <c r="M15" s="259">
        <v>5.682</v>
      </c>
      <c r="N15" s="258">
        <v>39.33</v>
      </c>
      <c r="O15" s="259">
        <v>1.0070000000000001</v>
      </c>
      <c r="P15" s="258">
        <v>358.49</v>
      </c>
      <c r="Q15" s="258">
        <v>2.08</v>
      </c>
      <c r="R15" s="258">
        <v>89.02</v>
      </c>
      <c r="S15" s="258">
        <v>1.35</v>
      </c>
      <c r="T15" s="258">
        <v>89.02</v>
      </c>
      <c r="U15" s="258">
        <v>0.59</v>
      </c>
      <c r="V15" s="258">
        <v>46.85</v>
      </c>
      <c r="W15" s="258">
        <v>0.22</v>
      </c>
      <c r="X15" s="258">
        <v>56.73</v>
      </c>
      <c r="Y15" s="258">
        <v>5.1</v>
      </c>
      <c r="Z15" s="258">
        <v>1169.85</v>
      </c>
      <c r="AA15" s="258">
        <v>47.59</v>
      </c>
      <c r="AB15" s="258">
        <v>365.31</v>
      </c>
      <c r="AC15" s="258">
        <v>14.22</v>
      </c>
      <c r="AD15" s="258">
        <v>0</v>
      </c>
      <c r="AE15" s="258">
        <v>20.61</v>
      </c>
      <c r="AF15" s="258">
        <v>0</v>
      </c>
      <c r="AG15" s="258">
        <v>64.79</v>
      </c>
      <c r="AH15" s="258">
        <v>0</v>
      </c>
      <c r="AI15" s="258">
        <v>34.33</v>
      </c>
      <c r="AJ15" s="258">
        <v>4890</v>
      </c>
      <c r="AK15" s="258">
        <v>307.6</v>
      </c>
      <c r="AL15" s="258">
        <v>1733.84</v>
      </c>
      <c r="AM15" s="258">
        <v>122.9</v>
      </c>
      <c r="AN15" s="258">
        <v>759</v>
      </c>
      <c r="AO15" s="258">
        <v>35.97</v>
      </c>
      <c r="AP15" s="258">
        <v>4233.92</v>
      </c>
      <c r="AQ15" s="258">
        <v>40.4</v>
      </c>
      <c r="AR15" s="258">
        <v>156</v>
      </c>
      <c r="AS15" s="258">
        <v>14.11</v>
      </c>
      <c r="AT15" s="258">
        <v>2858.59</v>
      </c>
      <c r="AU15" s="258">
        <v>14.17</v>
      </c>
      <c r="AW15" s="271">
        <f t="shared" si="2"/>
        <v>5805</v>
      </c>
      <c r="AX15" s="271">
        <f t="shared" si="3"/>
        <v>586.8299999999999</v>
      </c>
      <c r="AZ15" s="209" t="s">
        <v>10</v>
      </c>
    </row>
    <row r="16" spans="1:52" ht="12" customHeight="1">
      <c r="A16" s="200">
        <f aca="true" t="shared" si="4" ref="A16:A23">+E16+J16+L16+N16+P16</f>
        <v>2350.77</v>
      </c>
      <c r="B16" s="206">
        <f aca="true" t="shared" si="5" ref="B16:B23">+F16+H16+I16+K16+M16+O16+Q16</f>
        <v>43.800999999999995</v>
      </c>
      <c r="D16" s="209" t="s">
        <v>47</v>
      </c>
      <c r="E16" s="258">
        <v>1665</v>
      </c>
      <c r="F16" s="258">
        <v>10.38</v>
      </c>
      <c r="G16" s="258">
        <v>49</v>
      </c>
      <c r="H16" s="258">
        <v>0</v>
      </c>
      <c r="I16" s="258">
        <v>21.97</v>
      </c>
      <c r="J16" s="258">
        <v>257.81</v>
      </c>
      <c r="K16" s="258">
        <v>2.14</v>
      </c>
      <c r="L16" s="258">
        <v>30.14</v>
      </c>
      <c r="M16" s="259">
        <v>6.224</v>
      </c>
      <c r="N16" s="258">
        <v>39.33</v>
      </c>
      <c r="O16" s="259">
        <v>1.0070000000000001</v>
      </c>
      <c r="P16" s="258">
        <v>358.49</v>
      </c>
      <c r="Q16" s="258">
        <v>2.08</v>
      </c>
      <c r="R16" s="258">
        <v>89.02</v>
      </c>
      <c r="S16" s="258">
        <v>1.35</v>
      </c>
      <c r="T16" s="258">
        <v>89.02</v>
      </c>
      <c r="U16" s="258">
        <v>0.59</v>
      </c>
      <c r="V16" s="258">
        <v>46.85</v>
      </c>
      <c r="W16" s="258">
        <v>0.22</v>
      </c>
      <c r="X16" s="258">
        <v>56.73</v>
      </c>
      <c r="Y16" s="258">
        <v>5.1</v>
      </c>
      <c r="Z16" s="258">
        <v>1169.85</v>
      </c>
      <c r="AA16" s="258">
        <v>47.59</v>
      </c>
      <c r="AB16" s="258">
        <v>365.31</v>
      </c>
      <c r="AC16" s="258">
        <v>14.22</v>
      </c>
      <c r="AD16" s="258">
        <v>0</v>
      </c>
      <c r="AE16" s="258">
        <v>56.67</v>
      </c>
      <c r="AF16" s="258">
        <v>0</v>
      </c>
      <c r="AG16" s="258">
        <v>64.79</v>
      </c>
      <c r="AH16" s="258">
        <v>0</v>
      </c>
      <c r="AI16" s="258">
        <v>34.33</v>
      </c>
      <c r="AJ16" s="258">
        <v>2765</v>
      </c>
      <c r="AK16" s="258">
        <v>265.88</v>
      </c>
      <c r="AL16" s="258">
        <v>1733.84</v>
      </c>
      <c r="AM16" s="258">
        <v>89.06</v>
      </c>
      <c r="AN16" s="258">
        <v>788</v>
      </c>
      <c r="AO16" s="258">
        <v>25.13</v>
      </c>
      <c r="AP16" s="258">
        <v>4233.92</v>
      </c>
      <c r="AQ16" s="258">
        <v>49.87</v>
      </c>
      <c r="AR16" s="258">
        <v>185</v>
      </c>
      <c r="AS16" s="258">
        <v>12.31</v>
      </c>
      <c r="AT16" s="258">
        <v>2858.59</v>
      </c>
      <c r="AU16" s="258">
        <v>14.17</v>
      </c>
      <c r="AW16" s="271">
        <f t="shared" si="2"/>
        <v>3738</v>
      </c>
      <c r="AX16" s="271">
        <f t="shared" si="3"/>
        <v>577.9999999999999</v>
      </c>
      <c r="AZ16" s="209" t="s">
        <v>47</v>
      </c>
    </row>
    <row r="17" spans="1:52" ht="12" customHeight="1">
      <c r="A17" s="200">
        <f t="shared" si="4"/>
        <v>2319.37</v>
      </c>
      <c r="B17" s="206">
        <f t="shared" si="5"/>
        <v>38.117000000000004</v>
      </c>
      <c r="C17" s="201">
        <v>4</v>
      </c>
      <c r="D17" s="209" t="s">
        <v>50</v>
      </c>
      <c r="E17" s="258">
        <v>1627</v>
      </c>
      <c r="F17" s="258">
        <v>10.36</v>
      </c>
      <c r="G17" s="258">
        <v>11</v>
      </c>
      <c r="H17" s="258">
        <v>0</v>
      </c>
      <c r="I17" s="258">
        <v>17.03</v>
      </c>
      <c r="J17" s="258">
        <v>264.41</v>
      </c>
      <c r="K17" s="258">
        <v>2.13</v>
      </c>
      <c r="L17" s="258">
        <v>30.14</v>
      </c>
      <c r="M17" s="259">
        <v>5.8260000000000005</v>
      </c>
      <c r="N17" s="258">
        <v>39.33</v>
      </c>
      <c r="O17" s="259">
        <v>0.691</v>
      </c>
      <c r="P17" s="258">
        <v>358.49</v>
      </c>
      <c r="Q17" s="258">
        <v>2.08</v>
      </c>
      <c r="R17" s="258">
        <v>89.02</v>
      </c>
      <c r="S17" s="258">
        <v>1.35</v>
      </c>
      <c r="T17" s="258">
        <v>89.02</v>
      </c>
      <c r="U17" s="258">
        <v>0.59</v>
      </c>
      <c r="V17" s="258">
        <v>46.85</v>
      </c>
      <c r="W17" s="258">
        <v>0.22</v>
      </c>
      <c r="X17" s="258">
        <v>56.73</v>
      </c>
      <c r="Y17" s="258">
        <v>5.1</v>
      </c>
      <c r="Z17" s="258">
        <v>1169.85</v>
      </c>
      <c r="AA17" s="258">
        <v>47.59</v>
      </c>
      <c r="AB17" s="258">
        <v>365.31</v>
      </c>
      <c r="AC17" s="258">
        <v>14.22</v>
      </c>
      <c r="AD17" s="258">
        <v>0</v>
      </c>
      <c r="AE17" s="258">
        <v>56.67</v>
      </c>
      <c r="AF17" s="258">
        <v>0</v>
      </c>
      <c r="AG17" s="258">
        <v>54.35</v>
      </c>
      <c r="AH17" s="258">
        <v>0</v>
      </c>
      <c r="AI17" s="258">
        <v>28.78</v>
      </c>
      <c r="AJ17" s="258">
        <v>2680</v>
      </c>
      <c r="AK17" s="258">
        <v>280.05</v>
      </c>
      <c r="AL17" s="258">
        <v>1733.84</v>
      </c>
      <c r="AM17" s="258">
        <v>89.06</v>
      </c>
      <c r="AN17" s="258">
        <v>669</v>
      </c>
      <c r="AO17" s="258">
        <v>26.12</v>
      </c>
      <c r="AP17" s="258">
        <v>4233.92</v>
      </c>
      <c r="AQ17" s="258">
        <v>45</v>
      </c>
      <c r="AR17" s="258">
        <v>144</v>
      </c>
      <c r="AS17" s="258">
        <v>12.1</v>
      </c>
      <c r="AT17" s="258">
        <v>2858.59</v>
      </c>
      <c r="AU17" s="258">
        <v>14.17</v>
      </c>
      <c r="AW17" s="271">
        <f t="shared" si="2"/>
        <v>3493</v>
      </c>
      <c r="AX17" s="271">
        <f t="shared" si="3"/>
        <v>572.09</v>
      </c>
      <c r="AZ17" s="209" t="s">
        <v>50</v>
      </c>
    </row>
    <row r="18" spans="1:52" ht="12" customHeight="1">
      <c r="A18" s="200">
        <f t="shared" si="4"/>
        <v>2319.37</v>
      </c>
      <c r="B18" s="206">
        <f t="shared" si="5"/>
        <v>38.117000000000004</v>
      </c>
      <c r="D18" s="209" t="s">
        <v>48</v>
      </c>
      <c r="E18" s="258">
        <v>1627</v>
      </c>
      <c r="F18" s="258">
        <v>10.36</v>
      </c>
      <c r="G18" s="258">
        <v>11</v>
      </c>
      <c r="H18" s="258">
        <v>0</v>
      </c>
      <c r="I18" s="258">
        <v>17.03</v>
      </c>
      <c r="J18" s="258">
        <v>264.41</v>
      </c>
      <c r="K18" s="258">
        <v>2.13</v>
      </c>
      <c r="L18" s="258">
        <v>30.14</v>
      </c>
      <c r="M18" s="259">
        <v>5.8260000000000005</v>
      </c>
      <c r="N18" s="258">
        <v>39.33</v>
      </c>
      <c r="O18" s="259">
        <v>0.691</v>
      </c>
      <c r="P18" s="258">
        <v>358.49</v>
      </c>
      <c r="Q18" s="258">
        <v>2.08</v>
      </c>
      <c r="R18" s="258">
        <v>89.02</v>
      </c>
      <c r="S18" s="258">
        <v>1.35</v>
      </c>
      <c r="T18" s="258">
        <v>89.02</v>
      </c>
      <c r="U18" s="258">
        <v>0.59</v>
      </c>
      <c r="V18" s="258">
        <v>46.85</v>
      </c>
      <c r="W18" s="258">
        <v>0.22</v>
      </c>
      <c r="X18" s="258">
        <v>56.73</v>
      </c>
      <c r="Y18" s="258">
        <v>5.1</v>
      </c>
      <c r="Z18" s="258">
        <v>1169.85</v>
      </c>
      <c r="AA18" s="258">
        <v>47.59</v>
      </c>
      <c r="AB18" s="258">
        <v>365.31</v>
      </c>
      <c r="AC18" s="258">
        <v>14.22</v>
      </c>
      <c r="AD18" s="258">
        <v>0</v>
      </c>
      <c r="AE18" s="258">
        <v>56.67</v>
      </c>
      <c r="AF18" s="258">
        <v>0</v>
      </c>
      <c r="AG18" s="258">
        <v>54.35</v>
      </c>
      <c r="AH18" s="258">
        <v>0</v>
      </c>
      <c r="AI18" s="258">
        <v>28.78</v>
      </c>
      <c r="AJ18" s="258">
        <v>2680</v>
      </c>
      <c r="AK18" s="258">
        <v>280.05</v>
      </c>
      <c r="AL18" s="258">
        <v>1733.84</v>
      </c>
      <c r="AM18" s="258">
        <v>89.06</v>
      </c>
      <c r="AN18" s="258">
        <v>669</v>
      </c>
      <c r="AO18" s="258">
        <v>26.12</v>
      </c>
      <c r="AP18" s="258">
        <v>4233.92</v>
      </c>
      <c r="AQ18" s="258">
        <v>45</v>
      </c>
      <c r="AR18" s="258">
        <v>144</v>
      </c>
      <c r="AS18" s="258">
        <v>12.1</v>
      </c>
      <c r="AT18" s="258">
        <v>2858.59</v>
      </c>
      <c r="AU18" s="258">
        <v>14.17</v>
      </c>
      <c r="AW18" s="271">
        <f t="shared" si="2"/>
        <v>3493</v>
      </c>
      <c r="AX18" s="271">
        <f t="shared" si="3"/>
        <v>572.09</v>
      </c>
      <c r="AZ18" s="209" t="s">
        <v>48</v>
      </c>
    </row>
    <row r="19" spans="1:52" ht="12" customHeight="1">
      <c r="A19" s="200">
        <f t="shared" si="4"/>
        <v>2319.37</v>
      </c>
      <c r="B19" s="206">
        <f t="shared" si="5"/>
        <v>38.117000000000004</v>
      </c>
      <c r="D19" s="209" t="s">
        <v>49</v>
      </c>
      <c r="E19" s="258">
        <v>1627</v>
      </c>
      <c r="F19" s="258">
        <v>10.36</v>
      </c>
      <c r="G19" s="258">
        <v>11</v>
      </c>
      <c r="H19" s="258">
        <v>0</v>
      </c>
      <c r="I19" s="258">
        <v>17.03</v>
      </c>
      <c r="J19" s="258">
        <v>264.41</v>
      </c>
      <c r="K19" s="258">
        <v>2.13</v>
      </c>
      <c r="L19" s="258">
        <v>30.14</v>
      </c>
      <c r="M19" s="259">
        <v>5.8260000000000005</v>
      </c>
      <c r="N19" s="258">
        <v>39.33</v>
      </c>
      <c r="O19" s="259">
        <v>0.691</v>
      </c>
      <c r="P19" s="258">
        <v>358.49</v>
      </c>
      <c r="Q19" s="258">
        <v>2.08</v>
      </c>
      <c r="R19" s="258">
        <v>89.02</v>
      </c>
      <c r="S19" s="258">
        <v>1.35</v>
      </c>
      <c r="T19" s="258">
        <v>89.02</v>
      </c>
      <c r="U19" s="258">
        <v>0.59</v>
      </c>
      <c r="V19" s="258">
        <v>46.85</v>
      </c>
      <c r="W19" s="258">
        <v>0.22</v>
      </c>
      <c r="X19" s="258">
        <v>56.73</v>
      </c>
      <c r="Y19" s="258">
        <v>5.1</v>
      </c>
      <c r="Z19" s="258">
        <v>1169.85</v>
      </c>
      <c r="AA19" s="258">
        <v>47.59</v>
      </c>
      <c r="AB19" s="258">
        <v>365.31</v>
      </c>
      <c r="AC19" s="258">
        <v>14.22</v>
      </c>
      <c r="AD19" s="258">
        <v>0</v>
      </c>
      <c r="AE19" s="258">
        <v>56.67</v>
      </c>
      <c r="AF19" s="258">
        <v>0</v>
      </c>
      <c r="AG19" s="258">
        <v>54.35</v>
      </c>
      <c r="AH19" s="258">
        <v>0</v>
      </c>
      <c r="AI19" s="258">
        <v>28.78</v>
      </c>
      <c r="AJ19" s="258">
        <v>2680</v>
      </c>
      <c r="AK19" s="258">
        <v>280.05</v>
      </c>
      <c r="AL19" s="258">
        <v>1733.84</v>
      </c>
      <c r="AM19" s="258">
        <v>89.06</v>
      </c>
      <c r="AN19" s="258">
        <v>669</v>
      </c>
      <c r="AO19" s="258">
        <v>26.12</v>
      </c>
      <c r="AP19" s="258">
        <v>4233.92</v>
      </c>
      <c r="AQ19" s="258">
        <v>45</v>
      </c>
      <c r="AR19" s="258">
        <v>144</v>
      </c>
      <c r="AS19" s="258">
        <v>12.1</v>
      </c>
      <c r="AT19" s="258">
        <v>2858.59</v>
      </c>
      <c r="AU19" s="258">
        <v>14.17</v>
      </c>
      <c r="AW19" s="271">
        <f t="shared" si="2"/>
        <v>3493</v>
      </c>
      <c r="AX19" s="271">
        <f t="shared" si="3"/>
        <v>572.09</v>
      </c>
      <c r="AZ19" s="209" t="s">
        <v>49</v>
      </c>
    </row>
    <row r="20" spans="1:52" ht="12" customHeight="1">
      <c r="A20" s="200">
        <f t="shared" si="4"/>
        <v>3973.66</v>
      </c>
      <c r="B20" s="206">
        <f t="shared" si="5"/>
        <v>44.12599999999999</v>
      </c>
      <c r="C20" s="201" t="s">
        <v>21</v>
      </c>
      <c r="D20" s="209" t="s">
        <v>11</v>
      </c>
      <c r="E20" s="258">
        <v>3256</v>
      </c>
      <c r="F20" s="258">
        <v>10.25</v>
      </c>
      <c r="G20" s="258">
        <v>1639</v>
      </c>
      <c r="H20" s="258">
        <v>0</v>
      </c>
      <c r="I20" s="258">
        <v>22.13</v>
      </c>
      <c r="J20" s="258">
        <v>289.7</v>
      </c>
      <c r="K20" s="258">
        <v>2.14</v>
      </c>
      <c r="L20" s="258">
        <v>30.14</v>
      </c>
      <c r="M20" s="259">
        <v>6.519</v>
      </c>
      <c r="N20" s="258">
        <v>39.33</v>
      </c>
      <c r="O20" s="259">
        <v>1.0070000000000001</v>
      </c>
      <c r="P20" s="258">
        <v>358.49</v>
      </c>
      <c r="Q20" s="258">
        <v>2.08</v>
      </c>
      <c r="R20" s="258">
        <v>89.02</v>
      </c>
      <c r="S20" s="258">
        <v>1.35</v>
      </c>
      <c r="T20" s="258">
        <v>89.02</v>
      </c>
      <c r="U20" s="258">
        <v>0.59</v>
      </c>
      <c r="V20" s="258">
        <v>46.85</v>
      </c>
      <c r="W20" s="258">
        <v>0.22</v>
      </c>
      <c r="X20" s="258">
        <v>56.73</v>
      </c>
      <c r="Y20" s="258">
        <v>16.56</v>
      </c>
      <c r="Z20" s="258">
        <v>1169.85</v>
      </c>
      <c r="AA20" s="258">
        <v>47.59</v>
      </c>
      <c r="AB20" s="258">
        <v>365.31</v>
      </c>
      <c r="AC20" s="258">
        <v>14.22</v>
      </c>
      <c r="AD20" s="258">
        <v>0</v>
      </c>
      <c r="AE20" s="258">
        <v>56.67</v>
      </c>
      <c r="AF20" s="258">
        <v>0</v>
      </c>
      <c r="AG20" s="258">
        <v>64.79</v>
      </c>
      <c r="AH20" s="258">
        <v>0</v>
      </c>
      <c r="AI20" s="258">
        <v>64.11</v>
      </c>
      <c r="AJ20" s="258">
        <v>3036</v>
      </c>
      <c r="AK20" s="258">
        <v>437.58</v>
      </c>
      <c r="AL20" s="258">
        <v>1733.84</v>
      </c>
      <c r="AM20" s="258">
        <v>180.8</v>
      </c>
      <c r="AN20" s="258">
        <v>532</v>
      </c>
      <c r="AO20" s="258">
        <v>87.45</v>
      </c>
      <c r="AP20" s="258">
        <v>4233.92</v>
      </c>
      <c r="AQ20" s="258">
        <v>95.14</v>
      </c>
      <c r="AR20" s="258">
        <v>221</v>
      </c>
      <c r="AS20" s="258">
        <v>23.07</v>
      </c>
      <c r="AT20" s="258">
        <v>2858.59</v>
      </c>
      <c r="AU20" s="258">
        <v>14.17</v>
      </c>
      <c r="AW20" s="271">
        <f t="shared" si="2"/>
        <v>3789</v>
      </c>
      <c r="AX20" s="271">
        <f t="shared" si="3"/>
        <v>909.2900000000001</v>
      </c>
      <c r="AZ20" s="209" t="s">
        <v>11</v>
      </c>
    </row>
    <row r="21" spans="1:54" ht="12" customHeight="1">
      <c r="A21" s="200">
        <f t="shared" si="4"/>
        <v>2727.0699999999997</v>
      </c>
      <c r="B21" s="206">
        <f t="shared" si="5"/>
        <v>37.76</v>
      </c>
      <c r="D21" s="209" t="s">
        <v>12</v>
      </c>
      <c r="E21" s="200">
        <f>ROUND(0.6*E11+0.4*E15,2)</f>
        <v>2014.4</v>
      </c>
      <c r="F21" s="200">
        <f aca="true" t="shared" si="6" ref="F21:Q21">ROUND(0.6*F11+0.4*F15,2)</f>
        <v>10.6</v>
      </c>
      <c r="G21" s="200">
        <f t="shared" si="6"/>
        <v>396.6</v>
      </c>
      <c r="H21" s="200">
        <f t="shared" si="6"/>
        <v>0</v>
      </c>
      <c r="I21" s="200">
        <f t="shared" si="6"/>
        <v>16.23</v>
      </c>
      <c r="J21" s="200">
        <f t="shared" si="6"/>
        <v>284.71</v>
      </c>
      <c r="K21" s="200">
        <f t="shared" si="6"/>
        <v>2.42</v>
      </c>
      <c r="L21" s="200">
        <f t="shared" si="6"/>
        <v>30.14</v>
      </c>
      <c r="M21" s="210">
        <f t="shared" si="6"/>
        <v>5.68</v>
      </c>
      <c r="N21" s="200">
        <f t="shared" si="6"/>
        <v>39.33</v>
      </c>
      <c r="O21" s="210">
        <f t="shared" si="6"/>
        <v>0.75</v>
      </c>
      <c r="P21" s="200">
        <f t="shared" si="6"/>
        <v>358.49</v>
      </c>
      <c r="Q21" s="200">
        <f t="shared" si="6"/>
        <v>2.08</v>
      </c>
      <c r="R21" s="200">
        <f aca="true" t="shared" si="7" ref="R21:AS21">+R11+0.65*R15</f>
        <v>146.88299999999998</v>
      </c>
      <c r="S21" s="200">
        <f t="shared" si="7"/>
        <v>2.2275</v>
      </c>
      <c r="T21" s="200">
        <f t="shared" si="7"/>
        <v>146.88299999999998</v>
      </c>
      <c r="U21" s="200">
        <f t="shared" si="7"/>
        <v>0.9735</v>
      </c>
      <c r="V21" s="200">
        <f t="shared" si="7"/>
        <v>77.30250000000001</v>
      </c>
      <c r="W21" s="200">
        <f t="shared" si="7"/>
        <v>0.363</v>
      </c>
      <c r="X21" s="200">
        <f t="shared" si="7"/>
        <v>93.6045</v>
      </c>
      <c r="Y21" s="200">
        <f t="shared" si="7"/>
        <v>8.415</v>
      </c>
      <c r="Z21" s="200">
        <f t="shared" si="7"/>
        <v>1930.2524999999998</v>
      </c>
      <c r="AA21" s="200">
        <f t="shared" si="7"/>
        <v>78.52350000000001</v>
      </c>
      <c r="AB21" s="200">
        <f t="shared" si="7"/>
        <v>602.7615000000001</v>
      </c>
      <c r="AC21" s="200">
        <f t="shared" si="7"/>
        <v>23.463</v>
      </c>
      <c r="AD21" s="200">
        <f t="shared" si="7"/>
        <v>0</v>
      </c>
      <c r="AE21" s="200">
        <f t="shared" si="7"/>
        <v>73.4865</v>
      </c>
      <c r="AF21" s="200">
        <f t="shared" si="7"/>
        <v>0</v>
      </c>
      <c r="AG21" s="200">
        <f t="shared" si="7"/>
        <v>106.90350000000001</v>
      </c>
      <c r="AH21" s="200">
        <f t="shared" si="7"/>
        <v>0</v>
      </c>
      <c r="AI21" s="200">
        <f t="shared" si="7"/>
        <v>56.644499999999994</v>
      </c>
      <c r="AJ21" s="200">
        <f t="shared" si="7"/>
        <v>8583.5</v>
      </c>
      <c r="AK21" s="200">
        <f t="shared" si="7"/>
        <v>814.9100000000001</v>
      </c>
      <c r="AL21" s="200">
        <f t="shared" si="7"/>
        <v>2860.8360000000002</v>
      </c>
      <c r="AM21" s="200">
        <f t="shared" si="7"/>
        <v>202.78500000000003</v>
      </c>
      <c r="AN21" s="200">
        <f t="shared" si="7"/>
        <v>1314.35</v>
      </c>
      <c r="AO21" s="200">
        <f t="shared" si="7"/>
        <v>66.5805</v>
      </c>
      <c r="AP21" s="200">
        <f t="shared" si="7"/>
        <v>6985.968000000001</v>
      </c>
      <c r="AQ21" s="200">
        <f t="shared" si="7"/>
        <v>143.42</v>
      </c>
      <c r="AR21" s="200">
        <f t="shared" si="7"/>
        <v>284.4</v>
      </c>
      <c r="AS21" s="200">
        <f t="shared" si="7"/>
        <v>29.1815</v>
      </c>
      <c r="AT21" s="200">
        <f>+AT11+0.65*AT15</f>
        <v>4716.673500000001</v>
      </c>
      <c r="AU21" s="200">
        <f>+AU11+0.65*AU15</f>
        <v>23.380499999999998</v>
      </c>
      <c r="AV21" s="200"/>
      <c r="AW21" s="271">
        <f>+AW11+0.65*AW15</f>
        <v>10182.25</v>
      </c>
      <c r="AX21" s="271">
        <f>+AX11+0.65*AX15</f>
        <v>1405.0095</v>
      </c>
      <c r="AY21" s="200"/>
      <c r="AZ21" s="196" t="s">
        <v>12</v>
      </c>
      <c r="BA21" s="203"/>
      <c r="BB21" s="203"/>
    </row>
    <row r="22" spans="1:54" ht="12" customHeight="1">
      <c r="A22" s="200">
        <f t="shared" si="4"/>
        <v>2344.84</v>
      </c>
      <c r="B22" s="206">
        <f t="shared" si="5"/>
        <v>37.4</v>
      </c>
      <c r="D22" s="209" t="s">
        <v>13</v>
      </c>
      <c r="E22" s="200">
        <f>ROUND(0.6*E12+0.4*E15,2)</f>
        <v>1647.8</v>
      </c>
      <c r="F22" s="200">
        <f aca="true" t="shared" si="8" ref="F22:Q22">ROUND(0.6*F12+0.4*F15,2)</f>
        <v>10.6</v>
      </c>
      <c r="G22" s="200">
        <f t="shared" si="8"/>
        <v>30</v>
      </c>
      <c r="H22" s="200">
        <f t="shared" si="8"/>
        <v>0</v>
      </c>
      <c r="I22" s="200">
        <f t="shared" si="8"/>
        <v>15.92</v>
      </c>
      <c r="J22" s="200">
        <f t="shared" si="8"/>
        <v>269.08</v>
      </c>
      <c r="K22" s="200">
        <f t="shared" si="8"/>
        <v>2.37</v>
      </c>
      <c r="L22" s="200">
        <f t="shared" si="8"/>
        <v>30.14</v>
      </c>
      <c r="M22" s="210">
        <f t="shared" si="8"/>
        <v>5.68</v>
      </c>
      <c r="N22" s="200">
        <f t="shared" si="8"/>
        <v>39.33</v>
      </c>
      <c r="O22" s="210">
        <f t="shared" si="8"/>
        <v>0.75</v>
      </c>
      <c r="P22" s="200">
        <f t="shared" si="8"/>
        <v>358.49</v>
      </c>
      <c r="Q22" s="200">
        <f t="shared" si="8"/>
        <v>2.08</v>
      </c>
      <c r="R22" s="200">
        <f aca="true" t="shared" si="9" ref="R22:AT22">+R12+0.65*R15</f>
        <v>146.88299999999998</v>
      </c>
      <c r="S22" s="200">
        <f t="shared" si="9"/>
        <v>2.2275</v>
      </c>
      <c r="T22" s="200">
        <f t="shared" si="9"/>
        <v>146.88299999999998</v>
      </c>
      <c r="U22" s="200">
        <f t="shared" si="9"/>
        <v>0.9735</v>
      </c>
      <c r="V22" s="200">
        <f t="shared" si="9"/>
        <v>77.30250000000001</v>
      </c>
      <c r="W22" s="200">
        <f t="shared" si="9"/>
        <v>0.363</v>
      </c>
      <c r="X22" s="200">
        <f t="shared" si="9"/>
        <v>93.6045</v>
      </c>
      <c r="Y22" s="200">
        <f t="shared" si="9"/>
        <v>8.415</v>
      </c>
      <c r="Z22" s="200">
        <f t="shared" si="9"/>
        <v>1930.2524999999998</v>
      </c>
      <c r="AA22" s="200">
        <f t="shared" si="9"/>
        <v>78.52350000000001</v>
      </c>
      <c r="AB22" s="200">
        <f t="shared" si="9"/>
        <v>602.7615000000001</v>
      </c>
      <c r="AC22" s="200">
        <f t="shared" si="9"/>
        <v>23.463</v>
      </c>
      <c r="AD22" s="200">
        <f t="shared" si="9"/>
        <v>0</v>
      </c>
      <c r="AE22" s="200">
        <f t="shared" si="9"/>
        <v>70.0665</v>
      </c>
      <c r="AF22" s="200">
        <f t="shared" si="9"/>
        <v>0</v>
      </c>
      <c r="AG22" s="200">
        <f t="shared" si="9"/>
        <v>106.90350000000001</v>
      </c>
      <c r="AH22" s="200">
        <f t="shared" si="9"/>
        <v>0</v>
      </c>
      <c r="AI22" s="200">
        <f t="shared" si="9"/>
        <v>56.644499999999994</v>
      </c>
      <c r="AJ22" s="200">
        <f t="shared" si="9"/>
        <v>7735.5</v>
      </c>
      <c r="AK22" s="200">
        <f t="shared" si="9"/>
        <v>711.57</v>
      </c>
      <c r="AL22" s="200">
        <f t="shared" si="9"/>
        <v>2860.8360000000002</v>
      </c>
      <c r="AM22" s="200">
        <f t="shared" si="9"/>
        <v>202.78500000000003</v>
      </c>
      <c r="AN22" s="200">
        <f t="shared" si="9"/>
        <v>1347.35</v>
      </c>
      <c r="AO22" s="200">
        <f t="shared" si="9"/>
        <v>58.560500000000005</v>
      </c>
      <c r="AP22" s="200">
        <f t="shared" si="9"/>
        <v>6985.968000000001</v>
      </c>
      <c r="AQ22" s="200">
        <f t="shared" si="9"/>
        <v>110.97</v>
      </c>
      <c r="AR22" s="200">
        <f t="shared" si="9"/>
        <v>283.4</v>
      </c>
      <c r="AS22" s="200">
        <f t="shared" si="9"/>
        <v>23.8915</v>
      </c>
      <c r="AT22" s="200">
        <f t="shared" si="9"/>
        <v>4716.673500000001</v>
      </c>
      <c r="AU22" s="200">
        <f>+AU12+0.65*AU15</f>
        <v>23.380499999999998</v>
      </c>
      <c r="AV22" s="200"/>
      <c r="AW22" s="271">
        <f>+AW12+0.65*AW15</f>
        <v>9366.25</v>
      </c>
      <c r="AX22" s="271">
        <f>+AX12+0.65*AX15</f>
        <v>1252.4895</v>
      </c>
      <c r="AY22" s="200"/>
      <c r="AZ22" s="196" t="s">
        <v>13</v>
      </c>
      <c r="BA22" s="203"/>
      <c r="BB22" s="203"/>
    </row>
    <row r="23" spans="1:54" ht="12" customHeight="1">
      <c r="A23" s="200">
        <f t="shared" si="4"/>
        <v>2956.3999999999996</v>
      </c>
      <c r="B23" s="206">
        <f t="shared" si="5"/>
        <v>37.358</v>
      </c>
      <c r="D23" s="209" t="s">
        <v>14</v>
      </c>
      <c r="E23" s="200">
        <f>+E11</f>
        <v>2230</v>
      </c>
      <c r="F23" s="200">
        <f aca="true" t="shared" si="10" ref="F23:Q23">+F11</f>
        <v>10.75</v>
      </c>
      <c r="G23" s="200">
        <f t="shared" si="10"/>
        <v>611</v>
      </c>
      <c r="H23" s="200">
        <f t="shared" si="10"/>
        <v>0</v>
      </c>
      <c r="I23" s="200">
        <f t="shared" si="10"/>
        <v>15.66</v>
      </c>
      <c r="J23" s="200">
        <f t="shared" si="10"/>
        <v>298.44</v>
      </c>
      <c r="K23" s="200">
        <f t="shared" si="10"/>
        <v>2.61</v>
      </c>
      <c r="L23" s="200">
        <f t="shared" si="10"/>
        <v>30.14</v>
      </c>
      <c r="M23" s="210">
        <f t="shared" si="10"/>
        <v>5.682</v>
      </c>
      <c r="N23" s="200">
        <f t="shared" si="10"/>
        <v>39.33</v>
      </c>
      <c r="O23" s="210">
        <f t="shared" si="10"/>
        <v>0.576</v>
      </c>
      <c r="P23" s="200">
        <f t="shared" si="10"/>
        <v>358.49</v>
      </c>
      <c r="Q23" s="200">
        <f t="shared" si="10"/>
        <v>2.08</v>
      </c>
      <c r="R23" s="200">
        <f aca="true" t="shared" si="11" ref="R23:AT23">+R11+0.65*R9</f>
        <v>146.88299999999998</v>
      </c>
      <c r="S23" s="200">
        <f t="shared" si="11"/>
        <v>2.2275</v>
      </c>
      <c r="T23" s="200">
        <f t="shared" si="11"/>
        <v>146.88299999999998</v>
      </c>
      <c r="U23" s="200">
        <f t="shared" si="11"/>
        <v>0.9735</v>
      </c>
      <c r="V23" s="200">
        <f t="shared" si="11"/>
        <v>77.30250000000001</v>
      </c>
      <c r="W23" s="200">
        <f t="shared" si="11"/>
        <v>0.363</v>
      </c>
      <c r="X23" s="200">
        <f t="shared" si="11"/>
        <v>93.6045</v>
      </c>
      <c r="Y23" s="200">
        <f t="shared" si="11"/>
        <v>8.415</v>
      </c>
      <c r="Z23" s="200">
        <f t="shared" si="11"/>
        <v>1930.2524999999998</v>
      </c>
      <c r="AA23" s="200">
        <f t="shared" si="11"/>
        <v>78.52350000000001</v>
      </c>
      <c r="AB23" s="200">
        <f t="shared" si="11"/>
        <v>602.7615000000001</v>
      </c>
      <c r="AC23" s="200">
        <f t="shared" si="11"/>
        <v>23.463</v>
      </c>
      <c r="AD23" s="200">
        <f t="shared" si="11"/>
        <v>0</v>
      </c>
      <c r="AE23" s="200">
        <f t="shared" si="11"/>
        <v>99.14850000000001</v>
      </c>
      <c r="AF23" s="200">
        <f t="shared" si="11"/>
        <v>0</v>
      </c>
      <c r="AG23" s="200">
        <f t="shared" si="11"/>
        <v>106.90350000000001</v>
      </c>
      <c r="AH23" s="200">
        <f t="shared" si="11"/>
        <v>0</v>
      </c>
      <c r="AI23" s="200">
        <f t="shared" si="11"/>
        <v>56.644499999999994</v>
      </c>
      <c r="AJ23" s="200">
        <f t="shared" si="11"/>
        <v>8918.25</v>
      </c>
      <c r="AK23" s="200">
        <f t="shared" si="11"/>
        <v>1014.7005</v>
      </c>
      <c r="AL23" s="200">
        <f t="shared" si="11"/>
        <v>2860.8360000000002</v>
      </c>
      <c r="AM23" s="200">
        <f t="shared" si="11"/>
        <v>202.78500000000003</v>
      </c>
      <c r="AN23" s="200">
        <f t="shared" si="11"/>
        <v>1354.65</v>
      </c>
      <c r="AO23" s="200">
        <f t="shared" si="11"/>
        <v>71.28</v>
      </c>
      <c r="AP23" s="200">
        <f t="shared" si="11"/>
        <v>6985.968000000001</v>
      </c>
      <c r="AQ23" s="200">
        <f t="shared" si="11"/>
        <v>193.314</v>
      </c>
      <c r="AR23" s="200">
        <f t="shared" si="11"/>
        <v>301.95</v>
      </c>
      <c r="AS23" s="200">
        <f t="shared" si="11"/>
        <v>33.0165</v>
      </c>
      <c r="AT23" s="200">
        <f t="shared" si="11"/>
        <v>4716.673500000001</v>
      </c>
      <c r="AU23" s="200">
        <f>+AU11+0.65*AU9</f>
        <v>23.380499999999998</v>
      </c>
      <c r="AV23" s="200"/>
      <c r="AW23" s="271">
        <f>+AW11+0.65*AW9</f>
        <v>10574.85</v>
      </c>
      <c r="AX23" s="271">
        <f>+AX11+0.65*AX9</f>
        <v>1688.8905</v>
      </c>
      <c r="AY23" s="200"/>
      <c r="AZ23" s="196" t="s">
        <v>14</v>
      </c>
      <c r="BA23" s="203"/>
      <c r="BB23" s="203"/>
    </row>
    <row r="24" spans="4:47" ht="12" customHeight="1">
      <c r="D24" s="201">
        <v>1</v>
      </c>
      <c r="E24" s="201">
        <v>2</v>
      </c>
      <c r="F24" s="201">
        <v>3</v>
      </c>
      <c r="G24" s="201">
        <v>4</v>
      </c>
      <c r="H24" s="201">
        <v>5</v>
      </c>
      <c r="I24" s="201">
        <v>6</v>
      </c>
      <c r="J24" s="201">
        <v>7</v>
      </c>
      <c r="K24" s="201">
        <v>8</v>
      </c>
      <c r="L24" s="201">
        <v>9</v>
      </c>
      <c r="M24" s="201">
        <v>10</v>
      </c>
      <c r="N24" s="201">
        <v>11</v>
      </c>
      <c r="O24" s="201">
        <v>12</v>
      </c>
      <c r="P24" s="201">
        <v>13</v>
      </c>
      <c r="Q24" s="201">
        <v>14</v>
      </c>
      <c r="R24" s="201">
        <v>15</v>
      </c>
      <c r="S24" s="201">
        <v>16</v>
      </c>
      <c r="T24" s="201">
        <v>17</v>
      </c>
      <c r="U24" s="201">
        <v>18</v>
      </c>
      <c r="V24" s="201">
        <v>19</v>
      </c>
      <c r="W24" s="201">
        <v>20</v>
      </c>
      <c r="X24" s="201">
        <v>21</v>
      </c>
      <c r="Y24" s="201">
        <v>22</v>
      </c>
      <c r="Z24" s="201">
        <v>23</v>
      </c>
      <c r="AA24" s="201">
        <v>24</v>
      </c>
      <c r="AB24" s="201">
        <v>25</v>
      </c>
      <c r="AC24" s="201">
        <v>26</v>
      </c>
      <c r="AD24" s="201">
        <v>27</v>
      </c>
      <c r="AE24" s="201">
        <v>28</v>
      </c>
      <c r="AF24" s="201">
        <v>29</v>
      </c>
      <c r="AG24" s="201">
        <v>30</v>
      </c>
      <c r="AH24" s="201">
        <v>31</v>
      </c>
      <c r="AI24" s="201">
        <v>32</v>
      </c>
      <c r="AJ24" s="201">
        <v>33</v>
      </c>
      <c r="AK24" s="201">
        <v>34</v>
      </c>
      <c r="AL24" s="201">
        <v>35</v>
      </c>
      <c r="AM24" s="201">
        <v>36</v>
      </c>
      <c r="AN24" s="201">
        <v>37</v>
      </c>
      <c r="AO24" s="201">
        <v>38</v>
      </c>
      <c r="AP24" s="201">
        <v>39</v>
      </c>
      <c r="AQ24" s="201">
        <v>40</v>
      </c>
      <c r="AR24" s="201">
        <v>41</v>
      </c>
      <c r="AS24" s="201">
        <v>42</v>
      </c>
      <c r="AT24" s="201">
        <v>43</v>
      </c>
      <c r="AU24" s="201">
        <v>44</v>
      </c>
    </row>
    <row r="26" spans="4:6" ht="12" customHeight="1">
      <c r="D26" s="209" t="s">
        <v>11</v>
      </c>
      <c r="E26" s="260">
        <v>3973.66</v>
      </c>
      <c r="F26" s="260">
        <v>44.12599999999999</v>
      </c>
    </row>
    <row r="27" spans="4:6" ht="12" customHeight="1">
      <c r="D27" s="209" t="s">
        <v>12</v>
      </c>
      <c r="E27" s="260">
        <v>2727.07</v>
      </c>
      <c r="F27" s="260">
        <v>37.76</v>
      </c>
    </row>
    <row r="28" spans="4:6" ht="12" customHeight="1">
      <c r="D28" s="209" t="s">
        <v>13</v>
      </c>
      <c r="E28" s="260">
        <v>2344.84</v>
      </c>
      <c r="F28" s="260">
        <v>37.4</v>
      </c>
    </row>
    <row r="29" spans="4:6" ht="12" customHeight="1">
      <c r="D29" s="209" t="s">
        <v>14</v>
      </c>
      <c r="E29" s="260">
        <v>2956.4</v>
      </c>
      <c r="F29" s="260">
        <v>37.36</v>
      </c>
    </row>
    <row r="32" spans="4:47" ht="12" customHeight="1">
      <c r="D32" s="262" t="s">
        <v>24</v>
      </c>
      <c r="E32" s="201" t="s">
        <v>64</v>
      </c>
      <c r="F32" s="201" t="s">
        <v>65</v>
      </c>
      <c r="I32" s="201" t="s">
        <v>65</v>
      </c>
      <c r="J32" s="201" t="s">
        <v>66</v>
      </c>
      <c r="K32" s="201" t="s">
        <v>65</v>
      </c>
      <c r="L32" s="201" t="s">
        <v>66</v>
      </c>
      <c r="M32" s="201" t="s">
        <v>65</v>
      </c>
      <c r="N32" s="201" t="s">
        <v>66</v>
      </c>
      <c r="O32" s="201" t="s">
        <v>65</v>
      </c>
      <c r="P32" s="201" t="s">
        <v>66</v>
      </c>
      <c r="Q32" s="201" t="s">
        <v>65</v>
      </c>
      <c r="R32" s="201" t="s">
        <v>4</v>
      </c>
      <c r="S32" s="201" t="s">
        <v>68</v>
      </c>
      <c r="T32" s="201" t="s">
        <v>4</v>
      </c>
      <c r="U32" s="201" t="s">
        <v>68</v>
      </c>
      <c r="V32" s="201" t="s">
        <v>4</v>
      </c>
      <c r="W32" s="201" t="s">
        <v>68</v>
      </c>
      <c r="X32" s="201" t="s">
        <v>4</v>
      </c>
      <c r="Y32" s="201" t="s">
        <v>68</v>
      </c>
      <c r="Z32" s="201" t="s">
        <v>4</v>
      </c>
      <c r="AA32" s="201" t="s">
        <v>68</v>
      </c>
      <c r="AB32" s="201" t="s">
        <v>4</v>
      </c>
      <c r="AC32" s="201" t="s">
        <v>68</v>
      </c>
      <c r="AD32" s="201" t="s">
        <v>4</v>
      </c>
      <c r="AE32" s="201" t="s">
        <v>68</v>
      </c>
      <c r="AF32" s="201" t="s">
        <v>4</v>
      </c>
      <c r="AG32" s="201" t="s">
        <v>68</v>
      </c>
      <c r="AJ32" s="201" t="s">
        <v>4</v>
      </c>
      <c r="AK32" s="201" t="s">
        <v>68</v>
      </c>
      <c r="AL32" s="201" t="s">
        <v>4</v>
      </c>
      <c r="AM32" s="201" t="s">
        <v>68</v>
      </c>
      <c r="AN32" s="201" t="s">
        <v>4</v>
      </c>
      <c r="AO32" s="201" t="s">
        <v>68</v>
      </c>
      <c r="AP32" s="201" t="s">
        <v>4</v>
      </c>
      <c r="AQ32" s="201" t="s">
        <v>68</v>
      </c>
      <c r="AR32" s="201" t="s">
        <v>4</v>
      </c>
      <c r="AS32" s="201" t="s">
        <v>68</v>
      </c>
      <c r="AT32" s="201" t="s">
        <v>4</v>
      </c>
      <c r="AU32" s="201" t="s">
        <v>68</v>
      </c>
    </row>
    <row r="33" spans="1:52" ht="12" customHeight="1">
      <c r="A33" s="200">
        <f aca="true" t="shared" si="12" ref="A33:A38">+E33+J33+L33+N33+P33</f>
        <v>0</v>
      </c>
      <c r="B33" s="206">
        <f aca="true" t="shared" si="13" ref="B33:B38">+F33+H33+I33+K33+M33+O33+Q33</f>
        <v>0</v>
      </c>
      <c r="C33" s="201">
        <v>1</v>
      </c>
      <c r="D33" s="201" t="s">
        <v>51</v>
      </c>
      <c r="E33" s="212">
        <f aca="true" t="shared" si="14" ref="E33:F35">+E9</f>
        <v>0</v>
      </c>
      <c r="F33" s="212">
        <f t="shared" si="14"/>
        <v>0</v>
      </c>
      <c r="G33" s="212">
        <f>+G9</f>
        <v>0</v>
      </c>
      <c r="H33" s="212">
        <f>+H9</f>
        <v>0</v>
      </c>
      <c r="I33" s="212">
        <f aca="true" t="shared" si="15" ref="I33:R33">+I9</f>
        <v>0</v>
      </c>
      <c r="J33" s="212">
        <f t="shared" si="15"/>
        <v>0</v>
      </c>
      <c r="K33" s="212">
        <f t="shared" si="15"/>
        <v>0</v>
      </c>
      <c r="L33" s="212">
        <f t="shared" si="15"/>
        <v>0</v>
      </c>
      <c r="M33" s="212">
        <f t="shared" si="15"/>
        <v>0</v>
      </c>
      <c r="N33" s="212">
        <f t="shared" si="15"/>
        <v>0</v>
      </c>
      <c r="O33" s="212">
        <f t="shared" si="15"/>
        <v>0</v>
      </c>
      <c r="P33" s="212">
        <f t="shared" si="15"/>
        <v>0</v>
      </c>
      <c r="Q33" s="212">
        <f t="shared" si="15"/>
        <v>0</v>
      </c>
      <c r="R33" s="212">
        <f t="shared" si="15"/>
        <v>89.02</v>
      </c>
      <c r="S33" s="212">
        <f aca="true" t="shared" si="16" ref="S33:Z33">+S9</f>
        <v>1.35</v>
      </c>
      <c r="T33" s="212">
        <f t="shared" si="16"/>
        <v>89.02</v>
      </c>
      <c r="U33" s="212">
        <f t="shared" si="16"/>
        <v>0.59</v>
      </c>
      <c r="V33" s="212">
        <f t="shared" si="16"/>
        <v>46.85</v>
      </c>
      <c r="W33" s="212">
        <f t="shared" si="16"/>
        <v>0.22</v>
      </c>
      <c r="X33" s="212">
        <f t="shared" si="16"/>
        <v>56.73</v>
      </c>
      <c r="Y33" s="212">
        <f t="shared" si="16"/>
        <v>5.1</v>
      </c>
      <c r="Z33" s="212">
        <f t="shared" si="16"/>
        <v>1169.85</v>
      </c>
      <c r="AA33" s="257">
        <v>76.49</v>
      </c>
      <c r="AB33" s="212">
        <f aca="true" t="shared" si="17" ref="AB33:AD44">+AB9</f>
        <v>365.31</v>
      </c>
      <c r="AC33" s="212">
        <f t="shared" si="17"/>
        <v>14.22</v>
      </c>
      <c r="AD33" s="212">
        <f t="shared" si="17"/>
        <v>0</v>
      </c>
      <c r="AE33" s="258">
        <v>77.25</v>
      </c>
      <c r="AF33" s="212">
        <f aca="true" t="shared" si="18" ref="AF33:AF44">+AF9</f>
        <v>0</v>
      </c>
      <c r="AG33" s="208">
        <v>0</v>
      </c>
      <c r="AH33" s="208">
        <v>0</v>
      </c>
      <c r="AI33" s="208">
        <v>0</v>
      </c>
      <c r="AJ33" s="258">
        <v>6054</v>
      </c>
      <c r="AK33" s="258">
        <v>800.56</v>
      </c>
      <c r="AL33" s="212">
        <f aca="true" t="shared" si="19" ref="AL33:AM44">+AL9</f>
        <v>1733.84</v>
      </c>
      <c r="AM33" s="212">
        <f t="shared" si="19"/>
        <v>122.9</v>
      </c>
      <c r="AN33" s="208">
        <v>700</v>
      </c>
      <c r="AO33" s="208">
        <v>45.44</v>
      </c>
      <c r="AP33" s="257">
        <f>+AP9</f>
        <v>4233.92</v>
      </c>
      <c r="AQ33" s="258">
        <v>87.73</v>
      </c>
      <c r="AR33" s="258">
        <v>124</v>
      </c>
      <c r="AS33" s="258">
        <v>20.25</v>
      </c>
      <c r="AT33" s="212">
        <f aca="true" t="shared" si="20" ref="AT33:AU44">+AT9</f>
        <v>2858.59</v>
      </c>
      <c r="AU33" s="212">
        <f t="shared" si="20"/>
        <v>14.17</v>
      </c>
      <c r="AW33" s="271">
        <f>+AJ33+AN33+AR33</f>
        <v>6878</v>
      </c>
      <c r="AX33" s="271">
        <f>+S33+U33+W33+Y33+AA33+AE33+AG33+AI33+AK33+AO33+AQ33+AS33+AU33</f>
        <v>1129.15</v>
      </c>
      <c r="AZ33" s="201" t="s">
        <v>51</v>
      </c>
    </row>
    <row r="34" spans="1:52" ht="12" customHeight="1">
      <c r="A34" s="200">
        <f t="shared" si="12"/>
        <v>0</v>
      </c>
      <c r="B34" s="206">
        <f t="shared" si="13"/>
        <v>0</v>
      </c>
      <c r="D34" s="201" t="s">
        <v>46</v>
      </c>
      <c r="E34" s="212">
        <f t="shared" si="14"/>
        <v>0</v>
      </c>
      <c r="F34" s="212">
        <f t="shared" si="14"/>
        <v>0</v>
      </c>
      <c r="G34" s="212">
        <f>+G10</f>
        <v>0</v>
      </c>
      <c r="H34" s="212">
        <f aca="true" t="shared" si="21" ref="H34:H44">+H10</f>
        <v>0</v>
      </c>
      <c r="I34" s="212">
        <f aca="true" t="shared" si="22" ref="I34:Q34">+I10</f>
        <v>0</v>
      </c>
      <c r="J34" s="212">
        <f t="shared" si="22"/>
        <v>0</v>
      </c>
      <c r="K34" s="212">
        <f t="shared" si="22"/>
        <v>0</v>
      </c>
      <c r="L34" s="212">
        <f t="shared" si="22"/>
        <v>0</v>
      </c>
      <c r="M34" s="212">
        <f t="shared" si="22"/>
        <v>0</v>
      </c>
      <c r="N34" s="212">
        <f t="shared" si="22"/>
        <v>0</v>
      </c>
      <c r="O34" s="212">
        <f t="shared" si="22"/>
        <v>0</v>
      </c>
      <c r="P34" s="212">
        <f t="shared" si="22"/>
        <v>0</v>
      </c>
      <c r="Q34" s="212">
        <f t="shared" si="22"/>
        <v>0</v>
      </c>
      <c r="R34" s="212">
        <f aca="true" t="shared" si="23" ref="R34:Z44">+R10</f>
        <v>89.02</v>
      </c>
      <c r="S34" s="212">
        <f t="shared" si="23"/>
        <v>1.35</v>
      </c>
      <c r="T34" s="212">
        <f t="shared" si="23"/>
        <v>89.02</v>
      </c>
      <c r="U34" s="212">
        <f t="shared" si="23"/>
        <v>0.59</v>
      </c>
      <c r="V34" s="212">
        <f t="shared" si="23"/>
        <v>46.85</v>
      </c>
      <c r="W34" s="212">
        <f t="shared" si="23"/>
        <v>0.22</v>
      </c>
      <c r="X34" s="212">
        <f t="shared" si="23"/>
        <v>56.73</v>
      </c>
      <c r="Y34" s="212">
        <f t="shared" si="23"/>
        <v>5.1</v>
      </c>
      <c r="Z34" s="212">
        <f t="shared" si="23"/>
        <v>1169.85</v>
      </c>
      <c r="AA34" s="257">
        <v>76.49</v>
      </c>
      <c r="AB34" s="212">
        <f t="shared" si="17"/>
        <v>365.31</v>
      </c>
      <c r="AC34" s="212">
        <f t="shared" si="17"/>
        <v>14.22</v>
      </c>
      <c r="AD34" s="212">
        <f t="shared" si="17"/>
        <v>0</v>
      </c>
      <c r="AE34" s="258">
        <v>77.25</v>
      </c>
      <c r="AF34" s="212">
        <f t="shared" si="18"/>
        <v>0</v>
      </c>
      <c r="AG34" s="208">
        <v>0</v>
      </c>
      <c r="AH34" s="208">
        <v>0</v>
      </c>
      <c r="AI34" s="208">
        <v>0</v>
      </c>
      <c r="AJ34" s="258">
        <v>6054</v>
      </c>
      <c r="AK34" s="258">
        <v>800.56</v>
      </c>
      <c r="AL34" s="212">
        <f t="shared" si="19"/>
        <v>1733.84</v>
      </c>
      <c r="AM34" s="212">
        <f t="shared" si="19"/>
        <v>122.9</v>
      </c>
      <c r="AN34" s="208">
        <v>700</v>
      </c>
      <c r="AO34" s="208">
        <v>45.44</v>
      </c>
      <c r="AP34" s="257">
        <f aca="true" t="shared" si="24" ref="AP34:AP44">+AP10</f>
        <v>4233.92</v>
      </c>
      <c r="AQ34" s="258">
        <v>87.73</v>
      </c>
      <c r="AR34" s="258">
        <v>124</v>
      </c>
      <c r="AS34" s="258">
        <v>20.25</v>
      </c>
      <c r="AT34" s="212">
        <f t="shared" si="20"/>
        <v>2858.59</v>
      </c>
      <c r="AU34" s="212">
        <f t="shared" si="20"/>
        <v>14.17</v>
      </c>
      <c r="AW34" s="271">
        <f>+AJ34+AN34+AR34</f>
        <v>6878</v>
      </c>
      <c r="AX34" s="271">
        <f>+S34+U34+W34+Y34+AA34+AE34+AG34+AI34+AK34+AO34+AQ34+AS34+AU34</f>
        <v>1129.15</v>
      </c>
      <c r="AZ34" s="201" t="s">
        <v>46</v>
      </c>
    </row>
    <row r="35" spans="1:52" ht="12" customHeight="1">
      <c r="A35" s="200">
        <f t="shared" si="12"/>
        <v>2956.3999999999996</v>
      </c>
      <c r="B35" s="206">
        <f t="shared" si="13"/>
        <v>37.358</v>
      </c>
      <c r="C35" s="201">
        <v>2</v>
      </c>
      <c r="D35" s="209" t="s">
        <v>6</v>
      </c>
      <c r="E35" s="212">
        <f t="shared" si="14"/>
        <v>2230</v>
      </c>
      <c r="F35" s="212">
        <f t="shared" si="14"/>
        <v>10.75</v>
      </c>
      <c r="G35" s="212">
        <f>+G11</f>
        <v>611</v>
      </c>
      <c r="H35" s="212">
        <f t="shared" si="21"/>
        <v>0</v>
      </c>
      <c r="I35" s="212">
        <f aca="true" t="shared" si="25" ref="I35:P35">+I11</f>
        <v>15.66</v>
      </c>
      <c r="J35" s="212">
        <f t="shared" si="25"/>
        <v>298.44</v>
      </c>
      <c r="K35" s="212">
        <f t="shared" si="25"/>
        <v>2.61</v>
      </c>
      <c r="L35" s="212">
        <f t="shared" si="25"/>
        <v>30.14</v>
      </c>
      <c r="M35" s="274">
        <f t="shared" si="25"/>
        <v>5.682</v>
      </c>
      <c r="N35" s="212">
        <f t="shared" si="25"/>
        <v>39.33</v>
      </c>
      <c r="O35" s="274">
        <f t="shared" si="25"/>
        <v>0.576</v>
      </c>
      <c r="P35" s="212">
        <f t="shared" si="25"/>
        <v>358.49</v>
      </c>
      <c r="Q35" s="212">
        <f>+Q11</f>
        <v>2.08</v>
      </c>
      <c r="R35" s="212">
        <f t="shared" si="23"/>
        <v>89.02</v>
      </c>
      <c r="S35" s="212">
        <f t="shared" si="23"/>
        <v>1.35</v>
      </c>
      <c r="T35" s="212">
        <f t="shared" si="23"/>
        <v>89.02</v>
      </c>
      <c r="U35" s="212">
        <f t="shared" si="23"/>
        <v>0.59</v>
      </c>
      <c r="V35" s="212">
        <f t="shared" si="23"/>
        <v>46.85</v>
      </c>
      <c r="W35" s="212">
        <f t="shared" si="23"/>
        <v>0.22</v>
      </c>
      <c r="X35" s="212">
        <f t="shared" si="23"/>
        <v>56.73</v>
      </c>
      <c r="Y35" s="212">
        <f t="shared" si="23"/>
        <v>5.1</v>
      </c>
      <c r="Z35" s="212">
        <f t="shared" si="23"/>
        <v>1169.85</v>
      </c>
      <c r="AA35" s="257">
        <v>76.49</v>
      </c>
      <c r="AB35" s="212">
        <f t="shared" si="17"/>
        <v>365.31</v>
      </c>
      <c r="AC35" s="212">
        <f t="shared" si="17"/>
        <v>14.22</v>
      </c>
      <c r="AD35" s="212">
        <f t="shared" si="17"/>
        <v>0</v>
      </c>
      <c r="AE35" s="258">
        <v>77.25</v>
      </c>
      <c r="AF35" s="212">
        <f t="shared" si="18"/>
        <v>0</v>
      </c>
      <c r="AG35" s="208">
        <v>0</v>
      </c>
      <c r="AH35" s="208">
        <v>0</v>
      </c>
      <c r="AI35" s="208">
        <v>0</v>
      </c>
      <c r="AJ35" s="258">
        <v>6054</v>
      </c>
      <c r="AK35" s="258">
        <v>800.56</v>
      </c>
      <c r="AL35" s="212">
        <f t="shared" si="19"/>
        <v>1733.84</v>
      </c>
      <c r="AM35" s="212">
        <f t="shared" si="19"/>
        <v>122.9</v>
      </c>
      <c r="AN35" s="208">
        <v>700</v>
      </c>
      <c r="AO35" s="208">
        <v>45.44</v>
      </c>
      <c r="AP35" s="257">
        <f t="shared" si="24"/>
        <v>4233.92</v>
      </c>
      <c r="AQ35" s="258">
        <v>87.73</v>
      </c>
      <c r="AR35" s="258">
        <v>124</v>
      </c>
      <c r="AS35" s="258">
        <v>20.25</v>
      </c>
      <c r="AT35" s="212">
        <f t="shared" si="20"/>
        <v>2858.59</v>
      </c>
      <c r="AU35" s="212">
        <f t="shared" si="20"/>
        <v>14.17</v>
      </c>
      <c r="AW35" s="271">
        <f aca="true" t="shared" si="26" ref="AW35:AW47">+AJ35+AN35+AR35</f>
        <v>6878</v>
      </c>
      <c r="AX35" s="271">
        <f>+S35+U35+W35+Y35+AA35+AE35+AG35+AI35+AK35+AO35+AQ35+AS35+AU35</f>
        <v>1129.15</v>
      </c>
      <c r="AZ35" s="209" t="s">
        <v>6</v>
      </c>
    </row>
    <row r="36" spans="1:52" ht="12" customHeight="1">
      <c r="A36" s="200">
        <f t="shared" si="12"/>
        <v>2319.34</v>
      </c>
      <c r="B36" s="206">
        <f t="shared" si="13"/>
        <v>36.758</v>
      </c>
      <c r="D36" s="209" t="s">
        <v>7</v>
      </c>
      <c r="E36" s="212">
        <f aca="true" t="shared" si="27" ref="E36:F44">+E12</f>
        <v>1619</v>
      </c>
      <c r="F36" s="212">
        <f t="shared" si="27"/>
        <v>10.75</v>
      </c>
      <c r="G36" s="212">
        <f aca="true" t="shared" si="28" ref="G36:Q36">+G12</f>
        <v>0</v>
      </c>
      <c r="H36" s="212">
        <f t="shared" si="21"/>
        <v>0</v>
      </c>
      <c r="I36" s="212">
        <f t="shared" si="28"/>
        <v>15.14</v>
      </c>
      <c r="J36" s="212">
        <f t="shared" si="28"/>
        <v>272.38</v>
      </c>
      <c r="K36" s="212">
        <f t="shared" si="28"/>
        <v>2.53</v>
      </c>
      <c r="L36" s="212">
        <f t="shared" si="28"/>
        <v>30.14</v>
      </c>
      <c r="M36" s="274">
        <f t="shared" si="28"/>
        <v>5.682</v>
      </c>
      <c r="N36" s="212">
        <f t="shared" si="28"/>
        <v>39.33</v>
      </c>
      <c r="O36" s="274">
        <f t="shared" si="28"/>
        <v>0.576</v>
      </c>
      <c r="P36" s="212">
        <f t="shared" si="28"/>
        <v>358.49</v>
      </c>
      <c r="Q36" s="212">
        <f t="shared" si="28"/>
        <v>2.08</v>
      </c>
      <c r="R36" s="212">
        <f t="shared" si="23"/>
        <v>89.02</v>
      </c>
      <c r="S36" s="212">
        <f t="shared" si="23"/>
        <v>1.35</v>
      </c>
      <c r="T36" s="212">
        <f t="shared" si="23"/>
        <v>89.02</v>
      </c>
      <c r="U36" s="212">
        <f t="shared" si="23"/>
        <v>0.59</v>
      </c>
      <c r="V36" s="212">
        <f t="shared" si="23"/>
        <v>46.85</v>
      </c>
      <c r="W36" s="212">
        <f t="shared" si="23"/>
        <v>0.22</v>
      </c>
      <c r="X36" s="212">
        <f t="shared" si="23"/>
        <v>56.73</v>
      </c>
      <c r="Y36" s="212">
        <f t="shared" si="23"/>
        <v>5.1</v>
      </c>
      <c r="Z36" s="212">
        <f t="shared" si="23"/>
        <v>1169.85</v>
      </c>
      <c r="AA36" s="257">
        <v>76.49</v>
      </c>
      <c r="AB36" s="212">
        <f t="shared" si="17"/>
        <v>365.31</v>
      </c>
      <c r="AC36" s="212">
        <f t="shared" si="17"/>
        <v>14.22</v>
      </c>
      <c r="AD36" s="212">
        <f t="shared" si="17"/>
        <v>0</v>
      </c>
      <c r="AE36" s="258">
        <v>66.96</v>
      </c>
      <c r="AF36" s="212">
        <f t="shared" si="18"/>
        <v>0</v>
      </c>
      <c r="AG36" s="208">
        <v>0</v>
      </c>
      <c r="AH36" s="208">
        <v>0</v>
      </c>
      <c r="AI36" s="208">
        <v>0</v>
      </c>
      <c r="AJ36" s="258">
        <v>5440</v>
      </c>
      <c r="AK36" s="258">
        <v>755.42</v>
      </c>
      <c r="AL36" s="212">
        <f t="shared" si="19"/>
        <v>1733.84</v>
      </c>
      <c r="AM36" s="212">
        <f t="shared" si="19"/>
        <v>122.9</v>
      </c>
      <c r="AN36" s="208">
        <v>684</v>
      </c>
      <c r="AO36" s="208">
        <v>44.67</v>
      </c>
      <c r="AP36" s="257">
        <f t="shared" si="24"/>
        <v>4233.92</v>
      </c>
      <c r="AQ36" s="258">
        <v>90.81</v>
      </c>
      <c r="AR36" s="258">
        <v>151</v>
      </c>
      <c r="AS36" s="258">
        <v>19.54</v>
      </c>
      <c r="AT36" s="212">
        <f t="shared" si="20"/>
        <v>2858.59</v>
      </c>
      <c r="AU36" s="212">
        <f t="shared" si="20"/>
        <v>14.17</v>
      </c>
      <c r="AW36" s="271">
        <f t="shared" si="26"/>
        <v>6275</v>
      </c>
      <c r="AX36" s="271">
        <f aca="true" t="shared" si="29" ref="AX36:AX47">+S36+U36+W36+Y36+AA36+AE36+AG36+AI36+AK36+AO36+AQ36+AS36+AU36</f>
        <v>1075.32</v>
      </c>
      <c r="AZ36" s="209" t="s">
        <v>7</v>
      </c>
    </row>
    <row r="37" spans="1:52" ht="12" customHeight="1">
      <c r="A37" s="200">
        <f t="shared" si="12"/>
        <v>2302.34</v>
      </c>
      <c r="B37" s="206">
        <f t="shared" si="13"/>
        <v>37.367999999999995</v>
      </c>
      <c r="D37" s="209" t="s">
        <v>8</v>
      </c>
      <c r="E37" s="212">
        <f t="shared" si="27"/>
        <v>1619</v>
      </c>
      <c r="F37" s="212">
        <f t="shared" si="27"/>
        <v>10.75</v>
      </c>
      <c r="G37" s="212">
        <f aca="true" t="shared" si="30" ref="G37:Q37">+G13</f>
        <v>0</v>
      </c>
      <c r="H37" s="212">
        <f t="shared" si="21"/>
        <v>0</v>
      </c>
      <c r="I37" s="212">
        <f t="shared" si="30"/>
        <v>16.13</v>
      </c>
      <c r="J37" s="212">
        <f t="shared" si="30"/>
        <v>255.38</v>
      </c>
      <c r="K37" s="212">
        <f t="shared" si="30"/>
        <v>2.15</v>
      </c>
      <c r="L37" s="212">
        <f t="shared" si="30"/>
        <v>30.14</v>
      </c>
      <c r="M37" s="274">
        <f t="shared" si="30"/>
        <v>5.682</v>
      </c>
      <c r="N37" s="212">
        <f t="shared" si="30"/>
        <v>39.33</v>
      </c>
      <c r="O37" s="274">
        <f t="shared" si="30"/>
        <v>0.576</v>
      </c>
      <c r="P37" s="212">
        <f t="shared" si="30"/>
        <v>358.49</v>
      </c>
      <c r="Q37" s="212">
        <f t="shared" si="30"/>
        <v>2.08</v>
      </c>
      <c r="R37" s="212">
        <f t="shared" si="23"/>
        <v>89.02</v>
      </c>
      <c r="S37" s="212">
        <f t="shared" si="23"/>
        <v>1.35</v>
      </c>
      <c r="T37" s="212">
        <f t="shared" si="23"/>
        <v>89.02</v>
      </c>
      <c r="U37" s="212">
        <f t="shared" si="23"/>
        <v>0.59</v>
      </c>
      <c r="V37" s="212">
        <f t="shared" si="23"/>
        <v>46.85</v>
      </c>
      <c r="W37" s="212">
        <f t="shared" si="23"/>
        <v>0.22</v>
      </c>
      <c r="X37" s="212">
        <f t="shared" si="23"/>
        <v>56.73</v>
      </c>
      <c r="Y37" s="212">
        <f t="shared" si="23"/>
        <v>5.1</v>
      </c>
      <c r="Z37" s="212">
        <f t="shared" si="23"/>
        <v>1169.85</v>
      </c>
      <c r="AA37" s="257">
        <v>76.49</v>
      </c>
      <c r="AB37" s="212">
        <f t="shared" si="17"/>
        <v>365.31</v>
      </c>
      <c r="AC37" s="212">
        <f t="shared" si="17"/>
        <v>14.22</v>
      </c>
      <c r="AD37" s="212">
        <f t="shared" si="17"/>
        <v>0</v>
      </c>
      <c r="AE37" s="258">
        <v>66.96</v>
      </c>
      <c r="AF37" s="212">
        <f t="shared" si="18"/>
        <v>0</v>
      </c>
      <c r="AG37" s="208">
        <v>0</v>
      </c>
      <c r="AH37" s="208">
        <v>0</v>
      </c>
      <c r="AI37" s="208">
        <v>0</v>
      </c>
      <c r="AJ37" s="258">
        <v>4848</v>
      </c>
      <c r="AK37" s="258">
        <v>519.36</v>
      </c>
      <c r="AL37" s="212">
        <f t="shared" si="19"/>
        <v>1733.84</v>
      </c>
      <c r="AM37" s="212">
        <f t="shared" si="19"/>
        <v>122.9</v>
      </c>
      <c r="AN37" s="208">
        <v>646</v>
      </c>
      <c r="AO37" s="208">
        <v>31</v>
      </c>
      <c r="AP37" s="257">
        <f t="shared" si="24"/>
        <v>4233.92</v>
      </c>
      <c r="AQ37" s="258">
        <v>90.81</v>
      </c>
      <c r="AR37" s="258">
        <v>151</v>
      </c>
      <c r="AS37" s="258">
        <v>18.77</v>
      </c>
      <c r="AT37" s="212">
        <f t="shared" si="20"/>
        <v>2858.59</v>
      </c>
      <c r="AU37" s="212">
        <f t="shared" si="20"/>
        <v>14.17</v>
      </c>
      <c r="AW37" s="271" t="s">
        <v>154</v>
      </c>
      <c r="AX37" s="271" t="s">
        <v>154</v>
      </c>
      <c r="AZ37" s="209" t="s">
        <v>8</v>
      </c>
    </row>
    <row r="38" spans="1:52" ht="12" customHeight="1">
      <c r="A38" s="200">
        <f t="shared" si="12"/>
        <v>5339.25</v>
      </c>
      <c r="B38" s="206">
        <f t="shared" si="13"/>
        <v>37.650999999999996</v>
      </c>
      <c r="C38" s="201">
        <v>3</v>
      </c>
      <c r="D38" s="209" t="s">
        <v>9</v>
      </c>
      <c r="E38" s="212">
        <f t="shared" si="27"/>
        <v>4636</v>
      </c>
      <c r="F38" s="212">
        <f t="shared" si="27"/>
        <v>10.25</v>
      </c>
      <c r="G38" s="212">
        <f aca="true" t="shared" si="31" ref="G38:Q38">+G14</f>
        <v>3021</v>
      </c>
      <c r="H38" s="212">
        <f t="shared" si="21"/>
        <v>0</v>
      </c>
      <c r="I38" s="212">
        <f t="shared" si="31"/>
        <v>15.91</v>
      </c>
      <c r="J38" s="212">
        <f t="shared" si="31"/>
        <v>275.29</v>
      </c>
      <c r="K38" s="212">
        <f t="shared" si="31"/>
        <v>2.18</v>
      </c>
      <c r="L38" s="212">
        <f t="shared" si="31"/>
        <v>30.14</v>
      </c>
      <c r="M38" s="274">
        <f t="shared" si="31"/>
        <v>6.224</v>
      </c>
      <c r="N38" s="212">
        <f t="shared" si="31"/>
        <v>39.33</v>
      </c>
      <c r="O38" s="274">
        <f t="shared" si="31"/>
        <v>1.0070000000000001</v>
      </c>
      <c r="P38" s="212">
        <f t="shared" si="31"/>
        <v>358.49</v>
      </c>
      <c r="Q38" s="212">
        <f t="shared" si="31"/>
        <v>2.08</v>
      </c>
      <c r="R38" s="212">
        <f t="shared" si="23"/>
        <v>89.02</v>
      </c>
      <c r="S38" s="212">
        <f t="shared" si="23"/>
        <v>1.35</v>
      </c>
      <c r="T38" s="212">
        <f t="shared" si="23"/>
        <v>89.02</v>
      </c>
      <c r="U38" s="212">
        <f t="shared" si="23"/>
        <v>0.59</v>
      </c>
      <c r="V38" s="212">
        <f t="shared" si="23"/>
        <v>46.85</v>
      </c>
      <c r="W38" s="212">
        <f t="shared" si="23"/>
        <v>0.22</v>
      </c>
      <c r="X38" s="212">
        <f t="shared" si="23"/>
        <v>56.73</v>
      </c>
      <c r="Y38" s="212">
        <f t="shared" si="23"/>
        <v>32.4</v>
      </c>
      <c r="Z38" s="212">
        <f t="shared" si="23"/>
        <v>1169.85</v>
      </c>
      <c r="AA38" s="257">
        <v>76.49</v>
      </c>
      <c r="AB38" s="212">
        <f t="shared" si="17"/>
        <v>365.31</v>
      </c>
      <c r="AC38" s="212">
        <f t="shared" si="17"/>
        <v>14.22</v>
      </c>
      <c r="AD38" s="212">
        <f t="shared" si="17"/>
        <v>0</v>
      </c>
      <c r="AE38" s="258">
        <v>66.96</v>
      </c>
      <c r="AF38" s="212">
        <f t="shared" si="18"/>
        <v>0</v>
      </c>
      <c r="AG38" s="208">
        <v>0</v>
      </c>
      <c r="AH38" s="208">
        <v>0</v>
      </c>
      <c r="AI38" s="208">
        <v>0</v>
      </c>
      <c r="AJ38" s="258">
        <v>12832</v>
      </c>
      <c r="AK38" s="258">
        <v>521.02</v>
      </c>
      <c r="AL38" s="212">
        <f t="shared" si="19"/>
        <v>1733.84</v>
      </c>
      <c r="AM38" s="212">
        <f t="shared" si="19"/>
        <v>122.9</v>
      </c>
      <c r="AN38" s="208">
        <v>289</v>
      </c>
      <c r="AO38" s="208">
        <v>75.84</v>
      </c>
      <c r="AP38" s="257">
        <f t="shared" si="24"/>
        <v>4233.92</v>
      </c>
      <c r="AQ38" s="258">
        <v>134.61</v>
      </c>
      <c r="AR38" s="258">
        <v>192</v>
      </c>
      <c r="AS38" s="258">
        <v>26.69</v>
      </c>
      <c r="AT38" s="212">
        <f t="shared" si="20"/>
        <v>2858.59</v>
      </c>
      <c r="AU38" s="212">
        <f t="shared" si="20"/>
        <v>14.17</v>
      </c>
      <c r="AW38" s="271">
        <f t="shared" si="26"/>
        <v>13313</v>
      </c>
      <c r="AX38" s="271">
        <f t="shared" si="29"/>
        <v>950.34</v>
      </c>
      <c r="AZ38" s="209" t="s">
        <v>9</v>
      </c>
    </row>
    <row r="39" spans="1:52" ht="12" customHeight="1">
      <c r="A39" s="200">
        <f>+E39+J39+L39+N39+P39</f>
        <v>2383.08</v>
      </c>
      <c r="B39" s="206">
        <f>+F39+H39+I39+K39+M39+O39+Q39</f>
        <v>38.369</v>
      </c>
      <c r="D39" s="209" t="s">
        <v>10</v>
      </c>
      <c r="E39" s="212">
        <f t="shared" si="27"/>
        <v>1691</v>
      </c>
      <c r="F39" s="212">
        <f t="shared" si="27"/>
        <v>10.38</v>
      </c>
      <c r="G39" s="212">
        <f aca="true" t="shared" si="32" ref="G39:Q39">+G15</f>
        <v>75</v>
      </c>
      <c r="H39" s="212">
        <f t="shared" si="21"/>
        <v>0</v>
      </c>
      <c r="I39" s="212">
        <f t="shared" si="32"/>
        <v>17.08</v>
      </c>
      <c r="J39" s="212">
        <f t="shared" si="32"/>
        <v>264.12</v>
      </c>
      <c r="K39" s="212">
        <f t="shared" si="32"/>
        <v>2.14</v>
      </c>
      <c r="L39" s="212">
        <f t="shared" si="32"/>
        <v>30.14</v>
      </c>
      <c r="M39" s="274">
        <f t="shared" si="32"/>
        <v>5.682</v>
      </c>
      <c r="N39" s="212">
        <f t="shared" si="32"/>
        <v>39.33</v>
      </c>
      <c r="O39" s="274">
        <f t="shared" si="32"/>
        <v>1.0070000000000001</v>
      </c>
      <c r="P39" s="212">
        <f t="shared" si="32"/>
        <v>358.49</v>
      </c>
      <c r="Q39" s="212">
        <f t="shared" si="32"/>
        <v>2.08</v>
      </c>
      <c r="R39" s="212">
        <f t="shared" si="23"/>
        <v>89.02</v>
      </c>
      <c r="S39" s="212">
        <f t="shared" si="23"/>
        <v>1.35</v>
      </c>
      <c r="T39" s="212">
        <f t="shared" si="23"/>
        <v>89.02</v>
      </c>
      <c r="U39" s="212">
        <f t="shared" si="23"/>
        <v>0.59</v>
      </c>
      <c r="V39" s="212">
        <f t="shared" si="23"/>
        <v>46.85</v>
      </c>
      <c r="W39" s="212">
        <f t="shared" si="23"/>
        <v>0.22</v>
      </c>
      <c r="X39" s="212">
        <f t="shared" si="23"/>
        <v>56.73</v>
      </c>
      <c r="Y39" s="212">
        <f t="shared" si="23"/>
        <v>5.1</v>
      </c>
      <c r="Z39" s="212">
        <f t="shared" si="23"/>
        <v>1169.85</v>
      </c>
      <c r="AA39" s="257">
        <v>76.49</v>
      </c>
      <c r="AB39" s="212">
        <f t="shared" si="17"/>
        <v>365.31</v>
      </c>
      <c r="AC39" s="212">
        <f t="shared" si="17"/>
        <v>14.22</v>
      </c>
      <c r="AD39" s="212">
        <f t="shared" si="17"/>
        <v>0</v>
      </c>
      <c r="AE39" s="258">
        <v>26.63</v>
      </c>
      <c r="AF39" s="212">
        <f t="shared" si="18"/>
        <v>0</v>
      </c>
      <c r="AG39" s="208">
        <v>0</v>
      </c>
      <c r="AH39" s="208">
        <v>0</v>
      </c>
      <c r="AI39" s="208">
        <v>0</v>
      </c>
      <c r="AJ39" s="258">
        <v>6284</v>
      </c>
      <c r="AK39" s="258">
        <v>699.73</v>
      </c>
      <c r="AL39" s="212">
        <f t="shared" si="19"/>
        <v>1733.84</v>
      </c>
      <c r="AM39" s="212">
        <f t="shared" si="19"/>
        <v>122.9</v>
      </c>
      <c r="AN39" s="208">
        <v>463</v>
      </c>
      <c r="AO39" s="208">
        <v>28.36</v>
      </c>
      <c r="AP39" s="257">
        <f t="shared" si="24"/>
        <v>4233.92</v>
      </c>
      <c r="AQ39" s="258">
        <v>41.09</v>
      </c>
      <c r="AR39" s="258">
        <v>146</v>
      </c>
      <c r="AS39" s="258">
        <v>13.9</v>
      </c>
      <c r="AT39" s="212">
        <f t="shared" si="20"/>
        <v>2858.59</v>
      </c>
      <c r="AU39" s="212">
        <f t="shared" si="20"/>
        <v>14.17</v>
      </c>
      <c r="AW39" s="271">
        <f t="shared" si="26"/>
        <v>6893</v>
      </c>
      <c r="AX39" s="271">
        <f t="shared" si="29"/>
        <v>907.63</v>
      </c>
      <c r="AZ39" s="209" t="s">
        <v>10</v>
      </c>
    </row>
    <row r="40" spans="1:52" ht="12" customHeight="1">
      <c r="A40" s="200">
        <f aca="true" t="shared" si="33" ref="A40:A47">+E40+J40+L40+N40+P40</f>
        <v>2350.77</v>
      </c>
      <c r="B40" s="206">
        <f aca="true" t="shared" si="34" ref="B40:B47">+F40+H40+I40+K40+M40+O40+Q40</f>
        <v>43.800999999999995</v>
      </c>
      <c r="D40" s="209" t="s">
        <v>47</v>
      </c>
      <c r="E40" s="212">
        <f t="shared" si="27"/>
        <v>1665</v>
      </c>
      <c r="F40" s="212">
        <f t="shared" si="27"/>
        <v>10.38</v>
      </c>
      <c r="G40" s="212">
        <f aca="true" t="shared" si="35" ref="G40:Q40">+G16</f>
        <v>49</v>
      </c>
      <c r="H40" s="212">
        <f t="shared" si="21"/>
        <v>0</v>
      </c>
      <c r="I40" s="212">
        <f t="shared" si="35"/>
        <v>21.97</v>
      </c>
      <c r="J40" s="212">
        <f t="shared" si="35"/>
        <v>257.81</v>
      </c>
      <c r="K40" s="212">
        <f t="shared" si="35"/>
        <v>2.14</v>
      </c>
      <c r="L40" s="212">
        <f t="shared" si="35"/>
        <v>30.14</v>
      </c>
      <c r="M40" s="274">
        <f t="shared" si="35"/>
        <v>6.224</v>
      </c>
      <c r="N40" s="212">
        <f t="shared" si="35"/>
        <v>39.33</v>
      </c>
      <c r="O40" s="274">
        <f t="shared" si="35"/>
        <v>1.0070000000000001</v>
      </c>
      <c r="P40" s="212">
        <f t="shared" si="35"/>
        <v>358.49</v>
      </c>
      <c r="Q40" s="212">
        <f t="shared" si="35"/>
        <v>2.08</v>
      </c>
      <c r="R40" s="212">
        <f t="shared" si="23"/>
        <v>89.02</v>
      </c>
      <c r="S40" s="212">
        <f t="shared" si="23"/>
        <v>1.35</v>
      </c>
      <c r="T40" s="212">
        <f t="shared" si="23"/>
        <v>89.02</v>
      </c>
      <c r="U40" s="212">
        <f t="shared" si="23"/>
        <v>0.59</v>
      </c>
      <c r="V40" s="212">
        <f t="shared" si="23"/>
        <v>46.85</v>
      </c>
      <c r="W40" s="212">
        <f t="shared" si="23"/>
        <v>0.22</v>
      </c>
      <c r="X40" s="212">
        <f t="shared" si="23"/>
        <v>56.73</v>
      </c>
      <c r="Y40" s="212">
        <f t="shared" si="23"/>
        <v>5.1</v>
      </c>
      <c r="Z40" s="212">
        <f t="shared" si="23"/>
        <v>1169.85</v>
      </c>
      <c r="AA40" s="257">
        <v>76.49</v>
      </c>
      <c r="AB40" s="212">
        <f t="shared" si="17"/>
        <v>365.31</v>
      </c>
      <c r="AC40" s="212">
        <f t="shared" si="17"/>
        <v>14.22</v>
      </c>
      <c r="AD40" s="212">
        <f t="shared" si="17"/>
        <v>0</v>
      </c>
      <c r="AE40" s="258">
        <v>66.96</v>
      </c>
      <c r="AF40" s="212">
        <f t="shared" si="18"/>
        <v>0</v>
      </c>
      <c r="AG40" s="208">
        <v>0</v>
      </c>
      <c r="AH40" s="208">
        <v>0</v>
      </c>
      <c r="AI40" s="208">
        <v>0</v>
      </c>
      <c r="AJ40" s="258">
        <v>6665</v>
      </c>
      <c r="AK40" s="258">
        <v>760.1</v>
      </c>
      <c r="AL40" s="212">
        <f t="shared" si="19"/>
        <v>1733.84</v>
      </c>
      <c r="AM40" s="212">
        <f t="shared" si="19"/>
        <v>89.06</v>
      </c>
      <c r="AN40" s="208">
        <v>574</v>
      </c>
      <c r="AO40" s="208">
        <v>30.02</v>
      </c>
      <c r="AP40" s="257">
        <f t="shared" si="24"/>
        <v>4233.92</v>
      </c>
      <c r="AQ40" s="258">
        <v>53.45</v>
      </c>
      <c r="AR40" s="258">
        <v>139</v>
      </c>
      <c r="AS40" s="258">
        <v>18.6</v>
      </c>
      <c r="AT40" s="212">
        <f t="shared" si="20"/>
        <v>2858.59</v>
      </c>
      <c r="AU40" s="212">
        <f t="shared" si="20"/>
        <v>14.17</v>
      </c>
      <c r="AW40" s="271">
        <f t="shared" si="26"/>
        <v>7378</v>
      </c>
      <c r="AX40" s="271">
        <f t="shared" si="29"/>
        <v>1027.05</v>
      </c>
      <c r="AZ40" s="209" t="s">
        <v>47</v>
      </c>
    </row>
    <row r="41" spans="1:52" ht="12" customHeight="1">
      <c r="A41" s="200">
        <f t="shared" si="33"/>
        <v>2319.37</v>
      </c>
      <c r="B41" s="206">
        <f t="shared" si="34"/>
        <v>38.117000000000004</v>
      </c>
      <c r="C41" s="201">
        <v>4</v>
      </c>
      <c r="D41" s="209" t="s">
        <v>50</v>
      </c>
      <c r="E41" s="212">
        <f t="shared" si="27"/>
        <v>1627</v>
      </c>
      <c r="F41" s="212">
        <f t="shared" si="27"/>
        <v>10.36</v>
      </c>
      <c r="G41" s="212">
        <f aca="true" t="shared" si="36" ref="G41:Q41">+G17</f>
        <v>11</v>
      </c>
      <c r="H41" s="212">
        <f t="shared" si="21"/>
        <v>0</v>
      </c>
      <c r="I41" s="212">
        <f t="shared" si="36"/>
        <v>17.03</v>
      </c>
      <c r="J41" s="212">
        <f t="shared" si="36"/>
        <v>264.41</v>
      </c>
      <c r="K41" s="212">
        <f t="shared" si="36"/>
        <v>2.13</v>
      </c>
      <c r="L41" s="212">
        <f t="shared" si="36"/>
        <v>30.14</v>
      </c>
      <c r="M41" s="274">
        <f t="shared" si="36"/>
        <v>5.8260000000000005</v>
      </c>
      <c r="N41" s="212">
        <f t="shared" si="36"/>
        <v>39.33</v>
      </c>
      <c r="O41" s="274">
        <f t="shared" si="36"/>
        <v>0.691</v>
      </c>
      <c r="P41" s="212">
        <f t="shared" si="36"/>
        <v>358.49</v>
      </c>
      <c r="Q41" s="212">
        <f t="shared" si="36"/>
        <v>2.08</v>
      </c>
      <c r="R41" s="212">
        <f t="shared" si="23"/>
        <v>89.02</v>
      </c>
      <c r="S41" s="212">
        <f t="shared" si="23"/>
        <v>1.35</v>
      </c>
      <c r="T41" s="212">
        <f t="shared" si="23"/>
        <v>89.02</v>
      </c>
      <c r="U41" s="212">
        <f t="shared" si="23"/>
        <v>0.59</v>
      </c>
      <c r="V41" s="212">
        <f t="shared" si="23"/>
        <v>46.85</v>
      </c>
      <c r="W41" s="212">
        <f t="shared" si="23"/>
        <v>0.22</v>
      </c>
      <c r="X41" s="212">
        <f t="shared" si="23"/>
        <v>56.73</v>
      </c>
      <c r="Y41" s="212">
        <f t="shared" si="23"/>
        <v>5.1</v>
      </c>
      <c r="Z41" s="212">
        <f t="shared" si="23"/>
        <v>1169.85</v>
      </c>
      <c r="AA41" s="257">
        <v>76.49</v>
      </c>
      <c r="AB41" s="212">
        <f t="shared" si="17"/>
        <v>365.31</v>
      </c>
      <c r="AC41" s="212">
        <f t="shared" si="17"/>
        <v>14.22</v>
      </c>
      <c r="AD41" s="212">
        <f t="shared" si="17"/>
        <v>0</v>
      </c>
      <c r="AE41" s="258">
        <v>66.96</v>
      </c>
      <c r="AF41" s="212">
        <f t="shared" si="18"/>
        <v>0</v>
      </c>
      <c r="AG41" s="208">
        <v>0</v>
      </c>
      <c r="AH41" s="208">
        <v>0</v>
      </c>
      <c r="AI41" s="208">
        <v>0</v>
      </c>
      <c r="AJ41" s="258">
        <v>6635</v>
      </c>
      <c r="AK41" s="258">
        <v>503.13</v>
      </c>
      <c r="AL41" s="212">
        <f t="shared" si="19"/>
        <v>1733.84</v>
      </c>
      <c r="AM41" s="212">
        <f t="shared" si="19"/>
        <v>89.06</v>
      </c>
      <c r="AN41" s="208">
        <v>548</v>
      </c>
      <c r="AO41" s="208">
        <v>39.14</v>
      </c>
      <c r="AP41" s="257">
        <f t="shared" si="24"/>
        <v>4233.92</v>
      </c>
      <c r="AQ41" s="258">
        <v>55.85</v>
      </c>
      <c r="AR41" s="258">
        <v>173</v>
      </c>
      <c r="AS41" s="258">
        <v>16.42</v>
      </c>
      <c r="AT41" s="212">
        <f t="shared" si="20"/>
        <v>2858.59</v>
      </c>
      <c r="AU41" s="212">
        <f t="shared" si="20"/>
        <v>14.17</v>
      </c>
      <c r="AW41" s="271">
        <f t="shared" si="26"/>
        <v>7356</v>
      </c>
      <c r="AX41" s="271">
        <f>+S41+U41+W41+Y41+AA41+AE41+AG41+AI41+AK41+AO41+AQ41+AS41+AU41</f>
        <v>779.4199999999998</v>
      </c>
      <c r="AZ41" s="209" t="s">
        <v>50</v>
      </c>
    </row>
    <row r="42" spans="1:52" ht="12" customHeight="1">
      <c r="A42" s="200">
        <f t="shared" si="33"/>
        <v>2319.37</v>
      </c>
      <c r="B42" s="206">
        <f t="shared" si="34"/>
        <v>38.117000000000004</v>
      </c>
      <c r="D42" s="209" t="s">
        <v>48</v>
      </c>
      <c r="E42" s="212">
        <f t="shared" si="27"/>
        <v>1627</v>
      </c>
      <c r="F42" s="212">
        <f t="shared" si="27"/>
        <v>10.36</v>
      </c>
      <c r="G42" s="212">
        <f aca="true" t="shared" si="37" ref="G42:Q42">+G18</f>
        <v>11</v>
      </c>
      <c r="H42" s="212">
        <f t="shared" si="21"/>
        <v>0</v>
      </c>
      <c r="I42" s="212">
        <f t="shared" si="37"/>
        <v>17.03</v>
      </c>
      <c r="J42" s="212">
        <f t="shared" si="37"/>
        <v>264.41</v>
      </c>
      <c r="K42" s="212">
        <f t="shared" si="37"/>
        <v>2.13</v>
      </c>
      <c r="L42" s="212">
        <f t="shared" si="37"/>
        <v>30.14</v>
      </c>
      <c r="M42" s="274">
        <f t="shared" si="37"/>
        <v>5.8260000000000005</v>
      </c>
      <c r="N42" s="212">
        <f t="shared" si="37"/>
        <v>39.33</v>
      </c>
      <c r="O42" s="274">
        <f t="shared" si="37"/>
        <v>0.691</v>
      </c>
      <c r="P42" s="212">
        <f t="shared" si="37"/>
        <v>358.49</v>
      </c>
      <c r="Q42" s="212">
        <f t="shared" si="37"/>
        <v>2.08</v>
      </c>
      <c r="R42" s="212">
        <f t="shared" si="23"/>
        <v>89.02</v>
      </c>
      <c r="S42" s="212">
        <f t="shared" si="23"/>
        <v>1.35</v>
      </c>
      <c r="T42" s="212">
        <f t="shared" si="23"/>
        <v>89.02</v>
      </c>
      <c r="U42" s="212">
        <f t="shared" si="23"/>
        <v>0.59</v>
      </c>
      <c r="V42" s="212">
        <f t="shared" si="23"/>
        <v>46.85</v>
      </c>
      <c r="W42" s="212">
        <f t="shared" si="23"/>
        <v>0.22</v>
      </c>
      <c r="X42" s="212">
        <f t="shared" si="23"/>
        <v>56.73</v>
      </c>
      <c r="Y42" s="212">
        <f t="shared" si="23"/>
        <v>5.1</v>
      </c>
      <c r="Z42" s="212">
        <f t="shared" si="23"/>
        <v>1169.85</v>
      </c>
      <c r="AA42" s="257">
        <v>76.49</v>
      </c>
      <c r="AB42" s="212">
        <f t="shared" si="17"/>
        <v>365.31</v>
      </c>
      <c r="AC42" s="212">
        <f t="shared" si="17"/>
        <v>14.22</v>
      </c>
      <c r="AD42" s="212">
        <f t="shared" si="17"/>
        <v>0</v>
      </c>
      <c r="AE42" s="258">
        <v>66.96</v>
      </c>
      <c r="AF42" s="212">
        <f t="shared" si="18"/>
        <v>0</v>
      </c>
      <c r="AG42" s="208">
        <v>0</v>
      </c>
      <c r="AH42" s="208">
        <v>0</v>
      </c>
      <c r="AI42" s="208">
        <v>0</v>
      </c>
      <c r="AJ42" s="258">
        <v>6635</v>
      </c>
      <c r="AK42" s="258">
        <v>503.13</v>
      </c>
      <c r="AL42" s="212">
        <f t="shared" si="19"/>
        <v>1733.84</v>
      </c>
      <c r="AM42" s="212">
        <f t="shared" si="19"/>
        <v>89.06</v>
      </c>
      <c r="AN42" s="208">
        <v>548</v>
      </c>
      <c r="AO42" s="208">
        <v>39.14</v>
      </c>
      <c r="AP42" s="257">
        <f t="shared" si="24"/>
        <v>4233.92</v>
      </c>
      <c r="AQ42" s="258">
        <v>55.85</v>
      </c>
      <c r="AR42" s="258">
        <v>173</v>
      </c>
      <c r="AS42" s="258">
        <v>16.42</v>
      </c>
      <c r="AT42" s="212">
        <f t="shared" si="20"/>
        <v>2858.59</v>
      </c>
      <c r="AU42" s="212">
        <f t="shared" si="20"/>
        <v>14.17</v>
      </c>
      <c r="AW42" s="271">
        <f t="shared" si="26"/>
        <v>7356</v>
      </c>
      <c r="AX42" s="271">
        <f t="shared" si="29"/>
        <v>779.4199999999998</v>
      </c>
      <c r="AZ42" s="209" t="s">
        <v>48</v>
      </c>
    </row>
    <row r="43" spans="1:52" ht="12" customHeight="1">
      <c r="A43" s="200">
        <f t="shared" si="33"/>
        <v>2319.37</v>
      </c>
      <c r="B43" s="206">
        <f t="shared" si="34"/>
        <v>38.117000000000004</v>
      </c>
      <c r="D43" s="209" t="s">
        <v>49</v>
      </c>
      <c r="E43" s="212">
        <f t="shared" si="27"/>
        <v>1627</v>
      </c>
      <c r="F43" s="212">
        <f t="shared" si="27"/>
        <v>10.36</v>
      </c>
      <c r="G43" s="212">
        <f aca="true" t="shared" si="38" ref="G43:Q43">+G19</f>
        <v>11</v>
      </c>
      <c r="H43" s="212">
        <f t="shared" si="21"/>
        <v>0</v>
      </c>
      <c r="I43" s="212">
        <f t="shared" si="38"/>
        <v>17.03</v>
      </c>
      <c r="J43" s="212">
        <f t="shared" si="38"/>
        <v>264.41</v>
      </c>
      <c r="K43" s="212">
        <f t="shared" si="38"/>
        <v>2.13</v>
      </c>
      <c r="L43" s="212">
        <f t="shared" si="38"/>
        <v>30.14</v>
      </c>
      <c r="M43" s="274">
        <f t="shared" si="38"/>
        <v>5.8260000000000005</v>
      </c>
      <c r="N43" s="212">
        <f t="shared" si="38"/>
        <v>39.33</v>
      </c>
      <c r="O43" s="274">
        <f t="shared" si="38"/>
        <v>0.691</v>
      </c>
      <c r="P43" s="212">
        <f t="shared" si="38"/>
        <v>358.49</v>
      </c>
      <c r="Q43" s="212">
        <f t="shared" si="38"/>
        <v>2.08</v>
      </c>
      <c r="R43" s="212">
        <f t="shared" si="23"/>
        <v>89.02</v>
      </c>
      <c r="S43" s="212">
        <f t="shared" si="23"/>
        <v>1.35</v>
      </c>
      <c r="T43" s="212">
        <f t="shared" si="23"/>
        <v>89.02</v>
      </c>
      <c r="U43" s="212">
        <f t="shared" si="23"/>
        <v>0.59</v>
      </c>
      <c r="V43" s="212">
        <f t="shared" si="23"/>
        <v>46.85</v>
      </c>
      <c r="W43" s="212">
        <f t="shared" si="23"/>
        <v>0.22</v>
      </c>
      <c r="X43" s="212">
        <f t="shared" si="23"/>
        <v>56.73</v>
      </c>
      <c r="Y43" s="212">
        <f t="shared" si="23"/>
        <v>5.1</v>
      </c>
      <c r="Z43" s="212">
        <f t="shared" si="23"/>
        <v>1169.85</v>
      </c>
      <c r="AA43" s="257">
        <v>76.49</v>
      </c>
      <c r="AB43" s="212">
        <f t="shared" si="17"/>
        <v>365.31</v>
      </c>
      <c r="AC43" s="212">
        <f t="shared" si="17"/>
        <v>14.22</v>
      </c>
      <c r="AD43" s="212">
        <f t="shared" si="17"/>
        <v>0</v>
      </c>
      <c r="AE43" s="258">
        <v>66.96</v>
      </c>
      <c r="AF43" s="212">
        <f t="shared" si="18"/>
        <v>0</v>
      </c>
      <c r="AG43" s="208">
        <v>0</v>
      </c>
      <c r="AH43" s="208">
        <v>0</v>
      </c>
      <c r="AI43" s="208">
        <v>0</v>
      </c>
      <c r="AJ43" s="258">
        <v>6635</v>
      </c>
      <c r="AK43" s="258">
        <v>503.13</v>
      </c>
      <c r="AL43" s="212">
        <f t="shared" si="19"/>
        <v>1733.84</v>
      </c>
      <c r="AM43" s="212">
        <f t="shared" si="19"/>
        <v>89.06</v>
      </c>
      <c r="AN43" s="208">
        <v>548</v>
      </c>
      <c r="AO43" s="208">
        <v>39.14</v>
      </c>
      <c r="AP43" s="257">
        <f t="shared" si="24"/>
        <v>4233.92</v>
      </c>
      <c r="AQ43" s="258">
        <v>55.85</v>
      </c>
      <c r="AR43" s="258">
        <v>173</v>
      </c>
      <c r="AS43" s="258">
        <v>16.42</v>
      </c>
      <c r="AT43" s="212">
        <f t="shared" si="20"/>
        <v>2858.59</v>
      </c>
      <c r="AU43" s="212">
        <f t="shared" si="20"/>
        <v>14.17</v>
      </c>
      <c r="AW43" s="271">
        <f t="shared" si="26"/>
        <v>7356</v>
      </c>
      <c r="AX43" s="271">
        <f t="shared" si="29"/>
        <v>779.4199999999998</v>
      </c>
      <c r="AZ43" s="209" t="s">
        <v>49</v>
      </c>
    </row>
    <row r="44" spans="1:52" ht="12" customHeight="1">
      <c r="A44" s="200">
        <f t="shared" si="33"/>
        <v>3973.66</v>
      </c>
      <c r="B44" s="206">
        <f t="shared" si="34"/>
        <v>44.12599999999999</v>
      </c>
      <c r="C44" s="201" t="s">
        <v>21</v>
      </c>
      <c r="D44" s="209" t="s">
        <v>11</v>
      </c>
      <c r="E44" s="212">
        <f t="shared" si="27"/>
        <v>3256</v>
      </c>
      <c r="F44" s="212">
        <f t="shared" si="27"/>
        <v>10.25</v>
      </c>
      <c r="G44" s="212">
        <f aca="true" t="shared" si="39" ref="G44:Q44">+G20</f>
        <v>1639</v>
      </c>
      <c r="H44" s="212">
        <f t="shared" si="21"/>
        <v>0</v>
      </c>
      <c r="I44" s="212">
        <f t="shared" si="39"/>
        <v>22.13</v>
      </c>
      <c r="J44" s="212">
        <f t="shared" si="39"/>
        <v>289.7</v>
      </c>
      <c r="K44" s="212">
        <f t="shared" si="39"/>
        <v>2.14</v>
      </c>
      <c r="L44" s="212">
        <f t="shared" si="39"/>
        <v>30.14</v>
      </c>
      <c r="M44" s="274">
        <f t="shared" si="39"/>
        <v>6.519</v>
      </c>
      <c r="N44" s="212">
        <f t="shared" si="39"/>
        <v>39.33</v>
      </c>
      <c r="O44" s="274">
        <f t="shared" si="39"/>
        <v>1.0070000000000001</v>
      </c>
      <c r="P44" s="212">
        <f t="shared" si="39"/>
        <v>358.49</v>
      </c>
      <c r="Q44" s="212">
        <f t="shared" si="39"/>
        <v>2.08</v>
      </c>
      <c r="R44" s="212">
        <f t="shared" si="23"/>
        <v>89.02</v>
      </c>
      <c r="S44" s="212">
        <f t="shared" si="23"/>
        <v>1.35</v>
      </c>
      <c r="T44" s="212">
        <f t="shared" si="23"/>
        <v>89.02</v>
      </c>
      <c r="U44" s="212">
        <f t="shared" si="23"/>
        <v>0.59</v>
      </c>
      <c r="V44" s="212">
        <f t="shared" si="23"/>
        <v>46.85</v>
      </c>
      <c r="W44" s="212">
        <f t="shared" si="23"/>
        <v>0.22</v>
      </c>
      <c r="X44" s="212">
        <f t="shared" si="23"/>
        <v>56.73</v>
      </c>
      <c r="Y44" s="212">
        <f t="shared" si="23"/>
        <v>16.56</v>
      </c>
      <c r="Z44" s="212">
        <f t="shared" si="23"/>
        <v>1169.85</v>
      </c>
      <c r="AA44" s="257">
        <v>76.49</v>
      </c>
      <c r="AB44" s="212">
        <f t="shared" si="17"/>
        <v>365.31</v>
      </c>
      <c r="AC44" s="212">
        <f t="shared" si="17"/>
        <v>14.22</v>
      </c>
      <c r="AD44" s="212">
        <f t="shared" si="17"/>
        <v>0</v>
      </c>
      <c r="AE44" s="258">
        <v>66.96</v>
      </c>
      <c r="AF44" s="212">
        <f t="shared" si="18"/>
        <v>0</v>
      </c>
      <c r="AG44" s="208">
        <v>0</v>
      </c>
      <c r="AH44" s="208">
        <v>0</v>
      </c>
      <c r="AI44" s="208">
        <v>0</v>
      </c>
      <c r="AJ44" s="258">
        <v>3899</v>
      </c>
      <c r="AK44" s="258">
        <v>708.43</v>
      </c>
      <c r="AL44" s="212">
        <f t="shared" si="19"/>
        <v>1733.84</v>
      </c>
      <c r="AM44" s="212">
        <f t="shared" si="19"/>
        <v>180.8</v>
      </c>
      <c r="AN44" s="208">
        <v>0</v>
      </c>
      <c r="AO44" s="208">
        <v>113.87</v>
      </c>
      <c r="AP44" s="257">
        <f t="shared" si="24"/>
        <v>4233.92</v>
      </c>
      <c r="AQ44" s="258">
        <v>106.99</v>
      </c>
      <c r="AR44" s="258">
        <v>148</v>
      </c>
      <c r="AS44" s="258">
        <v>22.78</v>
      </c>
      <c r="AT44" s="212">
        <f t="shared" si="20"/>
        <v>2858.59</v>
      </c>
      <c r="AU44" s="212">
        <f t="shared" si="20"/>
        <v>14.17</v>
      </c>
      <c r="AW44" s="271">
        <f t="shared" si="26"/>
        <v>4047</v>
      </c>
      <c r="AX44" s="271">
        <f t="shared" si="29"/>
        <v>1128.4099999999999</v>
      </c>
      <c r="AZ44" s="209" t="s">
        <v>11</v>
      </c>
    </row>
    <row r="45" spans="1:52" ht="12" customHeight="1">
      <c r="A45" s="200">
        <f t="shared" si="33"/>
        <v>2727.0699999999997</v>
      </c>
      <c r="B45" s="206">
        <f t="shared" si="34"/>
        <v>37.76</v>
      </c>
      <c r="D45" s="209" t="s">
        <v>12</v>
      </c>
      <c r="E45" s="200">
        <f>ROUND(0.6*E35+0.4*E39,2)</f>
        <v>2014.4</v>
      </c>
      <c r="F45" s="200">
        <f aca="true" t="shared" si="40" ref="F45:Q45">ROUND(0.6*F35+0.4*F39,2)</f>
        <v>10.6</v>
      </c>
      <c r="G45" s="200">
        <f t="shared" si="40"/>
        <v>396.6</v>
      </c>
      <c r="H45" s="200">
        <f t="shared" si="40"/>
        <v>0</v>
      </c>
      <c r="I45" s="200">
        <f t="shared" si="40"/>
        <v>16.23</v>
      </c>
      <c r="J45" s="200">
        <f t="shared" si="40"/>
        <v>284.71</v>
      </c>
      <c r="K45" s="200">
        <f t="shared" si="40"/>
        <v>2.42</v>
      </c>
      <c r="L45" s="200">
        <f t="shared" si="40"/>
        <v>30.14</v>
      </c>
      <c r="M45" s="210">
        <f t="shared" si="40"/>
        <v>5.68</v>
      </c>
      <c r="N45" s="200">
        <f t="shared" si="40"/>
        <v>39.33</v>
      </c>
      <c r="O45" s="210">
        <f t="shared" si="40"/>
        <v>0.75</v>
      </c>
      <c r="P45" s="200">
        <f t="shared" si="40"/>
        <v>358.49</v>
      </c>
      <c r="Q45" s="200">
        <f t="shared" si="40"/>
        <v>2.08</v>
      </c>
      <c r="R45" s="200">
        <f aca="true" t="shared" si="41" ref="R45:AT45">+R35+0.65*R39</f>
        <v>146.88299999999998</v>
      </c>
      <c r="S45" s="200">
        <f t="shared" si="41"/>
        <v>2.2275</v>
      </c>
      <c r="T45" s="200">
        <f t="shared" si="41"/>
        <v>146.88299999999998</v>
      </c>
      <c r="U45" s="200">
        <f t="shared" si="41"/>
        <v>0.9735</v>
      </c>
      <c r="V45" s="200">
        <f t="shared" si="41"/>
        <v>77.30250000000001</v>
      </c>
      <c r="W45" s="200">
        <f t="shared" si="41"/>
        <v>0.363</v>
      </c>
      <c r="X45" s="200">
        <f t="shared" si="41"/>
        <v>93.6045</v>
      </c>
      <c r="Y45" s="200">
        <f t="shared" si="41"/>
        <v>8.415</v>
      </c>
      <c r="Z45" s="200">
        <f t="shared" si="41"/>
        <v>1930.2524999999998</v>
      </c>
      <c r="AA45" s="200">
        <f t="shared" si="41"/>
        <v>126.20849999999999</v>
      </c>
      <c r="AB45" s="200">
        <f t="shared" si="41"/>
        <v>602.7615000000001</v>
      </c>
      <c r="AC45" s="200">
        <f t="shared" si="41"/>
        <v>23.463</v>
      </c>
      <c r="AD45" s="200">
        <f t="shared" si="41"/>
        <v>0</v>
      </c>
      <c r="AE45" s="200">
        <f t="shared" si="41"/>
        <v>94.5595</v>
      </c>
      <c r="AF45" s="200">
        <f t="shared" si="41"/>
        <v>0</v>
      </c>
      <c r="AG45" s="200">
        <f t="shared" si="41"/>
        <v>0</v>
      </c>
      <c r="AH45" s="200">
        <f t="shared" si="41"/>
        <v>0</v>
      </c>
      <c r="AI45" s="200">
        <f t="shared" si="41"/>
        <v>0</v>
      </c>
      <c r="AJ45" s="200">
        <f t="shared" si="41"/>
        <v>10138.6</v>
      </c>
      <c r="AK45" s="200">
        <f t="shared" si="41"/>
        <v>1255.3845</v>
      </c>
      <c r="AL45" s="200">
        <f t="shared" si="41"/>
        <v>2860.8360000000002</v>
      </c>
      <c r="AM45" s="200">
        <f t="shared" si="41"/>
        <v>202.78500000000003</v>
      </c>
      <c r="AN45" s="200">
        <f t="shared" si="41"/>
        <v>1000.95</v>
      </c>
      <c r="AO45" s="200">
        <f t="shared" si="41"/>
        <v>63.873999999999995</v>
      </c>
      <c r="AP45" s="200">
        <f t="shared" si="41"/>
        <v>6985.968000000001</v>
      </c>
      <c r="AQ45" s="200">
        <f t="shared" si="41"/>
        <v>114.4385</v>
      </c>
      <c r="AR45" s="200">
        <f t="shared" si="41"/>
        <v>218.9</v>
      </c>
      <c r="AS45" s="200">
        <f t="shared" si="41"/>
        <v>29.285</v>
      </c>
      <c r="AT45" s="200">
        <f t="shared" si="41"/>
        <v>4716.673500000001</v>
      </c>
      <c r="AU45" s="200">
        <f>+AU35+0.65*AU39</f>
        <v>23.380499999999998</v>
      </c>
      <c r="AV45" s="200"/>
      <c r="AW45" s="271">
        <f t="shared" si="26"/>
        <v>11358.45</v>
      </c>
      <c r="AX45" s="271">
        <f t="shared" si="29"/>
        <v>1719.1095</v>
      </c>
      <c r="AZ45" s="209" t="s">
        <v>12</v>
      </c>
    </row>
    <row r="46" spans="1:52" ht="12" customHeight="1">
      <c r="A46" s="200">
        <f t="shared" si="33"/>
        <v>2344.84</v>
      </c>
      <c r="B46" s="206">
        <f t="shared" si="34"/>
        <v>37.4</v>
      </c>
      <c r="D46" s="209" t="s">
        <v>13</v>
      </c>
      <c r="E46" s="200">
        <f>ROUND(0.6*E36+0.4*E39,2)</f>
        <v>1647.8</v>
      </c>
      <c r="F46" s="200">
        <f aca="true" t="shared" si="42" ref="F46:Q46">ROUND(0.6*F36+0.4*F39,2)</f>
        <v>10.6</v>
      </c>
      <c r="G46" s="200">
        <f t="shared" si="42"/>
        <v>30</v>
      </c>
      <c r="H46" s="200">
        <f t="shared" si="42"/>
        <v>0</v>
      </c>
      <c r="I46" s="200">
        <f t="shared" si="42"/>
        <v>15.92</v>
      </c>
      <c r="J46" s="200">
        <f t="shared" si="42"/>
        <v>269.08</v>
      </c>
      <c r="K46" s="200">
        <f t="shared" si="42"/>
        <v>2.37</v>
      </c>
      <c r="L46" s="200">
        <f t="shared" si="42"/>
        <v>30.14</v>
      </c>
      <c r="M46" s="210">
        <f t="shared" si="42"/>
        <v>5.68</v>
      </c>
      <c r="N46" s="200">
        <f t="shared" si="42"/>
        <v>39.33</v>
      </c>
      <c r="O46" s="210">
        <f t="shared" si="42"/>
        <v>0.75</v>
      </c>
      <c r="P46" s="200">
        <f t="shared" si="42"/>
        <v>358.49</v>
      </c>
      <c r="Q46" s="200">
        <f t="shared" si="42"/>
        <v>2.08</v>
      </c>
      <c r="R46" s="200">
        <f aca="true" t="shared" si="43" ref="R46:AT46">+R36+0.65*R39</f>
        <v>146.88299999999998</v>
      </c>
      <c r="S46" s="200">
        <f t="shared" si="43"/>
        <v>2.2275</v>
      </c>
      <c r="T46" s="200">
        <f t="shared" si="43"/>
        <v>146.88299999999998</v>
      </c>
      <c r="U46" s="200">
        <f t="shared" si="43"/>
        <v>0.9735</v>
      </c>
      <c r="V46" s="200">
        <f t="shared" si="43"/>
        <v>77.30250000000001</v>
      </c>
      <c r="W46" s="200">
        <f t="shared" si="43"/>
        <v>0.363</v>
      </c>
      <c r="X46" s="200">
        <f t="shared" si="43"/>
        <v>93.6045</v>
      </c>
      <c r="Y46" s="200">
        <f t="shared" si="43"/>
        <v>8.415</v>
      </c>
      <c r="Z46" s="200">
        <f t="shared" si="43"/>
        <v>1930.2524999999998</v>
      </c>
      <c r="AA46" s="200">
        <f t="shared" si="43"/>
        <v>126.20849999999999</v>
      </c>
      <c r="AB46" s="200">
        <f t="shared" si="43"/>
        <v>602.7615000000001</v>
      </c>
      <c r="AC46" s="200">
        <f t="shared" si="43"/>
        <v>23.463</v>
      </c>
      <c r="AD46" s="200">
        <f t="shared" si="43"/>
        <v>0</v>
      </c>
      <c r="AE46" s="200">
        <f t="shared" si="43"/>
        <v>84.2695</v>
      </c>
      <c r="AF46" s="200">
        <f t="shared" si="43"/>
        <v>0</v>
      </c>
      <c r="AG46" s="200">
        <f t="shared" si="43"/>
        <v>0</v>
      </c>
      <c r="AH46" s="200">
        <f t="shared" si="43"/>
        <v>0</v>
      </c>
      <c r="AI46" s="200">
        <f t="shared" si="43"/>
        <v>0</v>
      </c>
      <c r="AJ46" s="200">
        <f t="shared" si="43"/>
        <v>9524.6</v>
      </c>
      <c r="AK46" s="200">
        <f t="shared" si="43"/>
        <v>1210.2445</v>
      </c>
      <c r="AL46" s="200">
        <f t="shared" si="43"/>
        <v>2860.8360000000002</v>
      </c>
      <c r="AM46" s="200">
        <f t="shared" si="43"/>
        <v>202.78500000000003</v>
      </c>
      <c r="AN46" s="200">
        <f t="shared" si="43"/>
        <v>984.95</v>
      </c>
      <c r="AO46" s="200">
        <f t="shared" si="43"/>
        <v>63.104</v>
      </c>
      <c r="AP46" s="200">
        <f t="shared" si="43"/>
        <v>6985.968000000001</v>
      </c>
      <c r="AQ46" s="200">
        <f t="shared" si="43"/>
        <v>117.5185</v>
      </c>
      <c r="AR46" s="200">
        <f t="shared" si="43"/>
        <v>245.9</v>
      </c>
      <c r="AS46" s="200">
        <f t="shared" si="43"/>
        <v>28.575</v>
      </c>
      <c r="AT46" s="200">
        <f t="shared" si="43"/>
        <v>4716.673500000001</v>
      </c>
      <c r="AU46" s="200">
        <f>+AU36+0.65*AU39</f>
        <v>23.380499999999998</v>
      </c>
      <c r="AV46" s="200"/>
      <c r="AW46" s="271">
        <f t="shared" si="26"/>
        <v>10755.45</v>
      </c>
      <c r="AX46" s="271">
        <f t="shared" si="29"/>
        <v>1665.2795</v>
      </c>
      <c r="AZ46" s="209" t="s">
        <v>13</v>
      </c>
    </row>
    <row r="47" spans="1:52" ht="12" customHeight="1">
      <c r="A47" s="200">
        <f t="shared" si="33"/>
        <v>2956.3999999999996</v>
      </c>
      <c r="B47" s="206">
        <f t="shared" si="34"/>
        <v>37.358</v>
      </c>
      <c r="D47" s="209" t="s">
        <v>14</v>
      </c>
      <c r="E47" s="200">
        <f>+E35</f>
        <v>2230</v>
      </c>
      <c r="F47" s="200">
        <f aca="true" t="shared" si="44" ref="F47:Q47">+F35</f>
        <v>10.75</v>
      </c>
      <c r="G47" s="200">
        <f t="shared" si="44"/>
        <v>611</v>
      </c>
      <c r="H47" s="200">
        <f t="shared" si="44"/>
        <v>0</v>
      </c>
      <c r="I47" s="200">
        <f t="shared" si="44"/>
        <v>15.66</v>
      </c>
      <c r="J47" s="200">
        <f t="shared" si="44"/>
        <v>298.44</v>
      </c>
      <c r="K47" s="200">
        <f t="shared" si="44"/>
        <v>2.61</v>
      </c>
      <c r="L47" s="200">
        <f t="shared" si="44"/>
        <v>30.14</v>
      </c>
      <c r="M47" s="210">
        <f t="shared" si="44"/>
        <v>5.682</v>
      </c>
      <c r="N47" s="200">
        <f t="shared" si="44"/>
        <v>39.33</v>
      </c>
      <c r="O47" s="210">
        <f t="shared" si="44"/>
        <v>0.576</v>
      </c>
      <c r="P47" s="200">
        <f t="shared" si="44"/>
        <v>358.49</v>
      </c>
      <c r="Q47" s="200">
        <f t="shared" si="44"/>
        <v>2.08</v>
      </c>
      <c r="R47" s="200">
        <f aca="true" t="shared" si="45" ref="R47:AT47">+R35+0.65*R33</f>
        <v>146.88299999999998</v>
      </c>
      <c r="S47" s="200">
        <f t="shared" si="45"/>
        <v>2.2275</v>
      </c>
      <c r="T47" s="200">
        <f t="shared" si="45"/>
        <v>146.88299999999998</v>
      </c>
      <c r="U47" s="200">
        <f t="shared" si="45"/>
        <v>0.9735</v>
      </c>
      <c r="V47" s="200">
        <f t="shared" si="45"/>
        <v>77.30250000000001</v>
      </c>
      <c r="W47" s="200">
        <f t="shared" si="45"/>
        <v>0.363</v>
      </c>
      <c r="X47" s="200">
        <f t="shared" si="45"/>
        <v>93.6045</v>
      </c>
      <c r="Y47" s="200">
        <f t="shared" si="45"/>
        <v>8.415</v>
      </c>
      <c r="Z47" s="200">
        <f t="shared" si="45"/>
        <v>1930.2524999999998</v>
      </c>
      <c r="AA47" s="200">
        <f t="shared" si="45"/>
        <v>126.20849999999999</v>
      </c>
      <c r="AB47" s="200">
        <f t="shared" si="45"/>
        <v>602.7615000000001</v>
      </c>
      <c r="AC47" s="200">
        <f t="shared" si="45"/>
        <v>23.463</v>
      </c>
      <c r="AD47" s="200">
        <f t="shared" si="45"/>
        <v>0</v>
      </c>
      <c r="AE47" s="200">
        <f t="shared" si="45"/>
        <v>127.4625</v>
      </c>
      <c r="AF47" s="200">
        <f t="shared" si="45"/>
        <v>0</v>
      </c>
      <c r="AG47" s="200">
        <f t="shared" si="45"/>
        <v>0</v>
      </c>
      <c r="AH47" s="200">
        <f t="shared" si="45"/>
        <v>0</v>
      </c>
      <c r="AI47" s="200">
        <f t="shared" si="45"/>
        <v>0</v>
      </c>
      <c r="AJ47" s="200">
        <f t="shared" si="45"/>
        <v>9989.1</v>
      </c>
      <c r="AK47" s="200">
        <f t="shared" si="45"/>
        <v>1320.924</v>
      </c>
      <c r="AL47" s="200">
        <f t="shared" si="45"/>
        <v>2860.8360000000002</v>
      </c>
      <c r="AM47" s="200">
        <f t="shared" si="45"/>
        <v>202.78500000000003</v>
      </c>
      <c r="AN47" s="200">
        <f t="shared" si="45"/>
        <v>1155</v>
      </c>
      <c r="AO47" s="200">
        <f t="shared" si="45"/>
        <v>74.976</v>
      </c>
      <c r="AP47" s="200">
        <f t="shared" si="45"/>
        <v>6985.968000000001</v>
      </c>
      <c r="AQ47" s="200">
        <f t="shared" si="45"/>
        <v>144.7545</v>
      </c>
      <c r="AR47" s="200">
        <f t="shared" si="45"/>
        <v>204.60000000000002</v>
      </c>
      <c r="AS47" s="200">
        <f t="shared" si="45"/>
        <v>33.4125</v>
      </c>
      <c r="AT47" s="200">
        <f t="shared" si="45"/>
        <v>4716.673500000001</v>
      </c>
      <c r="AU47" s="200">
        <f>+AU35+0.65*AU33</f>
        <v>23.380499999999998</v>
      </c>
      <c r="AV47" s="200"/>
      <c r="AW47" s="271">
        <f t="shared" si="26"/>
        <v>11348.7</v>
      </c>
      <c r="AX47" s="271">
        <f t="shared" si="29"/>
        <v>1863.0975</v>
      </c>
      <c r="AZ47" s="209" t="s">
        <v>14</v>
      </c>
    </row>
    <row r="50" spans="4:9" ht="12" customHeight="1">
      <c r="D50" s="243" t="s">
        <v>98</v>
      </c>
      <c r="E50" s="243"/>
      <c r="F50" s="243"/>
      <c r="G50" s="243"/>
      <c r="H50" s="243"/>
      <c r="I50" s="197"/>
    </row>
    <row r="51" spans="4:9" ht="12" customHeight="1">
      <c r="D51" s="197" t="s">
        <v>0</v>
      </c>
      <c r="E51" s="197" t="s">
        <v>99</v>
      </c>
      <c r="F51" s="197" t="s">
        <v>28</v>
      </c>
      <c r="G51" s="197"/>
      <c r="H51" s="197" t="s">
        <v>24</v>
      </c>
      <c r="I51" s="197"/>
    </row>
    <row r="52" spans="4:12" ht="12" customHeight="1">
      <c r="D52" s="197"/>
      <c r="E52" s="197" t="s">
        <v>4</v>
      </c>
      <c r="F52" s="197" t="s">
        <v>100</v>
      </c>
      <c r="G52" s="197" t="s">
        <v>5</v>
      </c>
      <c r="H52" s="197" t="s">
        <v>22</v>
      </c>
      <c r="I52" s="197" t="s">
        <v>5</v>
      </c>
      <c r="L52" s="195" t="s">
        <v>192</v>
      </c>
    </row>
    <row r="53" spans="4:9" ht="12" customHeight="1">
      <c r="D53" s="201" t="s">
        <v>51</v>
      </c>
      <c r="E53" s="275">
        <v>0</v>
      </c>
      <c r="F53" s="275">
        <v>0</v>
      </c>
      <c r="G53" s="275">
        <v>0</v>
      </c>
      <c r="H53" s="275">
        <v>0</v>
      </c>
      <c r="I53" s="275">
        <v>0</v>
      </c>
    </row>
    <row r="54" spans="4:9" ht="12" customHeight="1">
      <c r="D54" s="201" t="s">
        <v>46</v>
      </c>
      <c r="E54" s="275">
        <v>0</v>
      </c>
      <c r="F54" s="275">
        <v>0</v>
      </c>
      <c r="G54" s="275">
        <v>0</v>
      </c>
      <c r="H54" s="275">
        <v>0</v>
      </c>
      <c r="I54" s="275">
        <v>0</v>
      </c>
    </row>
    <row r="55" spans="4:19" ht="12" customHeight="1">
      <c r="D55" s="197" t="s">
        <v>6</v>
      </c>
      <c r="E55" s="275">
        <v>366.06</v>
      </c>
      <c r="F55" s="275">
        <v>83.72</v>
      </c>
      <c r="G55" s="275">
        <v>104.31</v>
      </c>
      <c r="H55" s="275">
        <v>128.93</v>
      </c>
      <c r="I55" s="275">
        <v>102.83</v>
      </c>
      <c r="K55" s="200">
        <f aca="true" t="shared" si="46" ref="K55:L59">+A11</f>
        <v>2956.3999999999996</v>
      </c>
      <c r="L55" s="206">
        <f t="shared" si="46"/>
        <v>37.358</v>
      </c>
      <c r="N55" s="209" t="s">
        <v>6</v>
      </c>
      <c r="O55" s="196">
        <f>$K55+$L55*E55</f>
        <v>16631.669479999997</v>
      </c>
      <c r="P55" s="196">
        <f aca="true" t="shared" si="47" ref="P55:P63">+$L55*F55</f>
        <v>3127.61176</v>
      </c>
      <c r="Q55" s="196">
        <f aca="true" t="shared" si="48" ref="Q55:Q63">+$L55*G55</f>
        <v>3896.8129799999997</v>
      </c>
      <c r="R55" s="196">
        <f aca="true" t="shared" si="49" ref="R55:R63">+$L55*H55</f>
        <v>4816.56694</v>
      </c>
      <c r="S55" s="196">
        <f aca="true" t="shared" si="50" ref="S55:S63">+$L55*I55</f>
        <v>3841.52314</v>
      </c>
    </row>
    <row r="56" spans="4:19" ht="12" customHeight="1">
      <c r="D56" s="197" t="s">
        <v>7</v>
      </c>
      <c r="E56" s="275">
        <v>149.52</v>
      </c>
      <c r="F56" s="275">
        <v>84.23</v>
      </c>
      <c r="G56" s="275">
        <v>136.85</v>
      </c>
      <c r="H56" s="275">
        <v>137.42</v>
      </c>
      <c r="I56" s="275">
        <v>104.95</v>
      </c>
      <c r="K56" s="200">
        <f t="shared" si="46"/>
        <v>2319.34</v>
      </c>
      <c r="L56" s="206">
        <f t="shared" si="46"/>
        <v>36.758</v>
      </c>
      <c r="N56" s="209" t="s">
        <v>7</v>
      </c>
      <c r="O56" s="196">
        <f>$K56+$L56*E56</f>
        <v>7815.396160000001</v>
      </c>
      <c r="P56" s="196">
        <f t="shared" si="47"/>
        <v>3096.1263400000003</v>
      </c>
      <c r="Q56" s="196">
        <f t="shared" si="48"/>
        <v>5030.3323</v>
      </c>
      <c r="R56" s="196">
        <f t="shared" si="49"/>
        <v>5051.28436</v>
      </c>
      <c r="S56" s="196">
        <f t="shared" si="50"/>
        <v>3857.7521000000006</v>
      </c>
    </row>
    <row r="57" spans="4:19" ht="12" customHeight="1">
      <c r="D57" s="197" t="s">
        <v>8</v>
      </c>
      <c r="E57" s="275">
        <v>149.52</v>
      </c>
      <c r="F57" s="275">
        <v>84.23</v>
      </c>
      <c r="G57" s="275">
        <v>136.85</v>
      </c>
      <c r="H57" s="275">
        <v>0</v>
      </c>
      <c r="I57" s="275">
        <v>0</v>
      </c>
      <c r="K57" s="200">
        <f t="shared" si="46"/>
        <v>2302.34</v>
      </c>
      <c r="L57" s="206">
        <f t="shared" si="46"/>
        <v>37.367999999999995</v>
      </c>
      <c r="N57" s="209" t="s">
        <v>8</v>
      </c>
      <c r="O57" s="196">
        <f>$K57+$L57*E57</f>
        <v>7889.60336</v>
      </c>
      <c r="P57" s="196">
        <f t="shared" si="47"/>
        <v>3147.5066399999996</v>
      </c>
      <c r="Q57" s="196">
        <f t="shared" si="48"/>
        <v>5113.810799999999</v>
      </c>
      <c r="R57" s="196">
        <f t="shared" si="49"/>
        <v>0</v>
      </c>
      <c r="S57" s="196">
        <f t="shared" si="50"/>
        <v>0</v>
      </c>
    </row>
    <row r="58" spans="4:19" ht="12" customHeight="1">
      <c r="D58" s="197" t="s">
        <v>9</v>
      </c>
      <c r="E58" s="275">
        <v>238.99</v>
      </c>
      <c r="F58" s="275">
        <v>193.02</v>
      </c>
      <c r="G58" s="275">
        <v>184.35</v>
      </c>
      <c r="H58" s="275">
        <v>161.59</v>
      </c>
      <c r="I58" s="275">
        <v>142.22</v>
      </c>
      <c r="K58" s="200">
        <f t="shared" si="46"/>
        <v>5339.25</v>
      </c>
      <c r="L58" s="206">
        <f t="shared" si="46"/>
        <v>37.650999999999996</v>
      </c>
      <c r="N58" s="209" t="s">
        <v>9</v>
      </c>
      <c r="O58" s="196">
        <f>$K58+$L58*E58</f>
        <v>14337.46249</v>
      </c>
      <c r="P58" s="196">
        <f t="shared" si="47"/>
        <v>7267.396019999999</v>
      </c>
      <c r="Q58" s="196">
        <f t="shared" si="48"/>
        <v>6940.961849999999</v>
      </c>
      <c r="R58" s="196">
        <f t="shared" si="49"/>
        <v>6084.025089999999</v>
      </c>
      <c r="S58" s="196">
        <f t="shared" si="50"/>
        <v>5354.725219999999</v>
      </c>
    </row>
    <row r="59" spans="4:19" ht="12" customHeight="1">
      <c r="D59" s="197" t="s">
        <v>10</v>
      </c>
      <c r="E59" s="275">
        <v>139.49</v>
      </c>
      <c r="F59" s="275">
        <v>107.2</v>
      </c>
      <c r="G59" s="275">
        <v>130.59</v>
      </c>
      <c r="H59" s="275">
        <v>144.73</v>
      </c>
      <c r="I59" s="275">
        <v>125.13</v>
      </c>
      <c r="K59" s="200">
        <f t="shared" si="46"/>
        <v>2383.08</v>
      </c>
      <c r="L59" s="206">
        <f t="shared" si="46"/>
        <v>38.369</v>
      </c>
      <c r="N59" s="209" t="s">
        <v>10</v>
      </c>
      <c r="O59" s="196">
        <f>$K59+$L59*E59</f>
        <v>7735.17181</v>
      </c>
      <c r="P59" s="196">
        <f t="shared" si="47"/>
        <v>4113.1568</v>
      </c>
      <c r="Q59" s="196">
        <f t="shared" si="48"/>
        <v>5010.60771</v>
      </c>
      <c r="R59" s="196">
        <f t="shared" si="49"/>
        <v>5553.145369999999</v>
      </c>
      <c r="S59" s="196">
        <f t="shared" si="50"/>
        <v>4801.11297</v>
      </c>
    </row>
    <row r="60" spans="4:19" ht="12" customHeight="1">
      <c r="D60" s="197" t="s">
        <v>47</v>
      </c>
      <c r="E60" s="275">
        <v>137.53</v>
      </c>
      <c r="F60" s="275">
        <v>102.82</v>
      </c>
      <c r="G60" s="275">
        <v>129.82</v>
      </c>
      <c r="H60" s="275">
        <v>125.04</v>
      </c>
      <c r="I60" s="275">
        <v>103.13</v>
      </c>
      <c r="K60" s="200">
        <f aca="true" t="shared" si="51" ref="K60:L64">+A16</f>
        <v>2350.77</v>
      </c>
      <c r="L60" s="206">
        <f t="shared" si="51"/>
        <v>43.800999999999995</v>
      </c>
      <c r="N60" s="209" t="s">
        <v>47</v>
      </c>
      <c r="O60" s="196">
        <f aca="true" t="shared" si="52" ref="O60:O67">$K60+$L60*E60</f>
        <v>8374.721529999999</v>
      </c>
      <c r="P60" s="196">
        <f t="shared" si="47"/>
        <v>4503.618819999999</v>
      </c>
      <c r="Q60" s="196">
        <f t="shared" si="48"/>
        <v>5686.245819999999</v>
      </c>
      <c r="R60" s="196">
        <f t="shared" si="49"/>
        <v>5476.877039999999</v>
      </c>
      <c r="S60" s="196">
        <f t="shared" si="50"/>
        <v>4517.19713</v>
      </c>
    </row>
    <row r="61" spans="4:19" ht="12" customHeight="1">
      <c r="D61" s="209" t="s">
        <v>50</v>
      </c>
      <c r="E61" s="275">
        <v>112</v>
      </c>
      <c r="F61" s="275">
        <v>112.68</v>
      </c>
      <c r="G61" s="275">
        <v>131.15</v>
      </c>
      <c r="H61" s="275">
        <v>167.51</v>
      </c>
      <c r="I61" s="275">
        <v>93.53</v>
      </c>
      <c r="K61" s="200">
        <f t="shared" si="51"/>
        <v>2319.37</v>
      </c>
      <c r="L61" s="206">
        <f t="shared" si="51"/>
        <v>38.117000000000004</v>
      </c>
      <c r="N61" s="209" t="s">
        <v>50</v>
      </c>
      <c r="O61" s="196">
        <f t="shared" si="52"/>
        <v>6588.474</v>
      </c>
      <c r="P61" s="196">
        <f t="shared" si="47"/>
        <v>4295.0235600000005</v>
      </c>
      <c r="Q61" s="196">
        <f t="shared" si="48"/>
        <v>4999.0445500000005</v>
      </c>
      <c r="R61" s="196">
        <f t="shared" si="49"/>
        <v>6384.97867</v>
      </c>
      <c r="S61" s="196">
        <f t="shared" si="50"/>
        <v>3565.0830100000003</v>
      </c>
    </row>
    <row r="62" spans="4:19" ht="12" customHeight="1">
      <c r="D62" s="209" t="s">
        <v>48</v>
      </c>
      <c r="E62" s="275">
        <v>112</v>
      </c>
      <c r="F62" s="275">
        <v>112.68</v>
      </c>
      <c r="G62" s="275">
        <v>131.15</v>
      </c>
      <c r="H62" s="275">
        <v>167.51</v>
      </c>
      <c r="I62" s="275">
        <v>93.53</v>
      </c>
      <c r="K62" s="200">
        <f t="shared" si="51"/>
        <v>2319.37</v>
      </c>
      <c r="L62" s="206">
        <f t="shared" si="51"/>
        <v>38.117000000000004</v>
      </c>
      <c r="N62" s="209" t="s">
        <v>48</v>
      </c>
      <c r="O62" s="196">
        <f t="shared" si="52"/>
        <v>6588.474</v>
      </c>
      <c r="P62" s="196">
        <f t="shared" si="47"/>
        <v>4295.0235600000005</v>
      </c>
      <c r="Q62" s="196">
        <f t="shared" si="48"/>
        <v>4999.0445500000005</v>
      </c>
      <c r="R62" s="196">
        <f t="shared" si="49"/>
        <v>6384.97867</v>
      </c>
      <c r="S62" s="196">
        <f t="shared" si="50"/>
        <v>3565.0830100000003</v>
      </c>
    </row>
    <row r="63" spans="4:19" ht="12" customHeight="1">
      <c r="D63" s="209" t="s">
        <v>49</v>
      </c>
      <c r="E63" s="275">
        <v>112</v>
      </c>
      <c r="F63" s="275">
        <v>112.68</v>
      </c>
      <c r="G63" s="275">
        <v>131.15</v>
      </c>
      <c r="H63" s="275">
        <v>167.51</v>
      </c>
      <c r="I63" s="275">
        <v>93.53</v>
      </c>
      <c r="K63" s="200">
        <f t="shared" si="51"/>
        <v>2319.37</v>
      </c>
      <c r="L63" s="206">
        <f t="shared" si="51"/>
        <v>38.117000000000004</v>
      </c>
      <c r="N63" s="209" t="s">
        <v>49</v>
      </c>
      <c r="O63" s="196">
        <f t="shared" si="52"/>
        <v>6588.474</v>
      </c>
      <c r="P63" s="196">
        <f t="shared" si="47"/>
        <v>4295.0235600000005</v>
      </c>
      <c r="Q63" s="196">
        <f t="shared" si="48"/>
        <v>4999.0445500000005</v>
      </c>
      <c r="R63" s="196">
        <f t="shared" si="49"/>
        <v>6384.97867</v>
      </c>
      <c r="S63" s="196">
        <f t="shared" si="50"/>
        <v>3565.0830100000003</v>
      </c>
    </row>
    <row r="64" spans="4:19" ht="12" customHeight="1">
      <c r="D64" s="209" t="s">
        <v>11</v>
      </c>
      <c r="E64" s="275">
        <v>181.69</v>
      </c>
      <c r="F64" s="275">
        <v>70.2</v>
      </c>
      <c r="G64" s="275">
        <v>141.86</v>
      </c>
      <c r="H64" s="275">
        <v>122.98</v>
      </c>
      <c r="I64" s="275">
        <v>122.96</v>
      </c>
      <c r="K64" s="200">
        <f t="shared" si="51"/>
        <v>3973.66</v>
      </c>
      <c r="L64" s="206">
        <f t="shared" si="51"/>
        <v>44.12599999999999</v>
      </c>
      <c r="N64" s="209" t="s">
        <v>11</v>
      </c>
      <c r="O64" s="196">
        <f t="shared" si="52"/>
        <v>11990.912939999998</v>
      </c>
      <c r="P64" s="196">
        <f aca="true" t="shared" si="53" ref="P64:S67">$L64*F64</f>
        <v>3097.6451999999995</v>
      </c>
      <c r="Q64" s="196">
        <f t="shared" si="53"/>
        <v>6259.714359999999</v>
      </c>
      <c r="R64" s="196">
        <f t="shared" si="53"/>
        <v>5426.615479999999</v>
      </c>
      <c r="S64" s="196">
        <f t="shared" si="53"/>
        <v>5425.7329599999985</v>
      </c>
    </row>
    <row r="65" spans="4:19" ht="12" customHeight="1">
      <c r="D65" s="209" t="s">
        <v>12</v>
      </c>
      <c r="E65" s="213">
        <f>ROUND((+E86-K65)/L65,2)</f>
        <v>274.01</v>
      </c>
      <c r="F65" s="213">
        <f aca="true" t="shared" si="54" ref="F65:I67">ROUND(F86/$L65,2)</f>
        <v>93.27</v>
      </c>
      <c r="G65" s="213">
        <f t="shared" si="54"/>
        <v>115</v>
      </c>
      <c r="H65" s="213">
        <f t="shared" si="54"/>
        <v>135.36</v>
      </c>
      <c r="I65" s="213">
        <f t="shared" si="54"/>
        <v>111.9</v>
      </c>
      <c r="K65" s="200">
        <f aca="true" t="shared" si="55" ref="K65:L67">+E27</f>
        <v>2727.07</v>
      </c>
      <c r="L65" s="200">
        <f t="shared" si="55"/>
        <v>37.76</v>
      </c>
      <c r="N65" s="209" t="s">
        <v>12</v>
      </c>
      <c r="O65" s="196">
        <f t="shared" si="52"/>
        <v>13073.6876</v>
      </c>
      <c r="P65" s="196">
        <f t="shared" si="53"/>
        <v>3521.8751999999995</v>
      </c>
      <c r="Q65" s="196">
        <f t="shared" si="53"/>
        <v>4342.4</v>
      </c>
      <c r="R65" s="196">
        <f t="shared" si="53"/>
        <v>5111.1936000000005</v>
      </c>
      <c r="S65" s="196">
        <f t="shared" si="53"/>
        <v>4225.344</v>
      </c>
    </row>
    <row r="66" spans="4:19" ht="12" customHeight="1">
      <c r="D66" s="209" t="s">
        <v>13</v>
      </c>
      <c r="E66" s="213">
        <f>ROUND((+E87-K66)/L66,2)</f>
        <v>145.42</v>
      </c>
      <c r="F66" s="213">
        <f t="shared" si="54"/>
        <v>93.66</v>
      </c>
      <c r="G66" s="213">
        <f t="shared" si="54"/>
        <v>134.29</v>
      </c>
      <c r="H66" s="213">
        <f t="shared" si="54"/>
        <v>140.43</v>
      </c>
      <c r="I66" s="213">
        <f t="shared" si="54"/>
        <v>113.24</v>
      </c>
      <c r="K66" s="200">
        <f t="shared" si="55"/>
        <v>2344.84</v>
      </c>
      <c r="L66" s="200">
        <f t="shared" si="55"/>
        <v>37.4</v>
      </c>
      <c r="N66" s="209" t="s">
        <v>13</v>
      </c>
      <c r="O66" s="196">
        <f t="shared" si="52"/>
        <v>7783.548</v>
      </c>
      <c r="P66" s="196">
        <f t="shared" si="53"/>
        <v>3502.8839999999996</v>
      </c>
      <c r="Q66" s="196">
        <f t="shared" si="53"/>
        <v>5022.446</v>
      </c>
      <c r="R66" s="196">
        <f t="shared" si="53"/>
        <v>5252.082</v>
      </c>
      <c r="S66" s="196">
        <f t="shared" si="53"/>
        <v>4235.1759999999995</v>
      </c>
    </row>
    <row r="67" spans="4:19" ht="12" customHeight="1">
      <c r="D67" s="209" t="s">
        <v>14</v>
      </c>
      <c r="E67" s="213">
        <f>ROUND((+E88-K67)/L67,2)</f>
        <v>366.09</v>
      </c>
      <c r="F67" s="213">
        <f t="shared" si="54"/>
        <v>83.73</v>
      </c>
      <c r="G67" s="213">
        <f t="shared" si="54"/>
        <v>104.32</v>
      </c>
      <c r="H67" s="213">
        <f t="shared" si="54"/>
        <v>128.94</v>
      </c>
      <c r="I67" s="213">
        <f t="shared" si="54"/>
        <v>102.84</v>
      </c>
      <c r="K67" s="200">
        <f t="shared" si="55"/>
        <v>2956.4</v>
      </c>
      <c r="L67" s="200">
        <f t="shared" si="55"/>
        <v>37.36</v>
      </c>
      <c r="N67" s="209" t="s">
        <v>14</v>
      </c>
      <c r="O67" s="196">
        <f t="shared" si="52"/>
        <v>16633.522399999998</v>
      </c>
      <c r="P67" s="196">
        <f t="shared" si="53"/>
        <v>3128.1528000000003</v>
      </c>
      <c r="Q67" s="196">
        <f t="shared" si="53"/>
        <v>3897.3951999999995</v>
      </c>
      <c r="R67" s="196">
        <f t="shared" si="53"/>
        <v>4817.1984</v>
      </c>
      <c r="S67" s="196">
        <f t="shared" si="53"/>
        <v>3842.1024</v>
      </c>
    </row>
    <row r="68" spans="4:5" ht="12" customHeight="1">
      <c r="D68" s="214"/>
      <c r="E68" s="201" t="s">
        <v>193</v>
      </c>
    </row>
    <row r="71" spans="4:7" ht="12" customHeight="1">
      <c r="D71" s="244" t="s">
        <v>236</v>
      </c>
      <c r="E71" s="244"/>
      <c r="F71" s="244"/>
      <c r="G71" s="244"/>
    </row>
    <row r="72" spans="4:17" ht="12" customHeight="1">
      <c r="D72" s="197" t="s">
        <v>0</v>
      </c>
      <c r="E72" s="197" t="s">
        <v>67</v>
      </c>
      <c r="F72" s="245" t="s">
        <v>2</v>
      </c>
      <c r="G72" s="245"/>
      <c r="H72" s="245" t="s">
        <v>3</v>
      </c>
      <c r="I72" s="245"/>
      <c r="L72" s="202" t="s">
        <v>96</v>
      </c>
      <c r="M72" s="215" t="s">
        <v>94</v>
      </c>
      <c r="N72" s="215" t="s">
        <v>95</v>
      </c>
      <c r="P72" s="264" t="s">
        <v>232</v>
      </c>
      <c r="Q72" s="264"/>
    </row>
    <row r="73" spans="4:17" ht="12" customHeight="1">
      <c r="D73" s="197"/>
      <c r="E73" s="197"/>
      <c r="F73" s="197" t="s">
        <v>4</v>
      </c>
      <c r="G73" s="197" t="s">
        <v>5</v>
      </c>
      <c r="H73" s="197" t="s">
        <v>4</v>
      </c>
      <c r="I73" s="197" t="s">
        <v>5</v>
      </c>
      <c r="L73" s="215" t="s">
        <v>0</v>
      </c>
      <c r="M73" s="215" t="s">
        <v>28</v>
      </c>
      <c r="N73" s="215" t="s">
        <v>24</v>
      </c>
      <c r="P73" s="265" t="s">
        <v>28</v>
      </c>
      <c r="Q73" s="265" t="s">
        <v>24</v>
      </c>
    </row>
    <row r="74" spans="4:17" ht="12" customHeight="1">
      <c r="D74" s="197" t="s">
        <v>51</v>
      </c>
      <c r="E74" s="277">
        <v>0</v>
      </c>
      <c r="F74" s="277">
        <v>0</v>
      </c>
      <c r="G74" s="277">
        <v>0</v>
      </c>
      <c r="H74" s="277">
        <v>0</v>
      </c>
      <c r="I74" s="277">
        <v>0</v>
      </c>
      <c r="L74" s="201" t="s">
        <v>51</v>
      </c>
      <c r="M74" s="201">
        <v>1</v>
      </c>
      <c r="N74" s="201">
        <v>1</v>
      </c>
      <c r="P74" s="266"/>
      <c r="Q74" s="267"/>
    </row>
    <row r="75" spans="4:18" ht="12" customHeight="1">
      <c r="D75" s="197" t="s">
        <v>46</v>
      </c>
      <c r="E75" s="277">
        <v>0</v>
      </c>
      <c r="F75" s="277">
        <v>0</v>
      </c>
      <c r="G75" s="277">
        <v>0</v>
      </c>
      <c r="H75" s="277">
        <v>0</v>
      </c>
      <c r="I75" s="277">
        <v>0</v>
      </c>
      <c r="L75" s="201" t="s">
        <v>46</v>
      </c>
      <c r="M75" s="201">
        <v>1</v>
      </c>
      <c r="N75" s="201">
        <v>1</v>
      </c>
      <c r="P75" s="266"/>
      <c r="Q75" s="266"/>
      <c r="R75" s="216"/>
    </row>
    <row r="76" spans="4:18" ht="12" customHeight="1">
      <c r="D76" s="197" t="s">
        <v>6</v>
      </c>
      <c r="E76" s="276">
        <v>16633.35</v>
      </c>
      <c r="F76" s="276">
        <v>3128</v>
      </c>
      <c r="G76" s="276">
        <v>3897.29</v>
      </c>
      <c r="H76" s="276">
        <v>4817.16</v>
      </c>
      <c r="I76" s="276">
        <v>3842</v>
      </c>
      <c r="L76" s="209" t="s">
        <v>6</v>
      </c>
      <c r="M76" s="201">
        <v>6</v>
      </c>
      <c r="N76" s="201">
        <v>6</v>
      </c>
      <c r="P76" s="268">
        <f>ROUND(+G76/M76,2)</f>
        <v>649.55</v>
      </c>
      <c r="Q76" s="268">
        <f>+ROUND(I76/N76,2)</f>
        <v>640.33</v>
      </c>
      <c r="R76" s="216"/>
    </row>
    <row r="77" spans="4:18" ht="12" customHeight="1">
      <c r="D77" s="197" t="s">
        <v>7</v>
      </c>
      <c r="E77" s="276">
        <v>7816.08</v>
      </c>
      <c r="F77" s="276">
        <v>3096.51</v>
      </c>
      <c r="G77" s="276">
        <v>5030.96</v>
      </c>
      <c r="H77" s="276">
        <v>5051.92</v>
      </c>
      <c r="I77" s="276">
        <v>3858.23</v>
      </c>
      <c r="L77" s="209" t="s">
        <v>7</v>
      </c>
      <c r="M77" s="201">
        <v>12</v>
      </c>
      <c r="N77" s="201">
        <v>7</v>
      </c>
      <c r="P77" s="268">
        <f aca="true" t="shared" si="56" ref="P77:P88">ROUND(+G77/M77,2)</f>
        <v>419.25</v>
      </c>
      <c r="Q77" s="268">
        <f>+ROUND(I77/N77,2)</f>
        <v>551.18</v>
      </c>
      <c r="R77" s="216"/>
    </row>
    <row r="78" spans="4:18" ht="12" customHeight="1">
      <c r="D78" s="197" t="s">
        <v>8</v>
      </c>
      <c r="E78" s="276">
        <v>7890.29</v>
      </c>
      <c r="F78" s="276">
        <v>3147.89</v>
      </c>
      <c r="G78" s="276">
        <v>5114.44</v>
      </c>
      <c r="H78" s="276" t="s">
        <v>154</v>
      </c>
      <c r="I78" s="276" t="s">
        <v>154</v>
      </c>
      <c r="L78" s="209" t="s">
        <v>8</v>
      </c>
      <c r="M78" s="201">
        <v>12</v>
      </c>
      <c r="N78" s="201" t="s">
        <v>154</v>
      </c>
      <c r="P78" s="268">
        <f t="shared" si="56"/>
        <v>426.2</v>
      </c>
      <c r="Q78" s="269" t="s">
        <v>154</v>
      </c>
      <c r="R78" s="216"/>
    </row>
    <row r="79" spans="4:18" ht="12" customHeight="1">
      <c r="D79" s="197" t="s">
        <v>9</v>
      </c>
      <c r="E79" s="276">
        <v>14338.08</v>
      </c>
      <c r="F79" s="276">
        <v>7267.9</v>
      </c>
      <c r="G79" s="276">
        <v>6941.44</v>
      </c>
      <c r="H79" s="276">
        <v>6084.45</v>
      </c>
      <c r="I79" s="276">
        <v>5355.09</v>
      </c>
      <c r="L79" s="209" t="s">
        <v>9</v>
      </c>
      <c r="M79" s="201">
        <v>12</v>
      </c>
      <c r="N79" s="201">
        <v>7</v>
      </c>
      <c r="P79" s="268">
        <f t="shared" si="56"/>
        <v>578.45</v>
      </c>
      <c r="Q79" s="268">
        <f aca="true" t="shared" si="57" ref="Q79:Q88">+ROUND(I79/N79,2)</f>
        <v>765.01</v>
      </c>
      <c r="R79" s="216"/>
    </row>
    <row r="80" spans="4:18" ht="12" customHeight="1">
      <c r="D80" s="197" t="s">
        <v>10</v>
      </c>
      <c r="E80" s="276">
        <v>7734.56</v>
      </c>
      <c r="F80" s="276">
        <v>4112.69</v>
      </c>
      <c r="G80" s="276">
        <v>5010.03</v>
      </c>
      <c r="H80" s="276">
        <v>5552.51</v>
      </c>
      <c r="I80" s="276">
        <v>4800.56</v>
      </c>
      <c r="L80" s="209" t="s">
        <v>10</v>
      </c>
      <c r="M80" s="201">
        <v>12</v>
      </c>
      <c r="N80" s="217">
        <v>7</v>
      </c>
      <c r="P80" s="268">
        <f t="shared" si="56"/>
        <v>417.5</v>
      </c>
      <c r="Q80" s="268">
        <f t="shared" si="57"/>
        <v>685.79</v>
      </c>
      <c r="R80" s="216"/>
    </row>
    <row r="81" spans="4:18" ht="12" customHeight="1">
      <c r="D81" s="197" t="s">
        <v>47</v>
      </c>
      <c r="E81" s="276">
        <v>8374.12</v>
      </c>
      <c r="F81" s="276">
        <v>4503.17</v>
      </c>
      <c r="G81" s="276">
        <v>5685.67</v>
      </c>
      <c r="H81" s="276">
        <v>5476.33</v>
      </c>
      <c r="I81" s="276">
        <v>4516.74</v>
      </c>
      <c r="L81" s="209" t="s">
        <v>47</v>
      </c>
      <c r="M81" s="201">
        <v>13</v>
      </c>
      <c r="N81" s="201">
        <v>7</v>
      </c>
      <c r="P81" s="268">
        <f t="shared" si="56"/>
        <v>437.36</v>
      </c>
      <c r="Q81" s="268">
        <f t="shared" si="57"/>
        <v>645.25</v>
      </c>
      <c r="R81" s="216"/>
    </row>
    <row r="82" spans="4:18" ht="12" customHeight="1">
      <c r="D82" s="209" t="s">
        <v>50</v>
      </c>
      <c r="E82" s="276">
        <v>6588.7</v>
      </c>
      <c r="F82" s="276">
        <v>4295.56</v>
      </c>
      <c r="G82" s="276">
        <v>4999.67</v>
      </c>
      <c r="H82" s="276">
        <v>6385.78</v>
      </c>
      <c r="I82" s="276">
        <v>3565.53</v>
      </c>
      <c r="L82" s="209" t="s">
        <v>50</v>
      </c>
      <c r="M82" s="201">
        <v>12</v>
      </c>
      <c r="N82" s="201">
        <v>7</v>
      </c>
      <c r="P82" s="268">
        <f t="shared" si="56"/>
        <v>416.64</v>
      </c>
      <c r="Q82" s="268">
        <f t="shared" si="57"/>
        <v>509.36</v>
      </c>
      <c r="R82" s="216"/>
    </row>
    <row r="83" spans="4:18" ht="12" customHeight="1">
      <c r="D83" s="209" t="s">
        <v>48</v>
      </c>
      <c r="E83" s="277">
        <f>+E82</f>
        <v>6588.7</v>
      </c>
      <c r="F83" s="277">
        <f aca="true" t="shared" si="58" ref="F83:I84">+F82</f>
        <v>4295.56</v>
      </c>
      <c r="G83" s="277">
        <f t="shared" si="58"/>
        <v>4999.67</v>
      </c>
      <c r="H83" s="277">
        <f t="shared" si="58"/>
        <v>6385.78</v>
      </c>
      <c r="I83" s="277">
        <f t="shared" si="58"/>
        <v>3565.53</v>
      </c>
      <c r="L83" s="209" t="s">
        <v>48</v>
      </c>
      <c r="M83" s="201">
        <v>12</v>
      </c>
      <c r="N83" s="201">
        <v>7</v>
      </c>
      <c r="P83" s="268">
        <f t="shared" si="56"/>
        <v>416.64</v>
      </c>
      <c r="Q83" s="268">
        <f t="shared" si="57"/>
        <v>509.36</v>
      </c>
      <c r="R83" s="216"/>
    </row>
    <row r="84" spans="4:18" ht="12" customHeight="1">
      <c r="D84" s="209" t="s">
        <v>49</v>
      </c>
      <c r="E84" s="277">
        <f>+E83</f>
        <v>6588.7</v>
      </c>
      <c r="F84" s="277">
        <f t="shared" si="58"/>
        <v>4295.56</v>
      </c>
      <c r="G84" s="277">
        <f t="shared" si="58"/>
        <v>4999.67</v>
      </c>
      <c r="H84" s="277">
        <f t="shared" si="58"/>
        <v>6385.78</v>
      </c>
      <c r="I84" s="277">
        <f t="shared" si="58"/>
        <v>3565.53</v>
      </c>
      <c r="L84" s="209" t="s">
        <v>49</v>
      </c>
      <c r="M84" s="201">
        <v>12</v>
      </c>
      <c r="N84" s="201">
        <v>7</v>
      </c>
      <c r="P84" s="268">
        <f t="shared" si="56"/>
        <v>416.64</v>
      </c>
      <c r="Q84" s="268">
        <f t="shared" si="57"/>
        <v>509.36</v>
      </c>
      <c r="R84" s="216"/>
    </row>
    <row r="85" spans="4:18" ht="12" customHeight="1">
      <c r="D85" s="197" t="s">
        <v>11</v>
      </c>
      <c r="E85" s="276">
        <v>11991.39</v>
      </c>
      <c r="F85" s="276">
        <v>3097.83</v>
      </c>
      <c r="G85" s="276">
        <v>6260.08</v>
      </c>
      <c r="H85" s="276">
        <v>5426.94</v>
      </c>
      <c r="I85" s="276">
        <v>5426.05</v>
      </c>
      <c r="L85" s="209" t="s">
        <v>11</v>
      </c>
      <c r="M85" s="201">
        <v>7</v>
      </c>
      <c r="N85" s="201">
        <v>7</v>
      </c>
      <c r="P85" s="268">
        <f t="shared" si="56"/>
        <v>894.3</v>
      </c>
      <c r="Q85" s="268">
        <f t="shared" si="57"/>
        <v>775.15</v>
      </c>
      <c r="R85" s="216"/>
    </row>
    <row r="86" spans="4:17" ht="12" customHeight="1">
      <c r="D86" s="197" t="s">
        <v>12</v>
      </c>
      <c r="E86" s="276">
        <v>13073.84</v>
      </c>
      <c r="F86" s="276">
        <v>3521.94</v>
      </c>
      <c r="G86" s="276">
        <v>4342.39</v>
      </c>
      <c r="H86" s="276">
        <v>5111.3</v>
      </c>
      <c r="I86" s="276">
        <v>4225.42</v>
      </c>
      <c r="L86" s="209" t="s">
        <v>12</v>
      </c>
      <c r="M86" s="201">
        <v>3</v>
      </c>
      <c r="N86" s="201">
        <v>3</v>
      </c>
      <c r="P86" s="268">
        <f t="shared" si="56"/>
        <v>1447.46</v>
      </c>
      <c r="Q86" s="268">
        <f t="shared" si="57"/>
        <v>1408.47</v>
      </c>
    </row>
    <row r="87" spans="4:17" ht="12" customHeight="1">
      <c r="D87" s="197" t="s">
        <v>13</v>
      </c>
      <c r="E87" s="276">
        <v>7783.47</v>
      </c>
      <c r="F87" s="276">
        <v>3502.96</v>
      </c>
      <c r="G87" s="276">
        <v>5022.59</v>
      </c>
      <c r="H87" s="276">
        <v>5252.15</v>
      </c>
      <c r="I87" s="276">
        <v>4235.17</v>
      </c>
      <c r="L87" s="209" t="s">
        <v>13</v>
      </c>
      <c r="M87" s="201">
        <v>7</v>
      </c>
      <c r="N87" s="201">
        <v>7</v>
      </c>
      <c r="P87" s="268">
        <f t="shared" si="56"/>
        <v>717.51</v>
      </c>
      <c r="Q87" s="268">
        <f t="shared" si="57"/>
        <v>605.02</v>
      </c>
    </row>
    <row r="88" spans="4:17" ht="12" customHeight="1">
      <c r="D88" s="197" t="s">
        <v>14</v>
      </c>
      <c r="E88" s="277">
        <f>+E76</f>
        <v>16633.35</v>
      </c>
      <c r="F88" s="277">
        <f>+F76</f>
        <v>3128</v>
      </c>
      <c r="G88" s="277">
        <f>+G76</f>
        <v>3897.29</v>
      </c>
      <c r="H88" s="277">
        <f>+H76</f>
        <v>4817.16</v>
      </c>
      <c r="I88" s="277">
        <f>+I76</f>
        <v>3842</v>
      </c>
      <c r="L88" s="209" t="s">
        <v>14</v>
      </c>
      <c r="M88" s="201">
        <v>2</v>
      </c>
      <c r="N88" s="201">
        <v>2</v>
      </c>
      <c r="P88" s="268">
        <f t="shared" si="56"/>
        <v>1948.65</v>
      </c>
      <c r="Q88" s="268">
        <f t="shared" si="57"/>
        <v>1921</v>
      </c>
    </row>
    <row r="90" ht="12" customHeight="1">
      <c r="D90" s="218" t="s">
        <v>233</v>
      </c>
    </row>
    <row r="91" spans="4:9" ht="12" customHeight="1">
      <c r="D91" s="196" t="s">
        <v>0</v>
      </c>
      <c r="E91" s="196" t="s">
        <v>1</v>
      </c>
      <c r="F91" s="242" t="s">
        <v>2</v>
      </c>
      <c r="G91" s="242"/>
      <c r="H91" s="242" t="s">
        <v>3</v>
      </c>
      <c r="I91" s="242"/>
    </row>
    <row r="92" spans="4:11" ht="12" customHeight="1">
      <c r="D92" s="196"/>
      <c r="E92" s="196"/>
      <c r="F92" s="196" t="s">
        <v>4</v>
      </c>
      <c r="G92" s="196" t="s">
        <v>15</v>
      </c>
      <c r="H92" s="196" t="s">
        <v>4</v>
      </c>
      <c r="I92" s="196" t="s">
        <v>15</v>
      </c>
      <c r="J92" s="198"/>
      <c r="K92" s="198"/>
    </row>
    <row r="93" spans="4:9" ht="12" customHeight="1">
      <c r="D93" s="197" t="s">
        <v>51</v>
      </c>
      <c r="E93" s="277">
        <v>0</v>
      </c>
      <c r="F93" s="277">
        <v>0</v>
      </c>
      <c r="G93" s="277">
        <v>0</v>
      </c>
      <c r="H93" s="277">
        <v>0</v>
      </c>
      <c r="I93" s="277">
        <v>0</v>
      </c>
    </row>
    <row r="94" spans="4:9" ht="12" customHeight="1">
      <c r="D94" s="197" t="s">
        <v>46</v>
      </c>
      <c r="E94" s="277">
        <v>0</v>
      </c>
      <c r="F94" s="277">
        <v>0</v>
      </c>
      <c r="G94" s="277">
        <v>0</v>
      </c>
      <c r="H94" s="277">
        <v>0</v>
      </c>
      <c r="I94" s="277">
        <v>0</v>
      </c>
    </row>
    <row r="95" spans="4:11" ht="12" customHeight="1">
      <c r="D95" s="196" t="s">
        <v>6</v>
      </c>
      <c r="E95" s="278">
        <v>11450.5</v>
      </c>
      <c r="F95" s="278">
        <v>6409</v>
      </c>
      <c r="G95" s="278">
        <v>1023.57</v>
      </c>
      <c r="H95" s="278">
        <v>6878</v>
      </c>
      <c r="I95" s="277">
        <v>1129.15</v>
      </c>
      <c r="J95" s="206"/>
      <c r="K95" s="206"/>
    </row>
    <row r="96" spans="4:11" ht="12" customHeight="1">
      <c r="D96" s="196" t="s">
        <v>7</v>
      </c>
      <c r="E96" s="278">
        <v>11450.5</v>
      </c>
      <c r="F96" s="278">
        <v>5593</v>
      </c>
      <c r="G96" s="278">
        <v>871.05</v>
      </c>
      <c r="H96" s="278">
        <v>6275</v>
      </c>
      <c r="I96" s="277">
        <v>1075.32</v>
      </c>
      <c r="J96" s="206"/>
      <c r="K96" s="206"/>
    </row>
    <row r="97" spans="4:11" ht="12" customHeight="1">
      <c r="D97" s="196" t="s">
        <v>8</v>
      </c>
      <c r="E97" s="278">
        <v>11450.5</v>
      </c>
      <c r="F97" s="278">
        <v>4781</v>
      </c>
      <c r="G97" s="278">
        <v>726.05</v>
      </c>
      <c r="H97" s="278" t="s">
        <v>154</v>
      </c>
      <c r="I97" s="277" t="s">
        <v>154</v>
      </c>
      <c r="J97" s="206"/>
      <c r="K97" s="206"/>
    </row>
    <row r="98" spans="4:11" ht="12" customHeight="1">
      <c r="D98" s="196" t="s">
        <v>9</v>
      </c>
      <c r="E98" s="278">
        <v>11450.5</v>
      </c>
      <c r="F98" s="278">
        <v>12214</v>
      </c>
      <c r="G98" s="278">
        <v>848.65</v>
      </c>
      <c r="H98" s="278">
        <v>13313</v>
      </c>
      <c r="I98" s="277">
        <v>950.34</v>
      </c>
      <c r="J98" s="206"/>
      <c r="K98" s="206"/>
    </row>
    <row r="99" spans="4:11" ht="12" customHeight="1">
      <c r="D99" s="196" t="s">
        <v>10</v>
      </c>
      <c r="E99" s="278">
        <v>11450.5</v>
      </c>
      <c r="F99" s="278">
        <v>5805</v>
      </c>
      <c r="G99" s="278">
        <v>586.83</v>
      </c>
      <c r="H99" s="278">
        <v>6893</v>
      </c>
      <c r="I99" s="277">
        <v>907.63</v>
      </c>
      <c r="J99" s="206"/>
      <c r="K99" s="206"/>
    </row>
    <row r="100" spans="4:11" ht="12" customHeight="1">
      <c r="D100" s="196" t="s">
        <v>47</v>
      </c>
      <c r="E100" s="278">
        <v>11450.5</v>
      </c>
      <c r="F100" s="278">
        <v>3738</v>
      </c>
      <c r="G100" s="278">
        <v>578</v>
      </c>
      <c r="H100" s="278">
        <v>7378</v>
      </c>
      <c r="I100" s="277">
        <v>1027.05</v>
      </c>
      <c r="J100" s="206"/>
      <c r="K100" s="206"/>
    </row>
    <row r="101" spans="4:11" ht="12" customHeight="1">
      <c r="D101" s="209" t="s">
        <v>50</v>
      </c>
      <c r="E101" s="278">
        <v>11450.5</v>
      </c>
      <c r="F101" s="278">
        <v>3493</v>
      </c>
      <c r="G101" s="278">
        <v>572.09</v>
      </c>
      <c r="H101" s="278">
        <v>7356</v>
      </c>
      <c r="I101" s="277">
        <v>779.42</v>
      </c>
      <c r="J101" s="206"/>
      <c r="K101" s="206"/>
    </row>
    <row r="102" spans="4:11" ht="12" customHeight="1">
      <c r="D102" s="209" t="s">
        <v>48</v>
      </c>
      <c r="E102" s="278">
        <v>11450.5</v>
      </c>
      <c r="F102" s="278">
        <v>3493</v>
      </c>
      <c r="G102" s="278">
        <v>572.09</v>
      </c>
      <c r="H102" s="278">
        <v>7356</v>
      </c>
      <c r="I102" s="277">
        <v>779.42</v>
      </c>
      <c r="J102" s="206"/>
      <c r="K102" s="206"/>
    </row>
    <row r="103" spans="4:11" ht="12" customHeight="1">
      <c r="D103" s="209" t="s">
        <v>49</v>
      </c>
      <c r="E103" s="278">
        <v>11450.5</v>
      </c>
      <c r="F103" s="278">
        <v>3493</v>
      </c>
      <c r="G103" s="278">
        <v>572.09</v>
      </c>
      <c r="H103" s="278">
        <v>7356</v>
      </c>
      <c r="I103" s="277">
        <v>779.42</v>
      </c>
      <c r="J103" s="206"/>
      <c r="K103" s="206"/>
    </row>
    <row r="104" spans="4:11" ht="12" customHeight="1">
      <c r="D104" s="196" t="s">
        <v>11</v>
      </c>
      <c r="E104" s="278">
        <v>11450.5</v>
      </c>
      <c r="F104" s="278">
        <v>3789</v>
      </c>
      <c r="G104" s="278">
        <v>909.29</v>
      </c>
      <c r="H104" s="278">
        <v>4047</v>
      </c>
      <c r="I104" s="277">
        <v>1128.41</v>
      </c>
      <c r="J104" s="206"/>
      <c r="K104" s="206"/>
    </row>
    <row r="105" spans="4:11" ht="12" customHeight="1">
      <c r="D105" s="196" t="s">
        <v>12</v>
      </c>
      <c r="E105" s="278">
        <v>11450.5</v>
      </c>
      <c r="F105" s="278">
        <v>10182.25</v>
      </c>
      <c r="G105" s="278">
        <v>1405.0095</v>
      </c>
      <c r="H105" s="278">
        <v>11358.45</v>
      </c>
      <c r="I105" s="277">
        <v>1719.1095</v>
      </c>
      <c r="J105" s="206"/>
      <c r="K105" s="206"/>
    </row>
    <row r="106" spans="4:11" ht="12" customHeight="1">
      <c r="D106" s="196" t="s">
        <v>13</v>
      </c>
      <c r="E106" s="278">
        <v>11450.5</v>
      </c>
      <c r="F106" s="278">
        <v>9366.25</v>
      </c>
      <c r="G106" s="278">
        <v>1252.4895</v>
      </c>
      <c r="H106" s="278">
        <v>10755.45</v>
      </c>
      <c r="I106" s="277">
        <v>1665.2795</v>
      </c>
      <c r="J106" s="206"/>
      <c r="K106" s="206"/>
    </row>
    <row r="107" spans="4:11" ht="12" customHeight="1">
      <c r="D107" s="196" t="s">
        <v>14</v>
      </c>
      <c r="E107" s="278">
        <v>11450.5</v>
      </c>
      <c r="F107" s="278">
        <v>10574.85</v>
      </c>
      <c r="G107" s="278">
        <v>1688.8905</v>
      </c>
      <c r="H107" s="278">
        <v>11348.7</v>
      </c>
      <c r="I107" s="277">
        <v>1863.0975000000003</v>
      </c>
      <c r="J107" s="206"/>
      <c r="K107" s="206"/>
    </row>
    <row r="109" spans="4:8" ht="12" customHeight="1">
      <c r="D109" s="218" t="s">
        <v>16</v>
      </c>
      <c r="E109" s="199"/>
      <c r="F109" s="199"/>
      <c r="G109" s="199"/>
      <c r="H109" s="199"/>
    </row>
    <row r="110" spans="4:12" ht="12" customHeight="1">
      <c r="D110" s="196" t="s">
        <v>0</v>
      </c>
      <c r="E110" s="196" t="s">
        <v>18</v>
      </c>
      <c r="F110" s="196" t="s">
        <v>165</v>
      </c>
      <c r="G110" s="196" t="s">
        <v>19</v>
      </c>
      <c r="H110" s="196" t="s">
        <v>235</v>
      </c>
      <c r="I110" s="196" t="s">
        <v>70</v>
      </c>
      <c r="J110" s="198" t="s">
        <v>37</v>
      </c>
      <c r="K110" s="198" t="s">
        <v>74</v>
      </c>
      <c r="L110" s="198" t="s">
        <v>23</v>
      </c>
    </row>
    <row r="111" spans="4:12" ht="12" customHeight="1">
      <c r="D111" s="197" t="s">
        <v>51</v>
      </c>
      <c r="E111" s="196"/>
      <c r="F111" s="196"/>
      <c r="G111" s="196"/>
      <c r="H111" s="196"/>
      <c r="I111" s="196"/>
      <c r="J111" s="198"/>
      <c r="K111" s="198"/>
      <c r="L111" s="198">
        <v>0</v>
      </c>
    </row>
    <row r="112" spans="4:12" ht="12" customHeight="1">
      <c r="D112" s="197" t="s">
        <v>46</v>
      </c>
      <c r="E112" s="196"/>
      <c r="F112" s="196"/>
      <c r="G112" s="196"/>
      <c r="H112" s="196"/>
      <c r="I112" s="196"/>
      <c r="J112" s="198"/>
      <c r="K112" s="198"/>
      <c r="L112" s="198">
        <v>0</v>
      </c>
    </row>
    <row r="113" spans="4:12" ht="12" customHeight="1">
      <c r="D113" s="196" t="s">
        <v>6</v>
      </c>
      <c r="E113" s="196"/>
      <c r="F113" s="196"/>
      <c r="G113" s="196"/>
      <c r="H113" s="196"/>
      <c r="I113" s="196"/>
      <c r="J113" s="198"/>
      <c r="K113" s="198"/>
      <c r="L113" s="198">
        <v>0</v>
      </c>
    </row>
    <row r="114" spans="4:12" ht="12" customHeight="1">
      <c r="D114" s="196" t="s">
        <v>7</v>
      </c>
      <c r="E114" s="196"/>
      <c r="F114" s="196"/>
      <c r="G114" s="196"/>
      <c r="H114" s="196"/>
      <c r="I114" s="196"/>
      <c r="J114" s="198"/>
      <c r="K114" s="198"/>
      <c r="L114" s="198">
        <v>0</v>
      </c>
    </row>
    <row r="115" spans="4:12" ht="12" customHeight="1">
      <c r="D115" s="196" t="s">
        <v>8</v>
      </c>
      <c r="E115" s="196"/>
      <c r="F115" s="196"/>
      <c r="G115" s="196"/>
      <c r="H115" s="196"/>
      <c r="I115" s="196"/>
      <c r="J115" s="198"/>
      <c r="K115" s="198"/>
      <c r="L115" s="198">
        <v>0</v>
      </c>
    </row>
    <row r="116" spans="4:12" ht="12" customHeight="1">
      <c r="D116" s="196" t="s">
        <v>9</v>
      </c>
      <c r="E116" s="196" t="s">
        <v>138</v>
      </c>
      <c r="F116" s="246">
        <v>85</v>
      </c>
      <c r="G116" s="247">
        <v>9301.38</v>
      </c>
      <c r="H116" s="247">
        <v>270.79</v>
      </c>
      <c r="I116" s="246">
        <v>85</v>
      </c>
      <c r="J116" s="200">
        <f>+G116+H116*I116</f>
        <v>32318.53</v>
      </c>
      <c r="K116" s="200">
        <f>+G$125+H$125*I116</f>
        <v>7245.030000000001</v>
      </c>
      <c r="L116" s="200">
        <f>+J116+K116</f>
        <v>39563.56</v>
      </c>
    </row>
    <row r="117" spans="4:12" ht="12" customHeight="1">
      <c r="D117" s="196" t="s">
        <v>10</v>
      </c>
      <c r="E117" s="196" t="s">
        <v>139</v>
      </c>
      <c r="F117" s="246">
        <v>19</v>
      </c>
      <c r="G117" s="247">
        <v>20111.39</v>
      </c>
      <c r="H117" s="247">
        <v>157.4</v>
      </c>
      <c r="I117" s="246">
        <v>19</v>
      </c>
      <c r="J117" s="200">
        <f>+G117+H117*I117</f>
        <v>23101.989999999998</v>
      </c>
      <c r="K117" s="200">
        <f>+G$125+H$125*I117</f>
        <v>2376.87</v>
      </c>
      <c r="L117" s="200">
        <f>+J117+K117</f>
        <v>25478.859999999997</v>
      </c>
    </row>
    <row r="118" spans="4:12" ht="12" customHeight="1">
      <c r="D118" s="198" t="s">
        <v>47</v>
      </c>
      <c r="F118" s="248"/>
      <c r="G118" s="248"/>
      <c r="H118" s="248"/>
      <c r="I118" s="248"/>
      <c r="L118" s="198">
        <v>0</v>
      </c>
    </row>
    <row r="119" spans="4:12" ht="12" customHeight="1">
      <c r="D119" s="198" t="s">
        <v>50</v>
      </c>
      <c r="F119" s="248"/>
      <c r="G119" s="248"/>
      <c r="H119" s="248"/>
      <c r="I119" s="248"/>
      <c r="L119" s="198">
        <v>0</v>
      </c>
    </row>
    <row r="120" spans="4:12" ht="12" customHeight="1">
      <c r="D120" s="198" t="s">
        <v>48</v>
      </c>
      <c r="F120" s="248"/>
      <c r="G120" s="248"/>
      <c r="H120" s="248"/>
      <c r="I120" s="248"/>
      <c r="L120" s="198">
        <v>0</v>
      </c>
    </row>
    <row r="121" spans="4:12" ht="12" customHeight="1">
      <c r="D121" s="198" t="s">
        <v>49</v>
      </c>
      <c r="F121" s="248"/>
      <c r="G121" s="248"/>
      <c r="H121" s="248"/>
      <c r="I121" s="248"/>
      <c r="L121" s="198">
        <v>0</v>
      </c>
    </row>
    <row r="122" spans="4:12" ht="12" customHeight="1">
      <c r="D122" s="196" t="s">
        <v>11</v>
      </c>
      <c r="E122" s="196" t="s">
        <v>138</v>
      </c>
      <c r="F122" s="246">
        <v>85</v>
      </c>
      <c r="G122" s="247">
        <v>9301.38</v>
      </c>
      <c r="H122" s="247">
        <v>270.79</v>
      </c>
      <c r="I122" s="246">
        <v>85</v>
      </c>
      <c r="J122" s="200">
        <f>+G122+H122*I122</f>
        <v>32318.53</v>
      </c>
      <c r="K122" s="200">
        <f>+G$125+H$125*I122</f>
        <v>7245.030000000001</v>
      </c>
      <c r="L122" s="200">
        <f>+J122+K122</f>
        <v>39563.56</v>
      </c>
    </row>
    <row r="123" spans="4:12" ht="12" customHeight="1">
      <c r="D123" s="196" t="s">
        <v>12</v>
      </c>
      <c r="E123" s="196" t="s">
        <v>139</v>
      </c>
      <c r="F123" s="246">
        <v>19</v>
      </c>
      <c r="G123" s="247">
        <v>20111.39</v>
      </c>
      <c r="H123" s="247">
        <v>157.4</v>
      </c>
      <c r="I123" s="246">
        <v>19</v>
      </c>
      <c r="J123" s="200">
        <f>+G123+H123*I123</f>
        <v>23101.989999999998</v>
      </c>
      <c r="K123" s="200">
        <f>+G$125+H$125*I123</f>
        <v>2376.87</v>
      </c>
      <c r="L123" s="200">
        <f>+J123+K123</f>
        <v>25478.859999999997</v>
      </c>
    </row>
    <row r="124" spans="4:12" ht="12" customHeight="1">
      <c r="D124" s="196" t="s">
        <v>13</v>
      </c>
      <c r="E124" s="196" t="s">
        <v>139</v>
      </c>
      <c r="F124" s="249">
        <v>19</v>
      </c>
      <c r="G124" s="247">
        <v>20111.39</v>
      </c>
      <c r="H124" s="247">
        <v>157.4</v>
      </c>
      <c r="I124" s="249">
        <v>19</v>
      </c>
      <c r="J124" s="200">
        <f>+G124+H124*I124</f>
        <v>23101.989999999998</v>
      </c>
      <c r="K124" s="200">
        <f>+G$125+H$125*I124</f>
        <v>2376.87</v>
      </c>
      <c r="L124" s="200">
        <f>+J124+K124</f>
        <v>25478.859999999997</v>
      </c>
    </row>
    <row r="125" spans="4:9" ht="12" customHeight="1">
      <c r="D125" s="199" t="s">
        <v>20</v>
      </c>
      <c r="E125" s="199"/>
      <c r="F125" s="250"/>
      <c r="G125" s="251">
        <v>975.43</v>
      </c>
      <c r="H125" s="251">
        <v>73.76</v>
      </c>
      <c r="I125" s="252"/>
    </row>
    <row r="126" spans="4:9" ht="12" customHeight="1">
      <c r="D126" s="198" t="s">
        <v>17</v>
      </c>
      <c r="E126" s="199"/>
      <c r="F126" s="253"/>
      <c r="G126" s="254">
        <v>5989.01</v>
      </c>
      <c r="H126" s="253"/>
      <c r="I126" s="255"/>
    </row>
    <row r="128" ht="12" customHeight="1">
      <c r="D128" s="202" t="s">
        <v>71</v>
      </c>
    </row>
    <row r="129" spans="3:4" ht="12" customHeight="1">
      <c r="C129" s="201" t="s">
        <v>89</v>
      </c>
      <c r="D129" s="202" t="s">
        <v>72</v>
      </c>
    </row>
    <row r="130" spans="4:8" ht="12" customHeight="1">
      <c r="D130" s="201" t="s">
        <v>191</v>
      </c>
      <c r="G130" s="279">
        <v>1003.72</v>
      </c>
      <c r="H130" s="201" t="s">
        <v>73</v>
      </c>
    </row>
    <row r="132" spans="3:4" ht="12" customHeight="1">
      <c r="C132" s="201" t="s">
        <v>90</v>
      </c>
      <c r="D132" s="202" t="s">
        <v>91</v>
      </c>
    </row>
    <row r="133" spans="6:14" ht="12" customHeight="1">
      <c r="F133" s="219">
        <v>0.0246</v>
      </c>
      <c r="G133" s="219">
        <v>0.0335</v>
      </c>
      <c r="H133" s="220">
        <v>0.0156</v>
      </c>
      <c r="I133" s="220">
        <v>0.016</v>
      </c>
      <c r="J133" s="220">
        <v>0.039</v>
      </c>
      <c r="K133" s="220">
        <v>-0.0017</v>
      </c>
      <c r="L133" s="221">
        <v>0.0199</v>
      </c>
      <c r="M133" s="256">
        <v>0</v>
      </c>
      <c r="N133" s="256">
        <v>0</v>
      </c>
    </row>
    <row r="134" spans="4:14" ht="12" customHeight="1">
      <c r="D134" s="201" t="s">
        <v>92</v>
      </c>
      <c r="E134" s="202">
        <v>2004</v>
      </c>
      <c r="F134" s="201">
        <v>2005</v>
      </c>
      <c r="G134" s="201">
        <v>2006</v>
      </c>
      <c r="H134" s="201">
        <v>2007</v>
      </c>
      <c r="I134" s="201">
        <v>2008</v>
      </c>
      <c r="J134" s="201">
        <v>2009</v>
      </c>
      <c r="K134" s="201">
        <v>2010</v>
      </c>
      <c r="L134" s="201">
        <v>2011</v>
      </c>
      <c r="M134" s="201">
        <v>2012</v>
      </c>
      <c r="N134" s="201">
        <v>2012</v>
      </c>
    </row>
    <row r="135" spans="4:14" ht="12" customHeight="1">
      <c r="D135" s="201" t="s">
        <v>47</v>
      </c>
      <c r="E135" s="211">
        <v>1</v>
      </c>
      <c r="F135" s="222">
        <v>1.0246</v>
      </c>
      <c r="G135" s="222">
        <v>1.0589241</v>
      </c>
      <c r="H135" s="222">
        <v>1.07544331596</v>
      </c>
      <c r="I135" s="222">
        <v>1.0926504090153601</v>
      </c>
      <c r="J135" s="222">
        <v>1.1352637749669592</v>
      </c>
      <c r="K135" s="222">
        <v>1.1333338265495154</v>
      </c>
      <c r="L135" s="207">
        <f>+K135*(1+L$133)</f>
        <v>1.1558871696978508</v>
      </c>
      <c r="M135" s="207">
        <f>+L135*(1+M$133)</f>
        <v>1.1558871696978508</v>
      </c>
      <c r="N135" s="207">
        <f>+M135*(1+N$133)</f>
        <v>1.1558871696978508</v>
      </c>
    </row>
    <row r="136" spans="4:14" ht="12" customHeight="1">
      <c r="D136" s="201" t="s">
        <v>49</v>
      </c>
      <c r="E136" s="211">
        <v>1</v>
      </c>
      <c r="F136" s="222">
        <v>1.0246</v>
      </c>
      <c r="G136" s="222">
        <v>1.0589241</v>
      </c>
      <c r="H136" s="222">
        <v>1.07544331596</v>
      </c>
      <c r="I136" s="222">
        <v>1.0926504090153601</v>
      </c>
      <c r="J136" s="222">
        <v>1.1352637749669592</v>
      </c>
      <c r="K136" s="222">
        <v>1.1333338265495154</v>
      </c>
      <c r="L136" s="207">
        <f>+K136*(1+L$133)</f>
        <v>1.1558871696978508</v>
      </c>
      <c r="M136" s="207">
        <f>+L136*(1+M$133)</f>
        <v>1.1558871696978508</v>
      </c>
      <c r="N136" s="207">
        <f>+M136*(1+N$133)</f>
        <v>1.1558871696978508</v>
      </c>
    </row>
    <row r="138" spans="3:4" ht="12" customHeight="1">
      <c r="C138" s="201" t="s">
        <v>93</v>
      </c>
      <c r="D138" s="202" t="s">
        <v>237</v>
      </c>
    </row>
    <row r="139" spans="4:6" ht="12" customHeight="1">
      <c r="D139" s="223" t="s">
        <v>0</v>
      </c>
      <c r="E139" s="270" t="s">
        <v>145</v>
      </c>
      <c r="F139" s="266" t="s">
        <v>146</v>
      </c>
    </row>
    <row r="140" spans="4:6" ht="12" customHeight="1">
      <c r="D140" s="201" t="s">
        <v>6</v>
      </c>
      <c r="E140" s="292">
        <v>1266.22</v>
      </c>
      <c r="F140" s="292">
        <v>579.46</v>
      </c>
    </row>
    <row r="141" spans="4:11" ht="12" customHeight="1">
      <c r="D141" s="201" t="s">
        <v>7</v>
      </c>
      <c r="E141" s="292">
        <v>386.3</v>
      </c>
      <c r="F141" s="292">
        <v>193.16</v>
      </c>
      <c r="I141" s="203"/>
      <c r="J141" s="203"/>
      <c r="K141" s="203"/>
    </row>
    <row r="142" spans="4:11" ht="12" customHeight="1">
      <c r="D142" s="201" t="s">
        <v>8</v>
      </c>
      <c r="E142" s="292">
        <v>386.3</v>
      </c>
      <c r="F142" s="292">
        <v>193.16</v>
      </c>
      <c r="I142" s="203"/>
      <c r="J142" s="203"/>
      <c r="K142" s="203"/>
    </row>
    <row r="143" spans="4:6" ht="12" customHeight="1">
      <c r="D143" s="201" t="s">
        <v>9</v>
      </c>
      <c r="E143" s="292">
        <v>485.01</v>
      </c>
      <c r="F143" s="292">
        <v>485</v>
      </c>
    </row>
    <row r="144" spans="4:10" ht="12" customHeight="1">
      <c r="D144" s="201" t="s">
        <v>10</v>
      </c>
      <c r="E144" s="292">
        <v>377.73</v>
      </c>
      <c r="F144" s="292">
        <v>252.83</v>
      </c>
      <c r="H144" s="203"/>
      <c r="I144" s="203"/>
      <c r="J144" s="203"/>
    </row>
    <row r="145" spans="4:10" ht="12" customHeight="1">
      <c r="D145" s="201" t="s">
        <v>47</v>
      </c>
      <c r="E145" s="292">
        <v>188.85</v>
      </c>
      <c r="F145" s="292">
        <v>124.46</v>
      </c>
      <c r="H145" s="203"/>
      <c r="I145" s="203"/>
      <c r="J145" s="203"/>
    </row>
    <row r="146" spans="4:10" ht="12" customHeight="1">
      <c r="D146" s="201" t="s">
        <v>50</v>
      </c>
      <c r="E146" s="292">
        <v>464.82</v>
      </c>
      <c r="F146" s="292">
        <v>258.82</v>
      </c>
      <c r="H146" s="203"/>
      <c r="I146" s="203"/>
      <c r="J146" s="203"/>
    </row>
    <row r="147" spans="4:6" ht="12" customHeight="1">
      <c r="D147" s="201" t="s">
        <v>48</v>
      </c>
      <c r="E147" s="292">
        <v>464.82</v>
      </c>
      <c r="F147" s="292">
        <v>258.82</v>
      </c>
    </row>
    <row r="148" spans="4:6" ht="12" customHeight="1">
      <c r="D148" s="201" t="s">
        <v>49</v>
      </c>
      <c r="E148" s="292">
        <v>464.82</v>
      </c>
      <c r="F148" s="292">
        <v>258.82</v>
      </c>
    </row>
    <row r="149" spans="4:6" ht="12" customHeight="1">
      <c r="D149" s="197" t="s">
        <v>12</v>
      </c>
      <c r="E149" s="292">
        <v>377.73</v>
      </c>
      <c r="F149" s="292">
        <v>252.83</v>
      </c>
    </row>
    <row r="150" spans="4:6" ht="12" customHeight="1">
      <c r="D150" s="197" t="s">
        <v>14</v>
      </c>
      <c r="E150" s="292">
        <v>377.73</v>
      </c>
      <c r="F150" s="292">
        <v>252.83</v>
      </c>
    </row>
    <row r="151" spans="4:6" ht="12" customHeight="1">
      <c r="D151" s="197" t="s">
        <v>13</v>
      </c>
      <c r="E151" s="292">
        <v>377.73</v>
      </c>
      <c r="F151" s="292">
        <v>252.83</v>
      </c>
    </row>
    <row r="152" spans="4:6" ht="12" customHeight="1">
      <c r="D152" s="197" t="s">
        <v>11</v>
      </c>
      <c r="E152" s="293">
        <v>377.73</v>
      </c>
      <c r="F152" s="293">
        <v>252.83</v>
      </c>
    </row>
    <row r="153" ht="12" customHeight="1">
      <c r="D153" s="202"/>
    </row>
    <row r="154" spans="5:12" ht="12" customHeight="1">
      <c r="E154" s="235"/>
      <c r="H154" s="202" t="s">
        <v>238</v>
      </c>
      <c r="K154" s="216" t="s">
        <v>234</v>
      </c>
      <c r="L154" s="221">
        <v>0</v>
      </c>
    </row>
    <row r="155" spans="4:9" ht="12" customHeight="1">
      <c r="D155" s="201" t="s">
        <v>148</v>
      </c>
      <c r="E155" s="266" t="s">
        <v>143</v>
      </c>
      <c r="F155" s="266"/>
      <c r="H155" s="201" t="s">
        <v>148</v>
      </c>
      <c r="I155" s="201" t="s">
        <v>143</v>
      </c>
    </row>
    <row r="156" spans="4:10" ht="12" customHeight="1">
      <c r="D156" s="201" t="s">
        <v>144</v>
      </c>
      <c r="E156" s="266" t="s">
        <v>145</v>
      </c>
      <c r="F156" s="266" t="s">
        <v>146</v>
      </c>
      <c r="H156" s="224"/>
      <c r="I156" s="201" t="s">
        <v>145</v>
      </c>
      <c r="J156" s="201" t="s">
        <v>146</v>
      </c>
    </row>
    <row r="157" spans="4:10" ht="12" customHeight="1">
      <c r="D157" s="201" t="s">
        <v>6</v>
      </c>
      <c r="E157" s="294">
        <v>1389</v>
      </c>
      <c r="F157" s="294">
        <v>558</v>
      </c>
      <c r="H157" s="201" t="s">
        <v>6</v>
      </c>
      <c r="I157" s="272">
        <f>ROUND((1+$L$154)*E157,0)</f>
        <v>1389</v>
      </c>
      <c r="J157" s="272">
        <f aca="true" t="shared" si="59" ref="I157:J160">ROUND((1+$L$154)*F157,0)</f>
        <v>558</v>
      </c>
    </row>
    <row r="158" spans="4:10" ht="12" customHeight="1">
      <c r="D158" s="201" t="s">
        <v>7</v>
      </c>
      <c r="E158" s="294">
        <v>511</v>
      </c>
      <c r="F158" s="294">
        <v>216</v>
      </c>
      <c r="H158" s="201" t="s">
        <v>7</v>
      </c>
      <c r="I158" s="272">
        <f t="shared" si="59"/>
        <v>511</v>
      </c>
      <c r="J158" s="272">
        <f t="shared" si="59"/>
        <v>216</v>
      </c>
    </row>
    <row r="159" spans="4:10" ht="12" customHeight="1">
      <c r="D159" s="201" t="s">
        <v>8</v>
      </c>
      <c r="E159" s="294">
        <v>511</v>
      </c>
      <c r="F159" s="294">
        <v>0</v>
      </c>
      <c r="H159" s="201" t="s">
        <v>8</v>
      </c>
      <c r="I159" s="272">
        <f t="shared" si="59"/>
        <v>511</v>
      </c>
      <c r="J159" s="272">
        <f t="shared" si="59"/>
        <v>0</v>
      </c>
    </row>
    <row r="160" spans="4:10" ht="12" customHeight="1">
      <c r="D160" s="201" t="s">
        <v>9</v>
      </c>
      <c r="E160" s="294">
        <v>491</v>
      </c>
      <c r="F160" s="294">
        <v>405</v>
      </c>
      <c r="H160" s="201" t="s">
        <v>9</v>
      </c>
      <c r="I160" s="272">
        <f t="shared" si="59"/>
        <v>491</v>
      </c>
      <c r="J160" s="272">
        <f t="shared" si="59"/>
        <v>405</v>
      </c>
    </row>
    <row r="161" spans="4:10" ht="12" customHeight="1">
      <c r="D161" s="201" t="s">
        <v>10</v>
      </c>
      <c r="E161" s="294">
        <v>295</v>
      </c>
      <c r="F161" s="294">
        <v>128</v>
      </c>
      <c r="H161" s="201" t="s">
        <v>10</v>
      </c>
      <c r="I161" s="272">
        <f aca="true" t="shared" si="60" ref="I161:I169">ROUND((1+$L$154)*E161,0)</f>
        <v>295</v>
      </c>
      <c r="J161" s="272">
        <f aca="true" t="shared" si="61" ref="J161:J169">ROUND((1+$L$154)*F161,0)</f>
        <v>128</v>
      </c>
    </row>
    <row r="162" spans="4:10" ht="12" customHeight="1">
      <c r="D162" s="201" t="s">
        <v>47</v>
      </c>
      <c r="E162" s="294">
        <v>442</v>
      </c>
      <c r="F162" s="294">
        <v>236</v>
      </c>
      <c r="H162" s="201" t="s">
        <v>47</v>
      </c>
      <c r="I162" s="272">
        <f t="shared" si="60"/>
        <v>442</v>
      </c>
      <c r="J162" s="272">
        <f t="shared" si="61"/>
        <v>236</v>
      </c>
    </row>
    <row r="163" spans="4:10" ht="12" customHeight="1">
      <c r="D163" s="201" t="s">
        <v>50</v>
      </c>
      <c r="E163" s="294">
        <v>442</v>
      </c>
      <c r="F163" s="294">
        <v>236</v>
      </c>
      <c r="H163" s="201" t="s">
        <v>50</v>
      </c>
      <c r="I163" s="272">
        <f t="shared" si="60"/>
        <v>442</v>
      </c>
      <c r="J163" s="272">
        <f t="shared" si="61"/>
        <v>236</v>
      </c>
    </row>
    <row r="164" spans="4:10" ht="12" customHeight="1">
      <c r="D164" s="201" t="s">
        <v>48</v>
      </c>
      <c r="E164" s="294">
        <v>442</v>
      </c>
      <c r="F164" s="294">
        <v>236</v>
      </c>
      <c r="H164" s="201" t="s">
        <v>48</v>
      </c>
      <c r="I164" s="272">
        <f t="shared" si="60"/>
        <v>442</v>
      </c>
      <c r="J164" s="272">
        <f t="shared" si="61"/>
        <v>236</v>
      </c>
    </row>
    <row r="165" spans="4:10" ht="12" customHeight="1">
      <c r="D165" s="201" t="s">
        <v>49</v>
      </c>
      <c r="E165" s="294">
        <v>442</v>
      </c>
      <c r="F165" s="294">
        <v>236</v>
      </c>
      <c r="H165" s="201" t="s">
        <v>49</v>
      </c>
      <c r="I165" s="272">
        <f t="shared" si="60"/>
        <v>442</v>
      </c>
      <c r="J165" s="272">
        <f t="shared" si="61"/>
        <v>236</v>
      </c>
    </row>
    <row r="166" spans="4:10" ht="12" customHeight="1">
      <c r="D166" s="201" t="s">
        <v>12</v>
      </c>
      <c r="E166" s="294">
        <v>511</v>
      </c>
      <c r="F166" s="294">
        <v>274</v>
      </c>
      <c r="H166" s="201" t="s">
        <v>12</v>
      </c>
      <c r="I166" s="272">
        <f t="shared" si="60"/>
        <v>511</v>
      </c>
      <c r="J166" s="272">
        <f t="shared" si="61"/>
        <v>274</v>
      </c>
    </row>
    <row r="167" spans="4:10" ht="12" customHeight="1">
      <c r="D167" s="201" t="s">
        <v>13</v>
      </c>
      <c r="E167" s="294">
        <v>511</v>
      </c>
      <c r="F167" s="294">
        <v>274</v>
      </c>
      <c r="H167" s="201" t="s">
        <v>13</v>
      </c>
      <c r="I167" s="272">
        <f t="shared" si="60"/>
        <v>511</v>
      </c>
      <c r="J167" s="272">
        <f t="shared" si="61"/>
        <v>274</v>
      </c>
    </row>
    <row r="168" spans="4:10" ht="12" customHeight="1">
      <c r="D168" s="201" t="s">
        <v>11</v>
      </c>
      <c r="E168" s="294">
        <v>442</v>
      </c>
      <c r="F168" s="294">
        <v>236</v>
      </c>
      <c r="H168" s="201" t="s">
        <v>11</v>
      </c>
      <c r="I168" s="272">
        <f t="shared" si="60"/>
        <v>442</v>
      </c>
      <c r="J168" s="272">
        <f t="shared" si="61"/>
        <v>236</v>
      </c>
    </row>
    <row r="169" spans="4:10" ht="12" customHeight="1">
      <c r="D169" s="201" t="s">
        <v>14</v>
      </c>
      <c r="E169" s="294">
        <v>511</v>
      </c>
      <c r="F169" s="294">
        <v>274</v>
      </c>
      <c r="H169" s="201" t="s">
        <v>14</v>
      </c>
      <c r="I169" s="272">
        <f t="shared" si="60"/>
        <v>511</v>
      </c>
      <c r="J169" s="272">
        <f t="shared" si="61"/>
        <v>274</v>
      </c>
    </row>
    <row r="170" spans="5:9" ht="12" customHeight="1">
      <c r="E170" s="201" t="s">
        <v>147</v>
      </c>
      <c r="I170" s="201" t="s">
        <v>147</v>
      </c>
    </row>
    <row r="172" spans="3:4" ht="12" customHeight="1">
      <c r="C172" s="1"/>
      <c r="D172" s="202" t="s">
        <v>126</v>
      </c>
    </row>
    <row r="173" spans="4:7" ht="12" customHeight="1">
      <c r="D173" s="201">
        <v>2004</v>
      </c>
      <c r="E173" s="216" t="s">
        <v>152</v>
      </c>
      <c r="F173" s="225">
        <v>38261</v>
      </c>
      <c r="G173" s="225">
        <v>38368</v>
      </c>
    </row>
    <row r="174" spans="4:7" ht="12" customHeight="1">
      <c r="D174" s="201">
        <v>2005</v>
      </c>
      <c r="E174" s="216" t="s">
        <v>127</v>
      </c>
      <c r="F174" s="225">
        <v>38626</v>
      </c>
      <c r="G174" s="225">
        <v>38733</v>
      </c>
    </row>
    <row r="175" spans="4:7" ht="12" customHeight="1">
      <c r="D175" s="201">
        <v>2006</v>
      </c>
      <c r="E175" s="216" t="s">
        <v>128</v>
      </c>
      <c r="F175" s="225">
        <v>38991</v>
      </c>
      <c r="G175" s="225">
        <v>39098</v>
      </c>
    </row>
    <row r="176" spans="4:7" ht="12" customHeight="1">
      <c r="D176" s="201">
        <v>2007</v>
      </c>
      <c r="E176" s="216" t="s">
        <v>129</v>
      </c>
      <c r="F176" s="225">
        <v>39356</v>
      </c>
      <c r="G176" s="225">
        <v>39463</v>
      </c>
    </row>
    <row r="177" spans="4:7" ht="12" customHeight="1">
      <c r="D177" s="201">
        <v>2008</v>
      </c>
      <c r="E177" s="216" t="s">
        <v>130</v>
      </c>
      <c r="F177" s="225">
        <v>39722</v>
      </c>
      <c r="G177" s="225">
        <v>39829</v>
      </c>
    </row>
    <row r="178" spans="4:7" ht="12" customHeight="1">
      <c r="D178" s="201">
        <v>2009</v>
      </c>
      <c r="E178" s="216" t="s">
        <v>131</v>
      </c>
      <c r="F178" s="225">
        <v>40087</v>
      </c>
      <c r="G178" s="225">
        <v>40194</v>
      </c>
    </row>
    <row r="179" spans="4:7" ht="12" customHeight="1">
      <c r="D179" s="201">
        <v>2010</v>
      </c>
      <c r="E179" s="216" t="s">
        <v>132</v>
      </c>
      <c r="F179" s="225">
        <v>40452</v>
      </c>
      <c r="G179" s="225">
        <v>40559</v>
      </c>
    </row>
    <row r="180" spans="4:7" ht="12" customHeight="1">
      <c r="D180" s="201">
        <v>2011</v>
      </c>
      <c r="E180" s="216" t="s">
        <v>133</v>
      </c>
      <c r="F180" s="225">
        <v>40817</v>
      </c>
      <c r="G180" s="225">
        <v>40924</v>
      </c>
    </row>
    <row r="181" spans="4:7" ht="12" customHeight="1">
      <c r="D181" s="201">
        <v>2012</v>
      </c>
      <c r="E181" s="216" t="s">
        <v>134</v>
      </c>
      <c r="F181" s="225">
        <v>41183</v>
      </c>
      <c r="G181" s="225">
        <v>41290</v>
      </c>
    </row>
    <row r="182" spans="4:7" ht="12" customHeight="1">
      <c r="D182" s="201">
        <v>2013</v>
      </c>
      <c r="E182" s="216" t="s">
        <v>135</v>
      </c>
      <c r="F182" s="225">
        <v>41548</v>
      </c>
      <c r="G182" s="225">
        <v>41655</v>
      </c>
    </row>
    <row r="183" spans="4:7" ht="12" customHeight="1">
      <c r="D183" s="201">
        <v>2014</v>
      </c>
      <c r="E183" s="216" t="s">
        <v>136</v>
      </c>
      <c r="F183" s="225">
        <v>41913</v>
      </c>
      <c r="G183" s="225">
        <v>42020</v>
      </c>
    </row>
    <row r="184" spans="4:7" ht="12" customHeight="1">
      <c r="D184" s="201">
        <v>2015</v>
      </c>
      <c r="E184" s="216" t="s">
        <v>137</v>
      </c>
      <c r="F184" s="225">
        <v>42278</v>
      </c>
      <c r="G184" s="225">
        <v>42385</v>
      </c>
    </row>
    <row r="186" spans="1:8" ht="12" customHeight="1">
      <c r="A186" s="201"/>
      <c r="D186" s="202" t="s">
        <v>248</v>
      </c>
      <c r="E186" s="200"/>
      <c r="H186" s="289"/>
    </row>
    <row r="187" spans="1:6" ht="12" customHeight="1">
      <c r="A187" s="201"/>
      <c r="D187" s="201" t="s">
        <v>148</v>
      </c>
      <c r="E187" s="217" t="s">
        <v>143</v>
      </c>
      <c r="F187" s="290"/>
    </row>
    <row r="188" spans="1:6" ht="12" customHeight="1">
      <c r="A188" s="201"/>
      <c r="D188" s="201" t="s">
        <v>144</v>
      </c>
      <c r="E188" s="200" t="s">
        <v>249</v>
      </c>
      <c r="F188" s="200" t="s">
        <v>250</v>
      </c>
    </row>
    <row r="189" spans="1:6" ht="12" customHeight="1">
      <c r="A189" s="201"/>
      <c r="D189" s="201" t="s">
        <v>6</v>
      </c>
      <c r="E189" s="291">
        <v>559</v>
      </c>
      <c r="F189" s="291">
        <v>373</v>
      </c>
    </row>
    <row r="190" spans="1:6" ht="12" customHeight="1">
      <c r="A190" s="201"/>
      <c r="D190" s="201" t="s">
        <v>7</v>
      </c>
      <c r="E190" s="291">
        <v>216</v>
      </c>
      <c r="F190" s="291">
        <v>144</v>
      </c>
    </row>
    <row r="191" spans="1:6" ht="12" customHeight="1">
      <c r="A191" s="201"/>
      <c r="D191" s="201" t="s">
        <v>8</v>
      </c>
      <c r="E191" s="291">
        <v>274</v>
      </c>
      <c r="F191" s="291">
        <v>183</v>
      </c>
    </row>
    <row r="192" spans="1:6" ht="12" customHeight="1">
      <c r="A192" s="201"/>
      <c r="D192" s="201" t="s">
        <v>9</v>
      </c>
      <c r="E192" s="291">
        <v>469</v>
      </c>
      <c r="F192" s="291">
        <v>313</v>
      </c>
    </row>
    <row r="193" spans="1:6" ht="12" customHeight="1">
      <c r="A193" s="201"/>
      <c r="D193" s="201" t="s">
        <v>47</v>
      </c>
      <c r="E193" s="291">
        <v>274</v>
      </c>
      <c r="F193" s="291">
        <v>183</v>
      </c>
    </row>
    <row r="194" spans="1:6" ht="12" customHeight="1">
      <c r="A194" s="201"/>
      <c r="D194" s="201" t="s">
        <v>50</v>
      </c>
      <c r="E194" s="291">
        <v>274</v>
      </c>
      <c r="F194" s="291">
        <v>183</v>
      </c>
    </row>
    <row r="195" spans="1:6" ht="12" customHeight="1">
      <c r="A195" s="201"/>
      <c r="D195" s="201" t="s">
        <v>10</v>
      </c>
      <c r="E195" s="291">
        <v>149</v>
      </c>
      <c r="F195" s="291">
        <v>99</v>
      </c>
    </row>
    <row r="196" spans="1:6" ht="12" customHeight="1">
      <c r="A196" s="201"/>
      <c r="D196" s="201" t="s">
        <v>48</v>
      </c>
      <c r="E196" s="291">
        <v>274</v>
      </c>
      <c r="F196" s="291">
        <v>183</v>
      </c>
    </row>
    <row r="197" spans="1:6" ht="12" customHeight="1">
      <c r="A197" s="201"/>
      <c r="D197" s="201" t="s">
        <v>49</v>
      </c>
      <c r="E197" s="291">
        <v>274</v>
      </c>
      <c r="F197" s="291">
        <v>183</v>
      </c>
    </row>
    <row r="198" spans="1:6" ht="12" customHeight="1">
      <c r="A198" s="201"/>
      <c r="D198" s="197" t="s">
        <v>12</v>
      </c>
      <c r="E198" s="291">
        <v>274</v>
      </c>
      <c r="F198" s="291">
        <v>183</v>
      </c>
    </row>
    <row r="199" spans="1:6" ht="12" customHeight="1">
      <c r="A199" s="201"/>
      <c r="D199" s="197" t="s">
        <v>14</v>
      </c>
      <c r="E199" s="291">
        <v>274</v>
      </c>
      <c r="F199" s="291">
        <v>183</v>
      </c>
    </row>
    <row r="200" spans="1:6" ht="12" customHeight="1">
      <c r="A200" s="201"/>
      <c r="D200" s="197" t="s">
        <v>13</v>
      </c>
      <c r="E200" s="291">
        <v>274</v>
      </c>
      <c r="F200" s="291">
        <v>183</v>
      </c>
    </row>
    <row r="201" spans="1:6" ht="12" customHeight="1">
      <c r="A201" s="201"/>
      <c r="D201" s="197" t="s">
        <v>11</v>
      </c>
      <c r="E201" s="291">
        <v>274</v>
      </c>
      <c r="F201" s="291">
        <v>183</v>
      </c>
    </row>
    <row r="202" spans="1:6" ht="12" customHeight="1">
      <c r="A202" s="201"/>
      <c r="D202" s="217"/>
      <c r="E202" s="217" t="s">
        <v>147</v>
      </c>
      <c r="F202" s="217"/>
    </row>
  </sheetData>
  <sheetProtection password="DFB1" sheet="1" objects="1" scenarios="1"/>
  <mergeCells count="7">
    <mergeCell ref="F91:G91"/>
    <mergeCell ref="H91:I91"/>
    <mergeCell ref="D50:H50"/>
    <mergeCell ref="E4:L4"/>
    <mergeCell ref="D71:G71"/>
    <mergeCell ref="F72:G72"/>
    <mergeCell ref="H72:I72"/>
  </mergeCells>
  <printOptions/>
  <pageMargins left="0.7480314960629921" right="0.7480314960629921" top="0.984251968503937" bottom="0.984251968503937" header="0.5118110236220472" footer="0.5118110236220472"/>
  <pageSetup horizontalDpi="600" verticalDpi="600" orientation="landscape" paperSize="9" scale="40" r:id="rId3"/>
  <headerFooter alignWithMargins="0">
    <oddHeader>&amp;L&amp;"Arial,Vet"&amp;F&amp;R&amp;"Arial,Vet"&amp;A</oddHeader>
    <oddFooter>&amp;L&amp;"Arial,Vet"&amp;9goedhart / keizer&amp;C&amp;"Arial,Vet"&amp;9&amp;D&amp;R&amp;"Arial,Vet"&amp;9pagina &amp;P</oddFooter>
  </headerFooter>
  <rowBreaks count="1" manualBreakCount="1">
    <brk id="89" max="5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VOS/ABB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 (V)SO</dc:title>
  <dc:subject/>
  <dc:creator>Keizer</dc:creator>
  <cp:keywords/>
  <dc:description/>
  <cp:lastModifiedBy>Keizer</cp:lastModifiedBy>
  <cp:lastPrinted>2010-09-28T12:18:21Z</cp:lastPrinted>
  <dcterms:created xsi:type="dcterms:W3CDTF">2006-01-05T16:14:49Z</dcterms:created>
  <dcterms:modified xsi:type="dcterms:W3CDTF">2010-09-28T12:18:27Z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