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545" windowWidth="11400" windowHeight="5550"/>
  </bookViews>
  <sheets>
    <sheet name="toelichting" sheetId="2" r:id="rId1"/>
    <sheet name="fusie" sheetId="1" r:id="rId2"/>
    <sheet name="bereken" sheetId="6" r:id="rId3"/>
    <sheet name="tab" sheetId="3" r:id="rId4"/>
  </sheets>
  <definedNames>
    <definedName name="_xlnm.Print_Area" localSheetId="2">bereken!$B$2:$P$62</definedName>
    <definedName name="_xlnm.Print_Area" localSheetId="1">fusie!$B$2:$P$111</definedName>
    <definedName name="_xlnm.Print_Area" localSheetId="3">tab!$A$1:$D$42</definedName>
    <definedName name="_xlnm.Print_Area" localSheetId="0">toelichting!$B$2:$N$138</definedName>
  </definedNames>
  <calcPr calcId="114210"/>
</workbook>
</file>

<file path=xl/calcChain.xml><?xml version="1.0" encoding="utf-8"?>
<calcChain xmlns="http://schemas.openxmlformats.org/spreadsheetml/2006/main">
  <c r="G123" i="1"/>
  <c r="G25"/>
  <c r="C5"/>
  <c r="F92"/>
  <c r="G26"/>
  <c r="N119"/>
  <c r="G124"/>
  <c r="N124"/>
  <c r="N89"/>
  <c r="N94"/>
  <c r="N92"/>
  <c r="J20" i="6"/>
  <c r="N69" i="1"/>
  <c r="G89"/>
  <c r="F38" i="6"/>
  <c r="G98" i="1"/>
  <c r="M92"/>
  <c r="J38" i="6"/>
  <c r="N98" i="1"/>
  <c r="G127"/>
  <c r="N127"/>
  <c r="G126"/>
  <c r="N27"/>
  <c r="N32"/>
  <c r="N30"/>
  <c r="G28"/>
  <c r="G29"/>
  <c r="J56" i="6"/>
  <c r="N36" i="1"/>
  <c r="N129"/>
  <c r="K15"/>
  <c r="C39" i="3"/>
  <c r="C36"/>
  <c r="C34"/>
  <c r="C33"/>
  <c r="C32"/>
  <c r="N60" i="1"/>
  <c r="J16" i="6"/>
  <c r="N67" i="1"/>
  <c r="G60"/>
  <c r="C35" i="3"/>
  <c r="C38"/>
  <c r="M63" i="1"/>
  <c r="M30"/>
  <c r="F63"/>
  <c r="F20" i="6"/>
  <c r="G69" i="1"/>
  <c r="G129"/>
  <c r="N38" i="6"/>
  <c r="C25" i="3"/>
  <c r="C26"/>
  <c r="C29"/>
  <c r="C30"/>
  <c r="C27"/>
  <c r="C28"/>
  <c r="C31"/>
  <c r="G33" i="1"/>
  <c r="F46" i="6"/>
  <c r="G66" i="1"/>
  <c r="F10" i="6"/>
  <c r="N66" i="1"/>
  <c r="J10" i="6"/>
  <c r="G95" i="1"/>
  <c r="F28" i="6"/>
  <c r="N95" i="1"/>
  <c r="J28" i="6"/>
  <c r="G131" i="1"/>
  <c r="N28" i="6"/>
  <c r="N131" i="1"/>
  <c r="N46" i="6"/>
  <c r="N120" i="1"/>
  <c r="K13"/>
  <c r="G101"/>
  <c r="N33"/>
  <c r="G39"/>
  <c r="N86"/>
  <c r="N24"/>
  <c r="N122"/>
  <c r="G24"/>
  <c r="G122"/>
  <c r="N57"/>
  <c r="G86"/>
  <c r="G57"/>
  <c r="F34" i="6"/>
  <c r="G96" i="1"/>
  <c r="G94"/>
  <c r="J35" i="6"/>
  <c r="J34"/>
  <c r="N96" i="1"/>
  <c r="F128"/>
  <c r="F35" i="6"/>
  <c r="J14"/>
  <c r="J13"/>
  <c r="N31"/>
  <c r="F31"/>
  <c r="J37"/>
  <c r="N97" i="1"/>
  <c r="N99"/>
  <c r="J49" i="6"/>
  <c r="F30" i="1"/>
  <c r="J53" i="6"/>
  <c r="N126" i="1"/>
  <c r="G125"/>
  <c r="N34" i="6"/>
  <c r="G132" i="1"/>
  <c r="J46" i="6"/>
  <c r="F17"/>
  <c r="G72" i="1"/>
  <c r="F50" i="6"/>
  <c r="J55"/>
  <c r="N35" i="1"/>
  <c r="F56" i="6"/>
  <c r="G36" i="1"/>
  <c r="G42"/>
  <c r="G27"/>
  <c r="F53" i="6"/>
  <c r="N123" i="1"/>
  <c r="N125"/>
  <c r="G104"/>
  <c r="G134"/>
  <c r="F32" i="6"/>
  <c r="N65" i="1"/>
  <c r="N63"/>
  <c r="J19" i="6"/>
  <c r="N68" i="1"/>
  <c r="F13" i="6"/>
  <c r="F16"/>
  <c r="G67" i="1"/>
  <c r="J17" i="6"/>
  <c r="N72" i="1"/>
  <c r="J31" i="6"/>
  <c r="J50"/>
  <c r="J32"/>
  <c r="N50"/>
  <c r="N32"/>
  <c r="F14"/>
  <c r="J52"/>
  <c r="N34" i="1"/>
  <c r="F49" i="6"/>
  <c r="G65" i="1"/>
  <c r="G63"/>
  <c r="F19" i="6"/>
  <c r="G68" i="1"/>
  <c r="G130"/>
  <c r="G128"/>
  <c r="N37" i="6"/>
  <c r="G133" i="1"/>
  <c r="N53" i="6"/>
  <c r="N137" i="1"/>
  <c r="G46"/>
  <c r="F14"/>
  <c r="N130"/>
  <c r="N128"/>
  <c r="N55" i="6"/>
  <c r="N133" i="1"/>
  <c r="G92"/>
  <c r="F37" i="6"/>
  <c r="N56"/>
  <c r="N134" i="1"/>
  <c r="M128"/>
  <c r="G105"/>
  <c r="J40" i="6"/>
  <c r="J41"/>
  <c r="N37" i="1"/>
  <c r="G32"/>
  <c r="G30"/>
  <c r="F55" i="6"/>
  <c r="G35" i="1"/>
  <c r="F23" i="6"/>
  <c r="G70" i="1"/>
  <c r="G71"/>
  <c r="F22" i="6"/>
  <c r="N35"/>
  <c r="G137" i="1"/>
  <c r="G108"/>
  <c r="F13"/>
  <c r="N49" i="6"/>
  <c r="F52"/>
  <c r="G34" i="1"/>
  <c r="J59" i="6"/>
  <c r="N52"/>
  <c r="N132" i="1"/>
  <c r="G40"/>
  <c r="J23" i="6"/>
  <c r="N70" i="1"/>
  <c r="N71"/>
  <c r="J58" i="6"/>
  <c r="J22"/>
  <c r="G102" i="1"/>
  <c r="M13"/>
  <c r="G97"/>
  <c r="F41" i="6"/>
  <c r="F40"/>
  <c r="N41"/>
  <c r="G135" i="1"/>
  <c r="G106"/>
  <c r="N40" i="6"/>
  <c r="G37" i="1"/>
  <c r="G41"/>
  <c r="G43"/>
  <c r="M15"/>
  <c r="F59" i="6"/>
  <c r="F58"/>
  <c r="N59"/>
  <c r="N135" i="1"/>
  <c r="G44"/>
  <c r="N58" i="6"/>
  <c r="G103" i="1"/>
  <c r="G107"/>
  <c r="G99"/>
  <c r="G136"/>
  <c r="G45"/>
  <c r="N136"/>
  <c r="E13"/>
  <c r="E14"/>
  <c r="L13"/>
  <c r="N13"/>
  <c r="G13"/>
  <c r="L15"/>
  <c r="N15"/>
  <c r="G14"/>
</calcChain>
</file>

<file path=xl/comments1.xml><?xml version="1.0" encoding="utf-8"?>
<comments xmlns="http://schemas.openxmlformats.org/spreadsheetml/2006/main">
  <authors>
    <author>Bé Keizer</author>
    <author>Gebruiker</author>
  </authors>
  <commentList>
    <comment ref="E31" authorId="0">
      <text>
        <r>
          <rPr>
            <sz val="9"/>
            <color indexed="81"/>
            <rFont val="Tahoma"/>
            <family val="2"/>
          </rPr>
          <t xml:space="preserve">
De hoofdvestiging betreft de overblijvende school. Dat bepaalt dus ook het antwoord op de vraag of de hoofdvestiging in een impulsgebied ligt: de plaats van de overblijvende school is daarbij bepalend.</t>
        </r>
      </text>
    </comment>
    <comment ref="L31" authorId="0">
      <text>
        <r>
          <rPr>
            <sz val="9"/>
            <color indexed="81"/>
            <rFont val="Tahoma"/>
            <family val="2"/>
          </rPr>
          <t xml:space="preserve">
De nevenvestiging betreft de school die opgeheven wordt en als nevenvestiging verder gaat. Dat bepaalt dus ook het antwoord op de vraag of die nevenvestiging in een impulsgebied ligt: de plaats van de opgeheven school is daarbij bepalend.</t>
        </r>
      </text>
    </comment>
    <comment ref="E54" authorId="1">
      <text>
        <r>
          <rPr>
            <sz val="8"/>
            <color indexed="81"/>
            <rFont val="Tahoma"/>
            <family val="2"/>
          </rPr>
          <t xml:space="preserve">
Zie beschikking GGL
</t>
        </r>
      </text>
    </comment>
    <comment ref="L54" authorId="1">
      <text>
        <r>
          <rPr>
            <sz val="8"/>
            <color indexed="81"/>
            <rFont val="Tahoma"/>
            <family val="2"/>
          </rPr>
          <t xml:space="preserve">
Zie beschikking GGL
</t>
        </r>
      </text>
    </comment>
    <comment ref="E83" authorId="1">
      <text>
        <r>
          <rPr>
            <sz val="8"/>
            <color indexed="81"/>
            <rFont val="Tahoma"/>
            <family val="2"/>
          </rPr>
          <t xml:space="preserve">
Zie beschikking GGL
</t>
        </r>
      </text>
    </comment>
  </commentList>
</comments>
</file>

<file path=xl/sharedStrings.xml><?xml version="1.0" encoding="utf-8"?>
<sst xmlns="http://schemas.openxmlformats.org/spreadsheetml/2006/main" count="438" uniqueCount="208">
  <si>
    <t>Telgegevens 1 oktober</t>
  </si>
  <si>
    <t xml:space="preserve"> 4 t/m 7 jaar:</t>
  </si>
  <si>
    <t xml:space="preserve"> 8 jaar en ouder</t>
  </si>
  <si>
    <t>met gewichtscategorie</t>
  </si>
  <si>
    <t>onderbouw</t>
  </si>
  <si>
    <t>bovenbouw</t>
  </si>
  <si>
    <t>vloer kleine school</t>
  </si>
  <si>
    <t>aftrek kleine school</t>
  </si>
  <si>
    <t>Inkomsten</t>
  </si>
  <si>
    <t>Totaal</t>
  </si>
  <si>
    <t>Leerlinggegevens</t>
  </si>
  <si>
    <t>a. basisformatie</t>
  </si>
  <si>
    <t>a.1 groepsformatie</t>
  </si>
  <si>
    <t>a.2 toeslagen</t>
  </si>
  <si>
    <t>b. formatie speciale doeleinden</t>
  </si>
  <si>
    <t>a.1.1 formatie onderbouw</t>
  </si>
  <si>
    <t>a.1.2 formatie bovenbouw</t>
  </si>
  <si>
    <t>a.2.1 kleinescholentoeslag</t>
  </si>
  <si>
    <t>b.1 formatie BOA</t>
  </si>
  <si>
    <t>Kleinescholentoeslag</t>
  </si>
  <si>
    <t>Formatie BOA</t>
  </si>
  <si>
    <t>Nevenvestiging</t>
  </si>
  <si>
    <t>Zeer-kleinescholentoeslag</t>
  </si>
  <si>
    <t>Hoofdvestiging</t>
  </si>
  <si>
    <t>Factor X voor hoofdvestiging</t>
  </si>
  <si>
    <t>Factor X voor nevenvestiging</t>
  </si>
  <si>
    <t>Factor X voor school als zodanig</t>
  </si>
  <si>
    <t>Factor Y voor hoofdvestiging</t>
  </si>
  <si>
    <t>Factor Y voor nevenvestiging</t>
  </si>
  <si>
    <t>Factor Y voor school als zodanig</t>
  </si>
  <si>
    <t>Factor Y voor school ABC:</t>
  </si>
  <si>
    <t>Eventuele nevenvestiging</t>
  </si>
  <si>
    <t>Factor X1 school A</t>
  </si>
  <si>
    <t>Factor X2 school B</t>
  </si>
  <si>
    <t>Factor X3 voor school C:</t>
  </si>
  <si>
    <t>Overgangsformatie</t>
  </si>
  <si>
    <t>Zeerkleinescholentoeslag</t>
  </si>
  <si>
    <t>Faciliteitenregeling samenvoeging basisscholen</t>
  </si>
  <si>
    <t>a. de afzonderlijke scholen zouden hebben ontvangen als er geen fusie zou hebben plaats gevonden, en</t>
  </si>
  <si>
    <t>Berekening</t>
  </si>
  <si>
    <t>De overgangsformatie voor het eerste schooljaar bedraagt: X - Y</t>
  </si>
  <si>
    <t xml:space="preserve">De overgangsformatie voor het tweede schooljaar bedraagt de helft ervan: 1/2(X - Y). </t>
  </si>
  <si>
    <t xml:space="preserve">Voorbeeld: </t>
  </si>
  <si>
    <t>aantal leerlingen onderbouw:</t>
  </si>
  <si>
    <t>aantal leerlingen bovenbouw:</t>
  </si>
  <si>
    <t>School A komt in aanmerking voor:</t>
  </si>
  <si>
    <t>kleinescholentoeslag:</t>
  </si>
  <si>
    <t>formatie BOA:</t>
  </si>
  <si>
    <t>School B komt in aanmerking voor:</t>
  </si>
  <si>
    <t>School AB komt in aanmerking voor:</t>
  </si>
  <si>
    <t>De factor X bedraagt:</t>
  </si>
  <si>
    <t>De factor Y bedraagt:</t>
  </si>
  <si>
    <t>Nadere toelichting bij deze applicatie</t>
  </si>
  <si>
    <t xml:space="preserve">teldatum van de scholen die bij de fusie betrokken zijn. </t>
  </si>
  <si>
    <t xml:space="preserve">Het verschil wordt toegekend als overgangsformatie voor het eerste jaar en voor het tweede jaar wordt de helft van het </t>
  </si>
  <si>
    <t xml:space="preserve">b. vermeerdering van de basisformatie t.b.v. basisscholen met een of meer nevenvestigingen: de verhoging </t>
  </si>
  <si>
    <t>met 3/4 van het formatieve verschil voor formeel erkende nevenvestigingen,</t>
  </si>
  <si>
    <t>d. formatie voor de bestrijding van onderwijsachterstanden: de formatie die wordt toegekend op basis van het aantal</t>
  </si>
  <si>
    <t xml:space="preserve"> 'gewichtsleerlingen', ook wel bekend als schoolgewicht.</t>
  </si>
  <si>
    <t xml:space="preserve">Alleen als een school met een of meer van deze componenten te maken heeft is er effect voor de vaststelling van de </t>
  </si>
  <si>
    <t xml:space="preserve">omvang van de formatie na samenvoeging. Immers de school die na de fusie ontstaat, kan een omvang of een </t>
  </si>
  <si>
    <t xml:space="preserve">De overgangsformatie wordt, met als teldatum 1 oktober T-1 voor de afzonderlijke scholen en voor de gefuseerde </t>
  </si>
  <si>
    <t>school, daarom als volgt berekend:</t>
  </si>
  <si>
    <t>bij de fusie betrokken scholen en bij elkaar gevoegd (X). Vervolgens worden de componenten berekend van de school</t>
  </si>
  <si>
    <t>(-)</t>
  </si>
  <si>
    <t>Gekozen is voor de mogelijkheid van fusies tussen maximaal drie scholen waaruit één school resteert. Daarbij is de mogelijk-</t>
  </si>
  <si>
    <t>heid aanwezig dat één van de bij de fusie betrokken scholen bestaat uit een hoofd- en nevenvestiging, school C.</t>
  </si>
  <si>
    <t xml:space="preserve">Ook is de mogelijkheid aanwezig dat de gefuseerde school gaat bestaan uit een school met een hoofd- en een nevenvestiging. </t>
  </si>
  <si>
    <t xml:space="preserve">Het begrip nevenvestiging is gekoppeld aan de erkenning door het departement dat een vestiging van de school  voldoet </t>
  </si>
  <si>
    <t>In de meeste situaties zal er sprake zijn van fusie tussen twee scholen. In dat geval kan het beste invulling plaats vinden</t>
  </si>
  <si>
    <t>tweede schooljaar na de fusie weergeeft.</t>
  </si>
  <si>
    <t>Wanneer er sprake is van een fusie tussen school A en een school met nevenvestiging, dienen de gegevens van deze</t>
  </si>
  <si>
    <t>gefuseerde school met de overgangsformatie voor het eerste en het tweede schooljaar na de fusie.</t>
  </si>
  <si>
    <t>Wanneer er drie scholen gaan fuseren terwijl er geen sprake is van een nevenvestiging, geeft school ABC het resultaat</t>
  </si>
  <si>
    <t>weer van de fusie met de daarbij behorende overgangsformatie in de beide volgende schooljaren.</t>
  </si>
  <si>
    <t xml:space="preserve">laatste school bij school C ingevuld te worden. Ook dan geeft school ABC weer de gegevens die gelden voor de </t>
  </si>
  <si>
    <t xml:space="preserve">van de gegevens van de scholen A en B, waarna de gefuseerde school ABC de overgangsformatie in het eerste en het </t>
  </si>
  <si>
    <t xml:space="preserve">aan nadere voorwaarden (artikel 85 WPO) waardoor het gunstiger bekostigd wordt. </t>
  </si>
  <si>
    <t>als een bij de samenvoeging betrokken school te maken heeft met één of meer van de volgende formatiecomponenten:</t>
  </si>
  <si>
    <t xml:space="preserve">c. de kleinescholentoeslag: voor scholen met minder dan 145 leerlingen, en/of </t>
  </si>
  <si>
    <t>Desgewenst kunt u dus de beveiliging opheffen en de werkbladen aanpassen.</t>
  </si>
  <si>
    <t>Vooraf</t>
  </si>
  <si>
    <t>schooljaar</t>
  </si>
  <si>
    <t>Directie</t>
  </si>
  <si>
    <t>OP (landelijk)</t>
  </si>
  <si>
    <t>OP  leeftijdsgecorrigeerd: voet</t>
  </si>
  <si>
    <t>OP  leeftijdsgecorrigeerd: bedrag * GGL</t>
  </si>
  <si>
    <t>Landelijke GGL =</t>
  </si>
  <si>
    <t xml:space="preserve">Lumpsum </t>
  </si>
  <si>
    <t>onderbouwformatie vast</t>
  </si>
  <si>
    <t>onderbouwformatie per ll</t>
  </si>
  <si>
    <t>onderwijsachterstand (BOA)</t>
  </si>
  <si>
    <t>bovenbouwformatie vast</t>
  </si>
  <si>
    <t>bovenbouwformatie per ll</t>
  </si>
  <si>
    <t>onderw.achterst.vast (schoolgewicht)</t>
  </si>
  <si>
    <t>onderw.achterst.per ll. (schoolgewicht)</t>
  </si>
  <si>
    <t>voet kleine scholen toeslag (vast deel)</t>
  </si>
  <si>
    <t>voet kleine scholen toeslag (leeftijdsafhankelijk deel)</t>
  </si>
  <si>
    <t>aftrek kleine scholen toeslag (vast deel)</t>
  </si>
  <si>
    <t>aftrek kleine scholen toeslag (leeftijdsafhankelijk deel)</t>
  </si>
  <si>
    <t>zeer kleine scholen toeslag (vast deel)</t>
  </si>
  <si>
    <t>zeer kleine scholen toeslag (leeftijdsafhankelijk deel)</t>
  </si>
  <si>
    <t>omslagpunt lln. directietoeslag</t>
  </si>
  <si>
    <t>toeslag directie</t>
  </si>
  <si>
    <t>totale formatie is tenminste</t>
  </si>
  <si>
    <t>a.2.2 salaire toeslag schoolleiding</t>
  </si>
  <si>
    <t>Totaal toekenning formatie in geld</t>
  </si>
  <si>
    <t>GGL</t>
  </si>
  <si>
    <t>WTF</t>
  </si>
  <si>
    <t>X - Y</t>
  </si>
  <si>
    <t>Xs - Ys</t>
  </si>
  <si>
    <t>0,5 x (X - Y)</t>
  </si>
  <si>
    <t>dir. toeslag</t>
  </si>
  <si>
    <t>Het uitgangspunt voor de toekenning van de faciliteiten is dat gekeken wordt naar het geld voor de formatie die:</t>
  </si>
  <si>
    <t xml:space="preserve">b. de gefuseerde school ontvangt op basis van het gesommeerde leerlingenaantal op de voorafgaande </t>
  </si>
  <si>
    <t>verschil toegekend. Het verschil in de toeslag directie wordt twee jaar toegekend voor 100%.</t>
  </si>
  <si>
    <t xml:space="preserve">De berekening van de overgangsformatie hoeft maar eenmalig plaats te vinden en gebeurt volgens een eenvoudig principe. Door de </t>
  </si>
  <si>
    <t xml:space="preserve">linearisering heeft een samenvoeging in principe geen gevolgen: de formatie voor 150 leerlingen van school A plus 50 leerlingen </t>
  </si>
  <si>
    <t>van school B is door de lineaire toekenning gelijk aan de formatie van school AB. Verschil kan zich slechts voordoen</t>
  </si>
  <si>
    <t>a. verhoging t.b.v. zeer kleine scholen: het gaat hier om de garantie dat ook de kleinste school voldoende geld ontvangt,</t>
  </si>
  <si>
    <t>In beide gevallen wordt de uitkomst in euro's op de cent nauwkeurig afgerond.</t>
  </si>
  <si>
    <t xml:space="preserve">Gemakshalve wordt hierna steeds gerept van formatie als het gaat om het geld dat samenhangt met de bekostiging van de formatie, </t>
  </si>
  <si>
    <t>de personele bekostiging.</t>
  </si>
  <si>
    <t xml:space="preserve">de salarisgarantie die voormalige directieleden ontvangen. Daarom worden twee jaar lang de directietoeslagen doorbetaald die de </t>
  </si>
  <si>
    <t>De GGL van deze school bedraagt 39,56 met een werktijdfactor OP van 5,4525</t>
  </si>
  <si>
    <t>De GGL van deze school bedraagt 42,92 met een werktijdfactor OP van 6,4525</t>
  </si>
  <si>
    <t>De GGL van deze gefuseerde school bedraagt (39,56 x 5,4525 + 42,92 x 6,4525)/(5,4525 + 6,4525) = 41,38</t>
  </si>
  <si>
    <t>terwijl de werktijdfactor OP van deze gefuseerde school voor de GGL 11,9050 bedraagt.</t>
  </si>
  <si>
    <t>directietoeslag:</t>
  </si>
  <si>
    <t>X - Y:</t>
  </si>
  <si>
    <t>Verschil Directietoeslag (Xs-Ys):</t>
  </si>
  <si>
    <t>Formatiebudget in geld school A</t>
  </si>
  <si>
    <t>Formatiebudget in geld school B</t>
  </si>
  <si>
    <t>Formatiebudget in geld school ABC hoofd</t>
  </si>
  <si>
    <t>Formatiebudget in geld school ABC neven</t>
  </si>
  <si>
    <t>Formatiebudget in geld school ABC Totaal</t>
  </si>
  <si>
    <t>Formatiebudget in geld school C hoofd</t>
  </si>
  <si>
    <t>Formatiebudget in geld school C neven</t>
  </si>
  <si>
    <t>Formatiebudget in geld school C totaal</t>
  </si>
  <si>
    <t>aantal leerlingen met gewicht 0,30:</t>
  </si>
  <si>
    <t>aantal leerlingen met gewicht 1,20:</t>
  </si>
  <si>
    <t xml:space="preserve">Factor X </t>
  </si>
  <si>
    <t>Factor Y</t>
  </si>
  <si>
    <t>BEREKENINGEN</t>
  </si>
  <si>
    <t>bekostiging</t>
  </si>
  <si>
    <t>totaal</t>
  </si>
  <si>
    <t xml:space="preserve">School totaal (C) </t>
  </si>
  <si>
    <t>School totaal AB(C)</t>
  </si>
  <si>
    <t>jaar t</t>
  </si>
  <si>
    <t>jaar t-1</t>
  </si>
  <si>
    <t>Naam school A</t>
  </si>
  <si>
    <t>Brinnummer</t>
  </si>
  <si>
    <t>Naam school B</t>
  </si>
  <si>
    <t xml:space="preserve">Naam school AB(C) </t>
  </si>
  <si>
    <t>Naam school C</t>
  </si>
  <si>
    <t xml:space="preserve">Ter informatie van de gebruiker is in werkblad 'bereken' de berekening weergegeven van de formatie van de betreffende </t>
  </si>
  <si>
    <t>Schoolgewicht:</t>
  </si>
  <si>
    <t xml:space="preserve">Komt uit een fusie een school voort met een nevenvestiging, dan moeten de gegevens van alleen de nevenvestiging van </t>
  </si>
  <si>
    <t>school ABC worden ingevuld. Het leerlingaantal van de hoofdvestiging wordt dan automatisch berekend.</t>
  </si>
  <si>
    <t>drempel schoolgewicht</t>
  </si>
  <si>
    <t>bedrag per gewichtsleerling in Impulsgebied</t>
  </si>
  <si>
    <t>b.2 impulsgebiedtoeslag</t>
  </si>
  <si>
    <t>Impulsgebiedstoeslag</t>
  </si>
  <si>
    <t>C</t>
  </si>
  <si>
    <t>samenstelling van het totale leerlingenbestand hebben die er voor zorgt dat de eerdere toekenning onder a, b, c, d en/of</t>
  </si>
  <si>
    <t>die na de fusie is ontstaan (Y).</t>
  </si>
  <si>
    <t>In dit voorbeeld is geen der betrokken scholen gelegen in een Impulsgebied.</t>
  </si>
  <si>
    <t>e. impulsgebiedstoeslag: de toeslag die wordt vastgesteld voor een vestiging als die in een Impulsgebied ligt.</t>
  </si>
  <si>
    <t xml:space="preserve">De componenten van de formatie zoals hiervoor onder a, b, c, d en e aangegeven worden berekend voor de afzonderlijke </t>
  </si>
  <si>
    <t>extra toeslag directie</t>
  </si>
  <si>
    <t>De directietoeslag waar hier sprake van is, is inclusief de extra toeslag.</t>
  </si>
  <si>
    <t>nee</t>
  </si>
  <si>
    <t xml:space="preserve">e niet of niet meer in dezelfde mate meer aan de orde is. Of in het geval van de vorming van een formele nevenvestiging juist wel </t>
  </si>
  <si>
    <t>aan de orde is.</t>
  </si>
  <si>
    <t xml:space="preserve">Als een school bestaat uit één of meer (formeel erkende) vestigingen wordt de toeslag impulsgebieden per vestiging berekend. </t>
  </si>
  <si>
    <t xml:space="preserve">Sinds de invoering van de lumpsumbekostiging is er ook sprake van een samenvoegingsfaciliteit in verband met </t>
  </si>
  <si>
    <t>Een fusie tussen school A en school B per 1 augustus 2010, met school AB als overblijvende school.</t>
  </si>
  <si>
    <t>Voor school A geldt op 1 oktober 2009:</t>
  </si>
  <si>
    <t xml:space="preserve">Het schoolgewicht bedraagt dus: (8 x 0,30 + 14 x 1,20 - 0,06 x 65) = </t>
  </si>
  <si>
    <t xml:space="preserve">Het schoolgewicht bedraagt dus: (6 x 0,30 + 21 x 1,20 - 0,06 x 127) = </t>
  </si>
  <si>
    <t xml:space="preserve">Het schoolgewicht bedraagt dus: (14 x 0,30 + 35 x 1,20 - 0,06 x 192) = </t>
  </si>
  <si>
    <t>De berekening is gebaseerd op fusies per 1 augustus 2010. Wanneer geen wijzigingen in de formatieregeling</t>
  </si>
  <si>
    <t>school voor het schooljaar 10/11.</t>
  </si>
  <si>
    <t xml:space="preserve">FACILITEITENREGELING SAMENVOEGING BASISSCHOLEN </t>
  </si>
  <si>
    <t>Totaal bekostiging</t>
  </si>
  <si>
    <t>Directietoeslag</t>
  </si>
  <si>
    <t>aanvullende bekostiging schoolleider 1</t>
  </si>
  <si>
    <t>aanvullende bekostiging schoolleider 2</t>
  </si>
  <si>
    <t>www.poraad.nl</t>
  </si>
  <si>
    <t>De werkbladen zijn beveiligd onder Extra/Beveiliging/Blad beveiligen met het wachtwoord: poraad</t>
  </si>
  <si>
    <t>PO-raad: Helpdesk</t>
  </si>
  <si>
    <t>r.goedhart@poraad.nl</t>
  </si>
  <si>
    <t>Vestiging ligt in impulsgebied</t>
  </si>
  <si>
    <t>A</t>
  </si>
  <si>
    <t>B</t>
  </si>
  <si>
    <t>2011/12</t>
  </si>
  <si>
    <t>afzonderlijke scholen ontvangen zouden hebben, uiteraard minus de directietoeslagen die de gefuseerde school ontvangt.</t>
  </si>
  <si>
    <t>Voor school B geldt op 1 oktober 2009:</t>
  </si>
  <si>
    <t>Voor school AB geldt de som van de leerlingaantallen op 1 oktober 2009:</t>
  </si>
  <si>
    <t>Overgangsformatie 10/11:</t>
  </si>
  <si>
    <t>Overgangsformatie 11/12:</t>
  </si>
  <si>
    <t xml:space="preserve">of in de fusieregeling zelf plaatsvinden, geldt de regeling eveneens voor de jaren erna. </t>
  </si>
  <si>
    <t>Alleen de witte cellen kunnen worden ingevuld.</t>
  </si>
  <si>
    <t xml:space="preserve">Voor nadere informatie: </t>
  </si>
  <si>
    <t>en/of Reinier Goedhart :</t>
  </si>
  <si>
    <t>ABC</t>
  </si>
  <si>
    <t>2012/13</t>
  </si>
  <si>
    <t xml:space="preserve">De bedragen zijn ontleend aan de publicatie Regeling bekostiging personeel PO 2011-2012 van 27 oktober 2011. </t>
  </si>
</sst>
</file>

<file path=xl/styles.xml><?xml version="1.0" encoding="utf-8"?>
<styleSheet xmlns="http://schemas.openxmlformats.org/spreadsheetml/2006/main">
  <numFmts count="3">
    <numFmt numFmtId="44" formatCode="_-&quot;€&quot;\ * #,##0.00_-;_-&quot;€&quot;\ * #,##0.00\-;_-&quot;€&quot;\ * &quot;-&quot;??_-;_-@_-"/>
    <numFmt numFmtId="164" formatCode="_(&quot;€&quot;\ * #,##0.00_);_(&quot;€&quot;\ * \(#,##0.00\);_(&quot;€&quot;\ * &quot;-&quot;??_);_(@_)"/>
    <numFmt numFmtId="165" formatCode="0.0000"/>
  </numFmts>
  <fonts count="4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0"/>
      <color indexed="47"/>
      <name val="Calibri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i/>
      <sz val="12"/>
      <color indexed="10"/>
      <name val="Calibri"/>
      <family val="2"/>
    </font>
    <font>
      <b/>
      <i/>
      <sz val="12"/>
      <color indexed="10"/>
      <name val="Calibri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Calibri"/>
      <family val="2"/>
    </font>
    <font>
      <u/>
      <sz val="10"/>
      <color indexed="12"/>
      <name val="Calibri"/>
      <family val="2"/>
    </font>
    <font>
      <sz val="14"/>
      <name val="Calibri"/>
      <family val="2"/>
    </font>
    <font>
      <u/>
      <sz val="10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color indexed="47"/>
      <name val="Calibri"/>
      <family val="2"/>
    </font>
    <font>
      <b/>
      <i/>
      <sz val="10"/>
      <color indexed="10"/>
      <name val="Calibri"/>
      <family val="2"/>
    </font>
    <font>
      <sz val="10"/>
      <color indexed="8"/>
      <name val="Calibri"/>
      <family val="2"/>
    </font>
    <font>
      <b/>
      <sz val="14"/>
      <color indexed="60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Calibri"/>
      <family val="2"/>
    </font>
    <font>
      <b/>
      <sz val="10"/>
      <color indexed="30"/>
      <name val="Calibri"/>
      <family val="2"/>
    </font>
    <font>
      <sz val="10"/>
      <color indexed="30"/>
      <name val="Calibri"/>
      <family val="2"/>
    </font>
    <font>
      <b/>
      <sz val="10"/>
      <color indexed="60"/>
      <name val="Arial"/>
      <family val="2"/>
    </font>
    <font>
      <b/>
      <sz val="10"/>
      <color indexed="9"/>
      <name val="Calibri"/>
      <family val="2"/>
    </font>
    <font>
      <i/>
      <sz val="10"/>
      <color indexed="30"/>
      <name val="Calibri"/>
      <family val="2"/>
    </font>
    <font>
      <i/>
      <sz val="10"/>
      <color indexed="30"/>
      <name val="Arial"/>
      <family val="2"/>
    </font>
    <font>
      <sz val="10"/>
      <color indexed="30"/>
      <name val="Arial"/>
      <family val="2"/>
    </font>
    <font>
      <sz val="10"/>
      <color indexed="22"/>
      <name val="Calibri"/>
      <family val="2"/>
    </font>
    <font>
      <b/>
      <sz val="10"/>
      <color indexed="22"/>
      <name val="Calibri"/>
      <family val="2"/>
    </font>
    <font>
      <sz val="10"/>
      <color indexed="9"/>
      <name val="Calibri"/>
      <family val="2"/>
    </font>
    <font>
      <i/>
      <sz val="10"/>
      <color indexed="6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7" fillId="0" borderId="0" xfId="0" quotePrefix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8" fillId="2" borderId="0" xfId="0" applyFont="1" applyFill="1" applyBorder="1" applyProtection="1"/>
    <xf numFmtId="0" fontId="8" fillId="2" borderId="6" xfId="0" applyFont="1" applyFill="1" applyBorder="1" applyProtection="1"/>
    <xf numFmtId="0" fontId="13" fillId="2" borderId="0" xfId="0" applyFont="1" applyFill="1" applyBorder="1" applyProtection="1"/>
    <xf numFmtId="0" fontId="12" fillId="2" borderId="5" xfId="0" applyFont="1" applyFill="1" applyBorder="1" applyProtection="1"/>
    <xf numFmtId="0" fontId="12" fillId="2" borderId="6" xfId="0" applyFont="1" applyFill="1" applyBorder="1" applyProtection="1"/>
    <xf numFmtId="0" fontId="16" fillId="2" borderId="7" xfId="1" applyFont="1" applyFill="1" applyBorder="1" applyAlignment="1" applyProtection="1">
      <alignment horizontal="righ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8" fillId="3" borderId="0" xfId="0" applyFont="1" applyFill="1" applyBorder="1" applyProtection="1"/>
    <xf numFmtId="0" fontId="19" fillId="3" borderId="0" xfId="0" applyFont="1" applyFill="1" applyProtection="1"/>
    <xf numFmtId="0" fontId="20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7" fillId="3" borderId="0" xfId="0" applyFont="1" applyFill="1" applyBorder="1" applyProtection="1"/>
    <xf numFmtId="0" fontId="7" fillId="3" borderId="0" xfId="0" applyFont="1" applyFill="1" applyBorder="1" applyProtection="1"/>
    <xf numFmtId="0" fontId="11" fillId="3" borderId="0" xfId="0" applyFont="1" applyFill="1" applyBorder="1" applyProtection="1"/>
    <xf numFmtId="0" fontId="12" fillId="3" borderId="0" xfId="0" applyFont="1" applyFill="1" applyBorder="1" applyProtection="1"/>
    <xf numFmtId="0" fontId="14" fillId="3" borderId="0" xfId="0" applyFont="1" applyFill="1" applyBorder="1" applyProtection="1"/>
    <xf numFmtId="0" fontId="15" fillId="3" borderId="0" xfId="0" applyFont="1" applyFill="1" applyBorder="1" applyProtection="1"/>
    <xf numFmtId="0" fontId="7" fillId="3" borderId="0" xfId="0" applyFont="1" applyFill="1" applyBorder="1" applyAlignment="1" applyProtection="1">
      <alignment horizontal="right"/>
    </xf>
    <xf numFmtId="2" fontId="8" fillId="3" borderId="0" xfId="0" applyNumberFormat="1" applyFont="1" applyFill="1" applyBorder="1" applyProtection="1"/>
    <xf numFmtId="44" fontId="7" fillId="3" borderId="0" xfId="0" applyNumberFormat="1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2" fontId="12" fillId="3" borderId="0" xfId="0" applyNumberFormat="1" applyFont="1" applyFill="1" applyBorder="1" applyProtection="1"/>
    <xf numFmtId="44" fontId="12" fillId="3" borderId="0" xfId="0" applyNumberFormat="1" applyFont="1" applyFill="1" applyBorder="1" applyProtection="1"/>
    <xf numFmtId="2" fontId="7" fillId="3" borderId="0" xfId="0" applyNumberFormat="1" applyFont="1" applyFill="1" applyBorder="1" applyProtection="1"/>
    <xf numFmtId="0" fontId="8" fillId="3" borderId="0" xfId="0" quotePrefix="1" applyFont="1" applyFill="1" applyBorder="1" applyProtection="1"/>
    <xf numFmtId="0" fontId="8" fillId="3" borderId="0" xfId="0" applyFont="1" applyFill="1" applyBorder="1"/>
    <xf numFmtId="0" fontId="23" fillId="3" borderId="0" xfId="0" applyFont="1" applyFill="1" applyBorder="1"/>
    <xf numFmtId="0" fontId="8" fillId="2" borderId="0" xfId="0" applyFont="1" applyFill="1" applyBorder="1"/>
    <xf numFmtId="0" fontId="23" fillId="2" borderId="0" xfId="0" applyFont="1" applyFill="1" applyBorder="1"/>
    <xf numFmtId="0" fontId="7" fillId="2" borderId="0" xfId="0" applyFont="1" applyFill="1" applyBorder="1"/>
    <xf numFmtId="0" fontId="21" fillId="2" borderId="0" xfId="0" applyFont="1" applyFill="1" applyBorder="1"/>
    <xf numFmtId="1" fontId="8" fillId="2" borderId="0" xfId="0" applyNumberFormat="1" applyFont="1" applyFill="1" applyBorder="1"/>
    <xf numFmtId="2" fontId="8" fillId="2" borderId="0" xfId="0" applyNumberFormat="1" applyFont="1" applyFill="1" applyBorder="1"/>
    <xf numFmtId="4" fontId="8" fillId="2" borderId="0" xfId="0" applyNumberFormat="1" applyFont="1" applyFill="1" applyBorder="1"/>
    <xf numFmtId="0" fontId="24" fillId="2" borderId="0" xfId="0" applyFont="1" applyFill="1" applyBorder="1"/>
    <xf numFmtId="4" fontId="24" fillId="2" borderId="0" xfId="0" applyNumberFormat="1" applyFont="1" applyFill="1" applyBorder="1"/>
    <xf numFmtId="0" fontId="4" fillId="2" borderId="0" xfId="0" applyFont="1" applyFill="1" applyBorder="1"/>
    <xf numFmtId="0" fontId="22" fillId="2" borderId="0" xfId="1" applyFont="1" applyFill="1" applyBorder="1" applyAlignment="1" applyProtection="1"/>
    <xf numFmtId="0" fontId="30" fillId="2" borderId="0" xfId="0" applyFont="1" applyFill="1" applyBorder="1"/>
    <xf numFmtId="0" fontId="10" fillId="2" borderId="5" xfId="0" applyFont="1" applyFill="1" applyBorder="1" applyProtection="1"/>
    <xf numFmtId="0" fontId="10" fillId="2" borderId="0" xfId="0" applyFont="1" applyFill="1" applyBorder="1" applyProtection="1"/>
    <xf numFmtId="0" fontId="23" fillId="2" borderId="0" xfId="0" applyFont="1" applyFill="1" applyBorder="1" applyProtection="1"/>
    <xf numFmtId="0" fontId="10" fillId="2" borderId="6" xfId="0" applyFont="1" applyFill="1" applyBorder="1" applyProtection="1"/>
    <xf numFmtId="0" fontId="17" fillId="2" borderId="5" xfId="0" applyFont="1" applyFill="1" applyBorder="1" applyProtection="1"/>
    <xf numFmtId="0" fontId="26" fillId="2" borderId="0" xfId="0" applyFont="1" applyFill="1" applyBorder="1" applyProtection="1"/>
    <xf numFmtId="0" fontId="18" fillId="2" borderId="0" xfId="0" applyFont="1" applyFill="1" applyBorder="1" applyProtection="1"/>
    <xf numFmtId="0" fontId="17" fillId="2" borderId="0" xfId="0" applyFont="1" applyFill="1" applyBorder="1" applyProtection="1"/>
    <xf numFmtId="0" fontId="25" fillId="2" borderId="0" xfId="0" applyFont="1" applyFill="1" applyBorder="1" applyProtection="1"/>
    <xf numFmtId="0" fontId="17" fillId="2" borderId="6" xfId="0" applyFont="1" applyFill="1" applyBorder="1" applyProtection="1"/>
    <xf numFmtId="0" fontId="7" fillId="2" borderId="0" xfId="0" applyFont="1" applyFill="1" applyBorder="1" applyProtection="1"/>
    <xf numFmtId="0" fontId="11" fillId="2" borderId="5" xfId="0" applyFont="1" applyFill="1" applyBorder="1" applyProtection="1"/>
    <xf numFmtId="0" fontId="11" fillId="2" borderId="6" xfId="0" applyFont="1" applyFill="1" applyBorder="1" applyProtection="1"/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15" fillId="2" borderId="8" xfId="0" applyFont="1" applyFill="1" applyBorder="1" applyProtection="1"/>
    <xf numFmtId="0" fontId="15" fillId="2" borderId="7" xfId="0" applyFont="1" applyFill="1" applyBorder="1" applyProtection="1"/>
    <xf numFmtId="0" fontId="5" fillId="2" borderId="7" xfId="0" applyFont="1" applyFill="1" applyBorder="1" applyProtection="1"/>
    <xf numFmtId="0" fontId="15" fillId="2" borderId="9" xfId="0" applyFont="1" applyFill="1" applyBorder="1" applyProtection="1"/>
    <xf numFmtId="0" fontId="14" fillId="2" borderId="5" xfId="0" applyFont="1" applyFill="1" applyBorder="1" applyProtection="1"/>
    <xf numFmtId="0" fontId="14" fillId="2" borderId="6" xfId="0" applyFont="1" applyFill="1" applyBorder="1" applyProtection="1"/>
    <xf numFmtId="0" fontId="32" fillId="3" borderId="0" xfId="0" applyFont="1" applyFill="1" applyBorder="1" applyProtection="1"/>
    <xf numFmtId="2" fontId="32" fillId="3" borderId="0" xfId="0" applyNumberFormat="1" applyFont="1" applyFill="1" applyBorder="1" applyProtection="1"/>
    <xf numFmtId="0" fontId="8" fillId="3" borderId="10" xfId="0" applyFont="1" applyFill="1" applyBorder="1" applyProtection="1"/>
    <xf numFmtId="0" fontId="8" fillId="3" borderId="11" xfId="0" applyFont="1" applyFill="1" applyBorder="1" applyProtection="1"/>
    <xf numFmtId="0" fontId="8" fillId="3" borderId="12" xfId="0" applyFont="1" applyFill="1" applyBorder="1" applyProtection="1"/>
    <xf numFmtId="0" fontId="11" fillId="3" borderId="13" xfId="0" applyFont="1" applyFill="1" applyBorder="1" applyProtection="1"/>
    <xf numFmtId="0" fontId="12" fillId="3" borderId="1" xfId="0" applyFont="1" applyFill="1" applyBorder="1" applyAlignment="1" applyProtection="1">
      <alignment horizontal="left"/>
    </xf>
    <xf numFmtId="0" fontId="11" fillId="3" borderId="1" xfId="0" applyFont="1" applyFill="1" applyBorder="1" applyProtection="1"/>
    <xf numFmtId="0" fontId="8" fillId="3" borderId="1" xfId="0" applyFont="1" applyFill="1" applyBorder="1" applyProtection="1"/>
    <xf numFmtId="0" fontId="11" fillId="3" borderId="14" xfId="0" applyFont="1" applyFill="1" applyBorder="1" applyProtection="1"/>
    <xf numFmtId="0" fontId="8" fillId="3" borderId="13" xfId="0" applyFont="1" applyFill="1" applyBorder="1" applyProtection="1"/>
    <xf numFmtId="0" fontId="29" fillId="3" borderId="1" xfId="0" applyFont="1" applyFill="1" applyBorder="1" applyProtection="1"/>
    <xf numFmtId="0" fontId="8" fillId="3" borderId="14" xfId="0" applyFont="1" applyFill="1" applyBorder="1" applyProtection="1"/>
    <xf numFmtId="0" fontId="8" fillId="3" borderId="1" xfId="0" applyFont="1" applyFill="1" applyBorder="1" applyAlignment="1" applyProtection="1">
      <alignment horizontal="left"/>
    </xf>
    <xf numFmtId="44" fontId="8" fillId="3" borderId="1" xfId="0" applyNumberFormat="1" applyFont="1" applyFill="1" applyBorder="1" applyAlignment="1" applyProtection="1">
      <alignment horizontal="center"/>
    </xf>
    <xf numFmtId="44" fontId="7" fillId="3" borderId="1" xfId="0" applyNumberFormat="1" applyFont="1" applyFill="1" applyBorder="1" applyAlignment="1" applyProtection="1">
      <alignment horizontal="center"/>
    </xf>
    <xf numFmtId="0" fontId="12" fillId="3" borderId="13" xfId="0" applyFont="1" applyFill="1" applyBorder="1" applyProtection="1"/>
    <xf numFmtId="0" fontId="12" fillId="3" borderId="1" xfId="0" applyFont="1" applyFill="1" applyBorder="1" applyProtection="1"/>
    <xf numFmtId="44" fontId="12" fillId="3" borderId="1" xfId="0" applyNumberFormat="1" applyFont="1" applyFill="1" applyBorder="1" applyAlignment="1" applyProtection="1">
      <alignment horizontal="center"/>
    </xf>
    <xf numFmtId="0" fontId="12" fillId="3" borderId="14" xfId="0" applyFont="1" applyFill="1" applyBorder="1" applyProtection="1"/>
    <xf numFmtId="0" fontId="7" fillId="3" borderId="1" xfId="0" applyFont="1" applyFill="1" applyBorder="1" applyProtection="1"/>
    <xf numFmtId="0" fontId="14" fillId="3" borderId="14" xfId="0" applyFont="1" applyFill="1" applyBorder="1" applyProtection="1"/>
    <xf numFmtId="0" fontId="8" fillId="3" borderId="1" xfId="0" applyFont="1" applyFill="1" applyBorder="1" applyProtection="1">
      <protection locked="0"/>
    </xf>
    <xf numFmtId="0" fontId="12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7" fillId="3" borderId="13" xfId="0" applyFon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27" fillId="3" borderId="14" xfId="0" applyFont="1" applyFill="1" applyBorder="1" applyProtection="1"/>
    <xf numFmtId="2" fontId="8" fillId="3" borderId="1" xfId="0" applyNumberFormat="1" applyFont="1" applyFill="1" applyBorder="1" applyAlignment="1" applyProtection="1">
      <alignment horizontal="left"/>
    </xf>
    <xf numFmtId="0" fontId="27" fillId="3" borderId="1" xfId="0" applyFont="1" applyFill="1" applyBorder="1" applyProtection="1"/>
    <xf numFmtId="0" fontId="14" fillId="3" borderId="1" xfId="0" applyFont="1" applyFill="1" applyBorder="1" applyProtection="1"/>
    <xf numFmtId="2" fontId="8" fillId="3" borderId="1" xfId="0" applyNumberFormat="1" applyFont="1" applyFill="1" applyBorder="1" applyAlignment="1" applyProtection="1">
      <alignment horizontal="center"/>
    </xf>
    <xf numFmtId="0" fontId="28" fillId="3" borderId="1" xfId="0" applyFont="1" applyFill="1" applyBorder="1" applyAlignment="1" applyProtection="1">
      <alignment horizontal="center"/>
    </xf>
    <xf numFmtId="0" fontId="8" fillId="3" borderId="15" xfId="0" applyFont="1" applyFill="1" applyBorder="1" applyProtection="1"/>
    <xf numFmtId="0" fontId="8" fillId="3" borderId="16" xfId="0" applyFont="1" applyFill="1" applyBorder="1" applyProtection="1"/>
    <xf numFmtId="2" fontId="8" fillId="3" borderId="16" xfId="0" applyNumberFormat="1" applyFont="1" applyFill="1" applyBorder="1" applyProtection="1"/>
    <xf numFmtId="0" fontId="14" fillId="3" borderId="17" xfId="0" applyFont="1" applyFill="1" applyBorder="1" applyProtection="1"/>
    <xf numFmtId="0" fontId="7" fillId="3" borderId="11" xfId="0" applyFont="1" applyFill="1" applyBorder="1" applyProtection="1"/>
    <xf numFmtId="0" fontId="7" fillId="3" borderId="14" xfId="0" applyFont="1" applyFill="1" applyBorder="1" applyProtection="1"/>
    <xf numFmtId="0" fontId="14" fillId="3" borderId="13" xfId="0" applyFont="1" applyFill="1" applyBorder="1" applyProtection="1"/>
    <xf numFmtId="44" fontId="8" fillId="3" borderId="1" xfId="0" applyNumberFormat="1" applyFont="1" applyFill="1" applyBorder="1" applyProtection="1"/>
    <xf numFmtId="0" fontId="8" fillId="3" borderId="1" xfId="0" applyNumberFormat="1" applyFont="1" applyFill="1" applyBorder="1" applyProtection="1"/>
    <xf numFmtId="44" fontId="7" fillId="3" borderId="1" xfId="0" applyNumberFormat="1" applyFont="1" applyFill="1" applyBorder="1" applyProtection="1"/>
    <xf numFmtId="2" fontId="8" fillId="3" borderId="1" xfId="0" applyNumberFormat="1" applyFont="1" applyFill="1" applyBorder="1" applyProtection="1"/>
    <xf numFmtId="0" fontId="8" fillId="3" borderId="17" xfId="0" applyFont="1" applyFill="1" applyBorder="1" applyProtection="1"/>
    <xf numFmtId="0" fontId="14" fillId="3" borderId="12" xfId="0" applyFont="1" applyFill="1" applyBorder="1" applyProtection="1"/>
    <xf numFmtId="0" fontId="30" fillId="2" borderId="0" xfId="0" applyFont="1" applyFill="1" applyBorder="1" applyProtection="1"/>
    <xf numFmtId="0" fontId="33" fillId="3" borderId="0" xfId="0" applyFont="1" applyFill="1" applyBorder="1" applyProtection="1"/>
    <xf numFmtId="0" fontId="34" fillId="3" borderId="0" xfId="0" applyFont="1" applyFill="1" applyBorder="1" applyProtection="1"/>
    <xf numFmtId="2" fontId="33" fillId="3" borderId="0" xfId="0" applyNumberFormat="1" applyFont="1" applyFill="1" applyBorder="1" applyAlignment="1" applyProtection="1">
      <alignment horizontal="center"/>
    </xf>
    <xf numFmtId="165" fontId="33" fillId="3" borderId="0" xfId="0" applyNumberFormat="1" applyFont="1" applyFill="1" applyBorder="1" applyAlignment="1" applyProtection="1">
      <alignment horizontal="center"/>
    </xf>
    <xf numFmtId="0" fontId="34" fillId="3" borderId="0" xfId="0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center"/>
    </xf>
    <xf numFmtId="2" fontId="34" fillId="3" borderId="0" xfId="0" applyNumberFormat="1" applyFont="1" applyFill="1" applyBorder="1" applyAlignment="1" applyProtection="1">
      <alignment horizontal="left"/>
    </xf>
    <xf numFmtId="0" fontId="34" fillId="3" borderId="0" xfId="0" applyFont="1" applyFill="1" applyBorder="1" applyAlignment="1" applyProtection="1">
      <alignment horizontal="left"/>
    </xf>
    <xf numFmtId="44" fontId="34" fillId="3" borderId="0" xfId="0" applyNumberFormat="1" applyFont="1" applyFill="1" applyBorder="1" applyProtection="1"/>
    <xf numFmtId="44" fontId="34" fillId="3" borderId="0" xfId="0" applyNumberFormat="1" applyFont="1" applyFill="1" applyBorder="1" applyAlignment="1" applyProtection="1">
      <alignment horizontal="center"/>
    </xf>
    <xf numFmtId="44" fontId="33" fillId="3" borderId="0" xfId="0" applyNumberFormat="1" applyFont="1" applyFill="1" applyBorder="1" applyProtection="1"/>
    <xf numFmtId="44" fontId="33" fillId="3" borderId="0" xfId="0" applyNumberFormat="1" applyFont="1" applyFill="1" applyBorder="1" applyAlignment="1" applyProtection="1">
      <alignment horizontal="center"/>
    </xf>
    <xf numFmtId="0" fontId="31" fillId="3" borderId="1" xfId="0" applyFont="1" applyFill="1" applyBorder="1" applyAlignment="1" applyProtection="1">
      <alignment horizontal="left"/>
    </xf>
    <xf numFmtId="0" fontId="31" fillId="3" borderId="1" xfId="0" applyFont="1" applyFill="1" applyBorder="1" applyProtection="1"/>
    <xf numFmtId="0" fontId="31" fillId="3" borderId="1" xfId="0" applyFont="1" applyFill="1" applyBorder="1" applyAlignment="1" applyProtection="1">
      <alignment horizontal="center"/>
    </xf>
    <xf numFmtId="44" fontId="8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0" fontId="8" fillId="0" borderId="0" xfId="0" applyNumberFormat="1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6" xfId="0" applyFont="1" applyFill="1" applyBorder="1" applyProtection="1"/>
    <xf numFmtId="44" fontId="7" fillId="2" borderId="0" xfId="0" applyNumberFormat="1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8" fillId="2" borderId="7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9" xfId="0" applyFont="1" applyFill="1" applyBorder="1" applyProtection="1"/>
    <xf numFmtId="0" fontId="8" fillId="3" borderId="11" xfId="0" applyFont="1" applyFill="1" applyBorder="1" applyAlignment="1" applyProtection="1">
      <alignment horizontal="center"/>
    </xf>
    <xf numFmtId="44" fontId="8" fillId="3" borderId="11" xfId="0" applyNumberFormat="1" applyFont="1" applyFill="1" applyBorder="1" applyAlignment="1" applyProtection="1">
      <alignment horizontal="center"/>
    </xf>
    <xf numFmtId="44" fontId="8" fillId="3" borderId="16" xfId="0" applyNumberFormat="1" applyFont="1" applyFill="1" applyBorder="1" applyAlignment="1" applyProtection="1">
      <alignment horizontal="center"/>
    </xf>
    <xf numFmtId="44" fontId="7" fillId="3" borderId="16" xfId="0" applyNumberFormat="1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44" fontId="31" fillId="3" borderId="1" xfId="0" applyNumberFormat="1" applyFont="1" applyFill="1" applyBorder="1" applyAlignment="1" applyProtection="1">
      <alignment horizontal="center"/>
    </xf>
    <xf numFmtId="0" fontId="31" fillId="2" borderId="5" xfId="0" applyFont="1" applyFill="1" applyBorder="1" applyProtection="1"/>
    <xf numFmtId="0" fontId="31" fillId="3" borderId="13" xfId="0" applyFont="1" applyFill="1" applyBorder="1" applyProtection="1"/>
    <xf numFmtId="0" fontId="31" fillId="3" borderId="14" xfId="0" applyFont="1" applyFill="1" applyBorder="1" applyProtection="1"/>
    <xf numFmtId="0" fontId="31" fillId="2" borderId="6" xfId="0" applyFont="1" applyFill="1" applyBorder="1" applyProtection="1"/>
    <xf numFmtId="0" fontId="35" fillId="3" borderId="0" xfId="0" applyFont="1" applyFill="1" applyProtection="1"/>
    <xf numFmtId="44" fontId="36" fillId="5" borderId="1" xfId="0" applyNumberFormat="1" applyFont="1" applyFill="1" applyBorder="1" applyAlignment="1" applyProtection="1">
      <alignment horizontal="center"/>
    </xf>
    <xf numFmtId="0" fontId="37" fillId="2" borderId="5" xfId="0" applyFont="1" applyFill="1" applyBorder="1" applyProtection="1"/>
    <xf numFmtId="0" fontId="37" fillId="3" borderId="13" xfId="0" applyFont="1" applyFill="1" applyBorder="1" applyProtection="1"/>
    <xf numFmtId="0" fontId="37" fillId="3" borderId="1" xfId="0" applyFont="1" applyFill="1" applyBorder="1" applyProtection="1"/>
    <xf numFmtId="44" fontId="37" fillId="3" borderId="1" xfId="0" applyNumberFormat="1" applyFont="1" applyFill="1" applyBorder="1" applyAlignment="1" applyProtection="1">
      <alignment horizontal="center"/>
    </xf>
    <xf numFmtId="0" fontId="37" fillId="3" borderId="14" xfId="0" applyFont="1" applyFill="1" applyBorder="1" applyProtection="1"/>
    <xf numFmtId="0" fontId="37" fillId="2" borderId="6" xfId="0" applyFont="1" applyFill="1" applyBorder="1" applyProtection="1"/>
    <xf numFmtId="0" fontId="38" fillId="3" borderId="0" xfId="0" applyFont="1" applyFill="1" applyProtection="1"/>
    <xf numFmtId="0" fontId="34" fillId="2" borderId="5" xfId="0" applyFont="1" applyFill="1" applyBorder="1" applyProtection="1"/>
    <xf numFmtId="0" fontId="34" fillId="3" borderId="13" xfId="0" applyFont="1" applyFill="1" applyBorder="1" applyProtection="1"/>
    <xf numFmtId="0" fontId="34" fillId="3" borderId="14" xfId="0" applyFont="1" applyFill="1" applyBorder="1" applyProtection="1"/>
    <xf numFmtId="0" fontId="34" fillId="2" borderId="6" xfId="0" applyFont="1" applyFill="1" applyBorder="1" applyProtection="1"/>
    <xf numFmtId="0" fontId="39" fillId="3" borderId="0" xfId="0" applyFont="1" applyFill="1" applyProtection="1"/>
    <xf numFmtId="44" fontId="8" fillId="4" borderId="1" xfId="0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40" fillId="3" borderId="1" xfId="0" applyFont="1" applyFill="1" applyBorder="1" applyAlignment="1" applyProtection="1">
      <alignment horizontal="center"/>
    </xf>
    <xf numFmtId="0" fontId="40" fillId="3" borderId="1" xfId="0" applyFont="1" applyFill="1" applyBorder="1" applyAlignment="1" applyProtection="1">
      <alignment horizontal="left"/>
    </xf>
    <xf numFmtId="0" fontId="41" fillId="3" borderId="1" xfId="0" applyFont="1" applyFill="1" applyBorder="1" applyProtection="1"/>
    <xf numFmtId="0" fontId="36" fillId="5" borderId="1" xfId="0" applyFont="1" applyFill="1" applyBorder="1" applyAlignment="1" applyProtection="1">
      <alignment horizontal="center"/>
    </xf>
    <xf numFmtId="0" fontId="4" fillId="2" borderId="1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65" fontId="8" fillId="2" borderId="1" xfId="0" applyNumberFormat="1" applyFont="1" applyFill="1" applyBorder="1" applyAlignment="1" applyProtection="1">
      <alignment horizontal="center"/>
      <protection locked="0"/>
    </xf>
    <xf numFmtId="44" fontId="42" fillId="5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Protection="1"/>
    <xf numFmtId="0" fontId="7" fillId="2" borderId="4" xfId="0" applyFont="1" applyFill="1" applyBorder="1" applyProtection="1"/>
    <xf numFmtId="44" fontId="43" fillId="3" borderId="1" xfId="0" applyNumberFormat="1" applyFont="1" applyFill="1" applyBorder="1" applyAlignment="1" applyProtection="1">
      <alignment horizontal="center"/>
    </xf>
    <xf numFmtId="0" fontId="43" fillId="3" borderId="1" xfId="0" applyFont="1" applyFill="1" applyBorder="1" applyAlignment="1" applyProtection="1">
      <alignment horizontal="center"/>
    </xf>
    <xf numFmtId="0" fontId="32" fillId="3" borderId="1" xfId="0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4" fontId="4" fillId="4" borderId="0" xfId="0" applyNumberFormat="1" applyFont="1" applyFill="1" applyBorder="1" applyAlignment="1" applyProtection="1">
      <alignment horizontal="left"/>
      <protection locked="0"/>
    </xf>
    <xf numFmtId="44" fontId="4" fillId="4" borderId="0" xfId="0" applyNumberFormat="1" applyFont="1" applyFill="1" applyBorder="1" applyAlignment="1" applyProtection="1">
      <alignment horizontal="left"/>
      <protection locked="0"/>
    </xf>
    <xf numFmtId="164" fontId="4" fillId="4" borderId="0" xfId="0" applyNumberFormat="1" applyFont="1" applyFill="1" applyBorder="1" applyAlignment="1" applyProtection="1">
      <alignment horizontal="left"/>
      <protection locked="0"/>
    </xf>
    <xf numFmtId="0" fontId="34" fillId="3" borderId="1" xfId="0" applyFont="1" applyFill="1" applyBorder="1" applyAlignment="1" applyProtection="1">
      <alignment horizontal="center"/>
    </xf>
    <xf numFmtId="0" fontId="33" fillId="3" borderId="1" xfId="0" applyFont="1" applyFill="1" applyBorder="1" applyAlignment="1" applyProtection="1">
      <alignment horizontal="center"/>
    </xf>
    <xf numFmtId="0" fontId="33" fillId="2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66675</xdr:rowOff>
    </xdr:from>
    <xdr:to>
      <xdr:col>12</xdr:col>
      <xdr:colOff>161925</xdr:colOff>
      <xdr:row>4</xdr:row>
      <xdr:rowOff>114300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390525"/>
          <a:ext cx="14954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666750</xdr:colOff>
      <xdr:row>2</xdr:row>
      <xdr:rowOff>28575</xdr:rowOff>
    </xdr:from>
    <xdr:to>
      <xdr:col>14</xdr:col>
      <xdr:colOff>95250</xdr:colOff>
      <xdr:row>4</xdr:row>
      <xdr:rowOff>57150</xdr:rowOff>
    </xdr:to>
    <xdr:pic>
      <xdr:nvPicPr>
        <xdr:cNvPr id="20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352425"/>
          <a:ext cx="1390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2</xdr:row>
      <xdr:rowOff>85725</xdr:rowOff>
    </xdr:from>
    <xdr:to>
      <xdr:col>15</xdr:col>
      <xdr:colOff>9525</xdr:colOff>
      <xdr:row>4</xdr:row>
      <xdr:rowOff>95250</xdr:rowOff>
    </xdr:to>
    <xdr:pic>
      <xdr:nvPicPr>
        <xdr:cNvPr id="40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6300" y="409575"/>
          <a:ext cx="12954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.goedhart@poraad.nl" TargetMode="External"/><Relationship Id="rId1" Type="http://schemas.openxmlformats.org/officeDocument/2006/relationships/hyperlink" Target="http://www.poraad.nl/index.php?p=363178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2"/>
  <dimension ref="B2:N138"/>
  <sheetViews>
    <sheetView tabSelected="1" zoomScale="85" zoomScaleNormal="85" zoomScaleSheetLayoutView="75" workbookViewId="0">
      <selection activeCell="B2" sqref="B2"/>
    </sheetView>
  </sheetViews>
  <sheetFormatPr defaultRowHeight="12.75"/>
  <cols>
    <col min="1" max="1" width="3.7109375" style="40" customWidth="1"/>
    <col min="2" max="2" width="2.7109375" style="40" customWidth="1"/>
    <col min="3" max="12" width="11" style="40" customWidth="1"/>
    <col min="13" max="14" width="2.7109375" style="40" customWidth="1"/>
    <col min="15" max="16384" width="9.140625" style="40"/>
  </cols>
  <sheetData>
    <row r="2" spans="2:14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2:14" s="41" customFormat="1" ht="18.75">
      <c r="B4" s="43"/>
      <c r="C4" s="53" t="s">
        <v>37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2:14">
      <c r="B5" s="42"/>
      <c r="C5" s="44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2:14">
      <c r="B6" s="42"/>
      <c r="C6" s="4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2:14">
      <c r="B7" s="42"/>
      <c r="C7" s="44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2:14">
      <c r="B8" s="42"/>
      <c r="C8" s="44" t="s">
        <v>81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2:14">
      <c r="B9" s="42"/>
      <c r="C9" s="44" t="s">
        <v>189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2:14">
      <c r="B10" s="42"/>
      <c r="C10" s="44" t="s">
        <v>202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2:14">
      <c r="B11" s="42"/>
      <c r="C11" s="44" t="s">
        <v>80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2:14">
      <c r="B12" s="42"/>
      <c r="C12" s="44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2:14">
      <c r="B13" s="42"/>
      <c r="C13" s="42" t="s">
        <v>113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2:14">
      <c r="B14" s="42"/>
      <c r="C14" s="42" t="s">
        <v>38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2:14">
      <c r="B15" s="42"/>
      <c r="C15" s="42" t="s">
        <v>114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2:14">
      <c r="B16" s="42"/>
      <c r="C16" s="42" t="s">
        <v>53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2:14">
      <c r="B17" s="42"/>
      <c r="C17" s="42" t="s">
        <v>54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2:14">
      <c r="B18" s="42"/>
      <c r="C18" s="42" t="s">
        <v>115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2:14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2:14">
      <c r="B20" s="42"/>
      <c r="C20" s="200" t="s">
        <v>207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2:14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2:14">
      <c r="B22" s="42"/>
      <c r="C22" s="42" t="s">
        <v>121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2:14">
      <c r="B23" s="42"/>
      <c r="C23" s="42" t="s">
        <v>122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2:14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2:14">
      <c r="B25" s="42"/>
      <c r="C25" s="44" t="s">
        <v>39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2:14">
      <c r="B26" s="42"/>
      <c r="C26" s="42" t="s">
        <v>116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2:14">
      <c r="B27" s="42"/>
      <c r="C27" s="42" t="s">
        <v>117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2:14">
      <c r="B28" s="42"/>
      <c r="C28" s="42" t="s">
        <v>118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2:14">
      <c r="B29" s="42"/>
      <c r="C29" s="42" t="s">
        <v>78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2:14">
      <c r="B30" s="42"/>
      <c r="C30" s="42" t="s">
        <v>119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2:14">
      <c r="B31" s="42"/>
      <c r="C31" s="42" t="s">
        <v>55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2:14">
      <c r="B32" s="42"/>
      <c r="C32" s="42" t="s">
        <v>56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2:14">
      <c r="B33" s="42"/>
      <c r="C33" s="42" t="s">
        <v>79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2:14">
      <c r="B34" s="42"/>
      <c r="C34" s="42" t="s">
        <v>57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2:14">
      <c r="B35" s="42"/>
      <c r="C35" s="42" t="s">
        <v>58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2:14">
      <c r="B36" s="42"/>
      <c r="C36" s="42" t="s">
        <v>167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2:14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2:14">
      <c r="B38" s="42"/>
      <c r="C38" s="42" t="s">
        <v>59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2:14">
      <c r="B39" s="42"/>
      <c r="C39" s="42" t="s">
        <v>60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2:14">
      <c r="B40" s="42"/>
      <c r="C40" s="42" t="s">
        <v>164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2:14">
      <c r="B41" s="42"/>
      <c r="C41" s="42" t="s">
        <v>172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2:14">
      <c r="B42" s="42"/>
      <c r="C42" s="42" t="s">
        <v>173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2:14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2:14">
      <c r="B44" s="42"/>
      <c r="C44" s="42" t="s">
        <v>61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2:14">
      <c r="B45" s="42"/>
      <c r="C45" s="42" t="s">
        <v>62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2:14">
      <c r="B46" s="42"/>
      <c r="C46" s="42" t="s">
        <v>168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2:14">
      <c r="B47" s="42"/>
      <c r="C47" s="42" t="s">
        <v>63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2:14">
      <c r="B48" s="42"/>
      <c r="C48" s="42" t="s">
        <v>165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2:14">
      <c r="B49" s="42"/>
      <c r="C49" s="42" t="s">
        <v>174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2:14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2:14">
      <c r="B51" s="42"/>
      <c r="C51" s="42" t="s">
        <v>40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2:14">
      <c r="B52" s="42"/>
      <c r="C52" s="42" t="s">
        <v>41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2:14">
      <c r="B53" s="42"/>
      <c r="C53" s="42" t="s">
        <v>120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2:14">
      <c r="B54" s="42"/>
      <c r="C54" s="42" t="s">
        <v>175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2:14">
      <c r="B55" s="42"/>
      <c r="C55" s="42" t="s">
        <v>123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2:14">
      <c r="B56" s="42"/>
      <c r="C56" s="42" t="s">
        <v>196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2:14">
      <c r="B57" s="42"/>
      <c r="C57" s="42" t="s">
        <v>170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2:14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2:14">
      <c r="B59" s="42"/>
      <c r="C59" s="44" t="s">
        <v>42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2:14">
      <c r="B60" s="42"/>
      <c r="C60" s="45" t="s">
        <v>166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2:14">
      <c r="B61" s="42"/>
      <c r="C61" s="42" t="s">
        <v>176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2:14">
      <c r="B62" s="42"/>
      <c r="C62" s="42" t="s">
        <v>177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2:14">
      <c r="B63" s="42"/>
      <c r="C63" s="42" t="s">
        <v>43</v>
      </c>
      <c r="D63" s="42"/>
      <c r="E63" s="42"/>
      <c r="F63" s="42"/>
      <c r="G63" s="42"/>
      <c r="H63" s="42">
        <v>35</v>
      </c>
      <c r="I63" s="42"/>
      <c r="J63" s="42"/>
      <c r="K63" s="42"/>
      <c r="L63" s="42"/>
      <c r="M63" s="42"/>
      <c r="N63" s="42"/>
    </row>
    <row r="64" spans="2:14">
      <c r="B64" s="42"/>
      <c r="C64" s="42" t="s">
        <v>44</v>
      </c>
      <c r="D64" s="42"/>
      <c r="E64" s="42"/>
      <c r="F64" s="42"/>
      <c r="G64" s="42"/>
      <c r="H64" s="42">
        <v>30</v>
      </c>
      <c r="I64" s="42"/>
      <c r="J64" s="42"/>
      <c r="K64" s="42"/>
      <c r="L64" s="42"/>
      <c r="M64" s="42"/>
      <c r="N64" s="42"/>
    </row>
    <row r="65" spans="2:14">
      <c r="B65" s="42"/>
      <c r="C65" s="42" t="s">
        <v>139</v>
      </c>
      <c r="D65" s="42"/>
      <c r="E65" s="42"/>
      <c r="F65" s="42"/>
      <c r="G65" s="42"/>
      <c r="H65" s="42">
        <v>8</v>
      </c>
      <c r="I65" s="42"/>
      <c r="J65" s="42"/>
      <c r="K65" s="42"/>
      <c r="L65" s="42"/>
      <c r="M65" s="42"/>
      <c r="N65" s="42"/>
    </row>
    <row r="66" spans="2:14">
      <c r="B66" s="42"/>
      <c r="C66" s="42" t="s">
        <v>140</v>
      </c>
      <c r="D66" s="42"/>
      <c r="E66" s="42"/>
      <c r="F66" s="42"/>
      <c r="G66" s="42"/>
      <c r="H66" s="42">
        <v>14</v>
      </c>
      <c r="I66" s="42"/>
      <c r="J66" s="42"/>
      <c r="K66" s="42"/>
      <c r="L66" s="42"/>
      <c r="M66" s="42"/>
      <c r="N66" s="42"/>
    </row>
    <row r="67" spans="2:14">
      <c r="B67" s="42"/>
      <c r="C67" s="42" t="s">
        <v>178</v>
      </c>
      <c r="D67" s="42"/>
      <c r="E67" s="42"/>
      <c r="F67" s="42"/>
      <c r="G67" s="42"/>
      <c r="H67" s="42"/>
      <c r="I67" s="42">
        <v>15</v>
      </c>
      <c r="J67" s="42"/>
      <c r="K67" s="42"/>
      <c r="L67" s="42"/>
      <c r="M67" s="42"/>
      <c r="N67" s="42"/>
    </row>
    <row r="68" spans="2:14">
      <c r="B68" s="42"/>
      <c r="C68" s="42" t="s">
        <v>124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2:14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2:14">
      <c r="B70" s="42"/>
      <c r="C70" s="42" t="s">
        <v>197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</row>
    <row r="71" spans="2:14">
      <c r="B71" s="42"/>
      <c r="C71" s="42" t="s">
        <v>43</v>
      </c>
      <c r="D71" s="42"/>
      <c r="E71" s="42"/>
      <c r="F71" s="42"/>
      <c r="G71" s="42"/>
      <c r="H71" s="42">
        <v>65</v>
      </c>
      <c r="I71" s="42"/>
      <c r="J71" s="42"/>
      <c r="K71" s="42"/>
      <c r="L71" s="42"/>
      <c r="M71" s="42"/>
      <c r="N71" s="42"/>
    </row>
    <row r="72" spans="2:14">
      <c r="B72" s="42"/>
      <c r="C72" s="42" t="s">
        <v>44</v>
      </c>
      <c r="D72" s="42"/>
      <c r="E72" s="42"/>
      <c r="F72" s="42"/>
      <c r="G72" s="42"/>
      <c r="H72" s="42">
        <v>62</v>
      </c>
      <c r="I72" s="42"/>
      <c r="J72" s="42"/>
      <c r="K72" s="42"/>
      <c r="L72" s="42"/>
      <c r="M72" s="42"/>
      <c r="N72" s="42"/>
    </row>
    <row r="73" spans="2:14">
      <c r="B73" s="42"/>
      <c r="C73" s="42" t="s">
        <v>139</v>
      </c>
      <c r="D73" s="42"/>
      <c r="E73" s="42"/>
      <c r="F73" s="42"/>
      <c r="G73" s="42"/>
      <c r="H73" s="42">
        <v>6</v>
      </c>
      <c r="I73" s="42"/>
      <c r="J73" s="42"/>
      <c r="K73" s="42"/>
      <c r="L73" s="42"/>
      <c r="M73" s="42"/>
      <c r="N73" s="42"/>
    </row>
    <row r="74" spans="2:14">
      <c r="B74" s="42"/>
      <c r="C74" s="42" t="s">
        <v>140</v>
      </c>
      <c r="D74" s="42"/>
      <c r="E74" s="42"/>
      <c r="F74" s="42"/>
      <c r="G74" s="42"/>
      <c r="H74" s="42">
        <v>21</v>
      </c>
      <c r="I74" s="42"/>
      <c r="J74" s="42"/>
      <c r="K74" s="42"/>
      <c r="L74" s="42"/>
      <c r="M74" s="42"/>
      <c r="N74" s="42"/>
    </row>
    <row r="75" spans="2:14">
      <c r="B75" s="42"/>
      <c r="C75" s="42" t="s">
        <v>179</v>
      </c>
      <c r="D75" s="42"/>
      <c r="E75" s="42"/>
      <c r="F75" s="42"/>
      <c r="G75" s="42"/>
      <c r="H75" s="42"/>
      <c r="I75" s="42">
        <v>19</v>
      </c>
      <c r="J75" s="42"/>
      <c r="K75" s="42"/>
      <c r="L75" s="42"/>
      <c r="M75" s="42"/>
      <c r="N75" s="42"/>
    </row>
    <row r="76" spans="2:14">
      <c r="B76" s="42"/>
      <c r="C76" s="42" t="s">
        <v>125</v>
      </c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2:14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</row>
    <row r="78" spans="2:14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</row>
    <row r="79" spans="2:14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</row>
    <row r="80" spans="2:14">
      <c r="B80" s="42"/>
      <c r="C80" s="42" t="s">
        <v>198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</row>
    <row r="81" spans="2:14">
      <c r="B81" s="42"/>
      <c r="C81" s="42" t="s">
        <v>43</v>
      </c>
      <c r="D81" s="42"/>
      <c r="E81" s="42"/>
      <c r="F81" s="42"/>
      <c r="G81" s="42"/>
      <c r="H81" s="42">
        <v>100</v>
      </c>
      <c r="I81" s="42"/>
      <c r="J81" s="42"/>
      <c r="K81" s="42"/>
      <c r="L81" s="42"/>
      <c r="M81" s="42"/>
      <c r="N81" s="42"/>
    </row>
    <row r="82" spans="2:14">
      <c r="B82" s="42"/>
      <c r="C82" s="42" t="s">
        <v>44</v>
      </c>
      <c r="D82" s="42"/>
      <c r="E82" s="42"/>
      <c r="F82" s="42"/>
      <c r="G82" s="42"/>
      <c r="H82" s="42">
        <v>92</v>
      </c>
      <c r="I82" s="42"/>
      <c r="J82" s="42"/>
      <c r="K82" s="42"/>
      <c r="L82" s="42"/>
      <c r="M82" s="42"/>
      <c r="N82" s="42"/>
    </row>
    <row r="83" spans="2:14">
      <c r="B83" s="42"/>
      <c r="C83" s="42" t="s">
        <v>139</v>
      </c>
      <c r="D83" s="42"/>
      <c r="E83" s="42"/>
      <c r="F83" s="42"/>
      <c r="G83" s="42"/>
      <c r="H83" s="46">
        <v>14</v>
      </c>
      <c r="I83" s="42"/>
      <c r="J83" s="42"/>
      <c r="K83" s="42"/>
      <c r="L83" s="42"/>
      <c r="M83" s="42"/>
      <c r="N83" s="42"/>
    </row>
    <row r="84" spans="2:14">
      <c r="B84" s="42"/>
      <c r="C84" s="42" t="s">
        <v>140</v>
      </c>
      <c r="D84" s="42"/>
      <c r="E84" s="42"/>
      <c r="F84" s="42"/>
      <c r="G84" s="42"/>
      <c r="H84" s="46">
        <v>35</v>
      </c>
      <c r="I84" s="42"/>
      <c r="J84" s="42"/>
      <c r="K84" s="42"/>
      <c r="L84" s="42"/>
      <c r="M84" s="42"/>
      <c r="N84" s="42"/>
    </row>
    <row r="85" spans="2:14">
      <c r="B85" s="42"/>
      <c r="C85" s="42" t="s">
        <v>180</v>
      </c>
      <c r="D85" s="42"/>
      <c r="E85" s="42"/>
      <c r="F85" s="42"/>
      <c r="G85" s="42"/>
      <c r="H85" s="42"/>
      <c r="I85" s="42">
        <v>35</v>
      </c>
      <c r="J85" s="42"/>
      <c r="K85" s="42"/>
      <c r="L85" s="42"/>
      <c r="M85" s="42"/>
      <c r="N85" s="42"/>
    </row>
    <row r="86" spans="2:14">
      <c r="B86" s="42"/>
      <c r="C86" s="42" t="s">
        <v>126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</row>
    <row r="87" spans="2:14">
      <c r="B87" s="42"/>
      <c r="C87" s="42" t="s">
        <v>127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2:14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</row>
    <row r="89" spans="2:14">
      <c r="B89" s="42"/>
      <c r="C89" s="42" t="s">
        <v>45</v>
      </c>
      <c r="D89" s="42"/>
      <c r="E89" s="42"/>
      <c r="F89" s="42"/>
      <c r="G89" s="42"/>
      <c r="H89" s="47"/>
      <c r="I89" s="42"/>
      <c r="J89" s="42"/>
      <c r="K89" s="42"/>
      <c r="L89" s="42"/>
      <c r="M89" s="42"/>
      <c r="N89" s="42"/>
    </row>
    <row r="90" spans="2:14">
      <c r="B90" s="42"/>
      <c r="C90" s="42" t="s">
        <v>46</v>
      </c>
      <c r="D90" s="42"/>
      <c r="E90" s="42"/>
      <c r="F90" s="42"/>
      <c r="G90" s="42"/>
      <c r="H90" s="48">
        <v>65942.31</v>
      </c>
      <c r="I90" s="42"/>
      <c r="J90" s="42"/>
      <c r="K90" s="42"/>
      <c r="L90" s="42"/>
      <c r="M90" s="42"/>
      <c r="N90" s="42"/>
    </row>
    <row r="91" spans="2:14">
      <c r="B91" s="42"/>
      <c r="C91" s="42" t="s">
        <v>47</v>
      </c>
      <c r="D91" s="42"/>
      <c r="E91" s="42"/>
      <c r="F91" s="42"/>
      <c r="G91" s="42"/>
      <c r="H91" s="48">
        <v>42074.42</v>
      </c>
      <c r="I91" s="42"/>
      <c r="J91" s="42"/>
      <c r="K91" s="42"/>
      <c r="L91" s="42"/>
      <c r="M91" s="42"/>
      <c r="N91" s="42"/>
    </row>
    <row r="92" spans="2:14">
      <c r="B92" s="42"/>
      <c r="C92" s="42" t="s">
        <v>128</v>
      </c>
      <c r="D92" s="42"/>
      <c r="E92" s="42"/>
      <c r="F92" s="42"/>
      <c r="G92" s="42"/>
      <c r="H92" s="48">
        <v>18118.23</v>
      </c>
      <c r="I92" s="42"/>
      <c r="J92" s="42"/>
      <c r="K92" s="42"/>
      <c r="L92" s="42"/>
      <c r="M92" s="42"/>
      <c r="N92" s="42"/>
    </row>
    <row r="93" spans="2:14">
      <c r="B93" s="42"/>
      <c r="C93" s="42"/>
      <c r="D93" s="42"/>
      <c r="E93" s="42"/>
      <c r="F93" s="42"/>
      <c r="G93" s="42"/>
      <c r="H93" s="47"/>
      <c r="I93" s="42"/>
      <c r="J93" s="42"/>
      <c r="K93" s="42"/>
      <c r="L93" s="42"/>
      <c r="M93" s="42"/>
      <c r="N93" s="42"/>
    </row>
    <row r="94" spans="2:14">
      <c r="B94" s="42"/>
      <c r="C94" s="42" t="s">
        <v>48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</row>
    <row r="95" spans="2:14" ht="13.5" customHeight="1">
      <c r="B95" s="42"/>
      <c r="C95" s="42" t="s">
        <v>46</v>
      </c>
      <c r="D95" s="42"/>
      <c r="E95" s="42"/>
      <c r="F95" s="42"/>
      <c r="G95" s="42"/>
      <c r="H95" s="48">
        <v>15072.43</v>
      </c>
      <c r="I95" s="42"/>
      <c r="J95" s="42"/>
      <c r="K95" s="42"/>
      <c r="L95" s="42"/>
      <c r="M95" s="42"/>
      <c r="N95" s="42"/>
    </row>
    <row r="96" spans="2:14" ht="13.5" customHeight="1">
      <c r="B96" s="42"/>
      <c r="C96" s="42" t="s">
        <v>47</v>
      </c>
      <c r="D96" s="42"/>
      <c r="E96" s="42"/>
      <c r="F96" s="42"/>
      <c r="G96" s="42"/>
      <c r="H96" s="48">
        <v>55631.45</v>
      </c>
      <c r="I96" s="42"/>
      <c r="J96" s="42"/>
      <c r="K96" s="42"/>
      <c r="L96" s="42"/>
      <c r="M96" s="42"/>
      <c r="N96" s="42"/>
    </row>
    <row r="97" spans="2:14" ht="13.5" customHeight="1">
      <c r="B97" s="42"/>
      <c r="C97" s="42" t="s">
        <v>128</v>
      </c>
      <c r="D97" s="42"/>
      <c r="E97" s="42"/>
      <c r="F97" s="42"/>
      <c r="G97" s="42"/>
      <c r="H97" s="48">
        <v>31471.46</v>
      </c>
      <c r="I97" s="42"/>
      <c r="J97" s="42"/>
      <c r="K97" s="42"/>
      <c r="L97" s="42"/>
      <c r="M97" s="42"/>
      <c r="N97" s="42"/>
    </row>
    <row r="98" spans="2:14">
      <c r="B98" s="42"/>
      <c r="C98" s="42"/>
      <c r="D98" s="42"/>
      <c r="E98" s="42"/>
      <c r="F98" s="42"/>
      <c r="G98" s="42"/>
      <c r="H98" s="49"/>
      <c r="I98" s="42"/>
      <c r="J98" s="42"/>
      <c r="K98" s="42"/>
      <c r="L98" s="42"/>
      <c r="M98" s="42"/>
      <c r="N98" s="42"/>
    </row>
    <row r="99" spans="2:14">
      <c r="B99" s="42"/>
      <c r="C99" s="42" t="s">
        <v>49</v>
      </c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</row>
    <row r="100" spans="2:14">
      <c r="B100" s="42"/>
      <c r="C100" s="42" t="s">
        <v>47</v>
      </c>
      <c r="D100" s="42"/>
      <c r="E100" s="42"/>
      <c r="F100" s="42"/>
      <c r="G100" s="42"/>
      <c r="H100" s="48">
        <v>100505.71</v>
      </c>
      <c r="I100" s="42"/>
      <c r="J100" s="42"/>
      <c r="K100" s="42"/>
      <c r="L100" s="42"/>
      <c r="M100" s="42"/>
      <c r="N100" s="42"/>
    </row>
    <row r="101" spans="2:14">
      <c r="B101" s="42"/>
      <c r="C101" s="42" t="s">
        <v>128</v>
      </c>
      <c r="D101" s="42"/>
      <c r="E101" s="42"/>
      <c r="F101" s="42"/>
      <c r="G101" s="42"/>
      <c r="H101" s="48">
        <v>31471.46</v>
      </c>
      <c r="I101" s="42"/>
      <c r="J101" s="42"/>
      <c r="K101" s="42"/>
      <c r="L101" s="42"/>
      <c r="M101" s="42"/>
      <c r="N101" s="42"/>
    </row>
    <row r="102" spans="2:14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</row>
    <row r="103" spans="2:14">
      <c r="B103" s="42"/>
      <c r="C103" s="42" t="s">
        <v>50</v>
      </c>
      <c r="D103" s="42"/>
      <c r="E103" s="42"/>
      <c r="F103" s="48">
        <v>178720.61</v>
      </c>
      <c r="G103" s="42"/>
      <c r="H103" s="42"/>
      <c r="I103" s="42"/>
      <c r="J103" s="42"/>
      <c r="K103" s="42"/>
      <c r="L103" s="42"/>
      <c r="M103" s="42"/>
      <c r="N103" s="42"/>
    </row>
    <row r="104" spans="2:14">
      <c r="B104" s="42"/>
      <c r="C104" s="42" t="s">
        <v>51</v>
      </c>
      <c r="D104" s="42"/>
      <c r="E104" s="42"/>
      <c r="F104" s="50">
        <v>100505.71</v>
      </c>
      <c r="G104" s="42" t="s">
        <v>64</v>
      </c>
      <c r="H104" s="42"/>
      <c r="I104" s="42"/>
      <c r="J104" s="42"/>
      <c r="K104" s="42"/>
      <c r="L104" s="42"/>
      <c r="M104" s="42"/>
      <c r="N104" s="42"/>
    </row>
    <row r="105" spans="2:14">
      <c r="B105" s="42"/>
      <c r="C105" s="42"/>
      <c r="D105" s="42"/>
      <c r="E105" s="42" t="s">
        <v>129</v>
      </c>
      <c r="F105" s="48">
        <v>78214.899999999994</v>
      </c>
      <c r="G105" s="42"/>
      <c r="H105" s="42"/>
      <c r="I105" s="48"/>
      <c r="J105" s="42"/>
      <c r="K105" s="42"/>
      <c r="L105" s="42"/>
      <c r="M105" s="42"/>
      <c r="N105" s="42"/>
    </row>
    <row r="106" spans="2:14">
      <c r="B106" s="42"/>
      <c r="C106" s="42" t="s">
        <v>130</v>
      </c>
      <c r="D106" s="42"/>
      <c r="E106" s="42"/>
      <c r="F106" s="48">
        <v>18118.23</v>
      </c>
      <c r="G106" s="42"/>
      <c r="H106" s="42"/>
      <c r="I106" s="48"/>
      <c r="J106" s="42"/>
      <c r="K106" s="42"/>
      <c r="L106" s="42"/>
      <c r="M106" s="42"/>
      <c r="N106" s="42"/>
    </row>
    <row r="107" spans="2:14">
      <c r="B107" s="42"/>
      <c r="C107" s="42" t="s">
        <v>199</v>
      </c>
      <c r="D107" s="42"/>
      <c r="E107" s="42"/>
      <c r="F107" s="48"/>
      <c r="G107" s="42"/>
      <c r="H107" s="48">
        <v>96333.13</v>
      </c>
      <c r="I107" s="42"/>
      <c r="J107" s="42"/>
      <c r="K107" s="42"/>
      <c r="L107" s="42"/>
      <c r="M107" s="42"/>
      <c r="N107" s="42"/>
    </row>
    <row r="108" spans="2:14">
      <c r="B108" s="42"/>
      <c r="C108" s="42" t="s">
        <v>200</v>
      </c>
      <c r="D108" s="42"/>
      <c r="E108" s="42"/>
      <c r="F108" s="48"/>
      <c r="G108" s="42"/>
      <c r="H108" s="48">
        <v>57225.68</v>
      </c>
      <c r="I108" s="42"/>
      <c r="J108" s="42"/>
      <c r="K108" s="42"/>
      <c r="L108" s="42"/>
      <c r="M108" s="42"/>
      <c r="N108" s="42"/>
    </row>
    <row r="109" spans="2:14">
      <c r="B109" s="42"/>
      <c r="C109" s="42"/>
      <c r="D109" s="42"/>
      <c r="E109" s="42"/>
      <c r="F109" s="48"/>
      <c r="G109" s="42"/>
      <c r="H109" s="42"/>
      <c r="I109" s="48"/>
      <c r="J109" s="42"/>
      <c r="K109" s="42"/>
      <c r="L109" s="42"/>
      <c r="M109" s="42"/>
      <c r="N109" s="42"/>
    </row>
    <row r="110" spans="2:14">
      <c r="B110" s="42"/>
      <c r="C110" s="44" t="s">
        <v>52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</row>
    <row r="111" spans="2:14">
      <c r="B111" s="42"/>
      <c r="C111" s="42" t="s">
        <v>181</v>
      </c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</row>
    <row r="112" spans="2:14">
      <c r="B112" s="42"/>
      <c r="C112" s="42" t="s">
        <v>201</v>
      </c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</row>
    <row r="113" spans="2:14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</row>
    <row r="114" spans="2:14">
      <c r="B114" s="42"/>
      <c r="C114" s="42" t="s">
        <v>65</v>
      </c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</row>
    <row r="115" spans="2:14">
      <c r="B115" s="42"/>
      <c r="C115" s="42" t="s">
        <v>66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</row>
    <row r="116" spans="2:14">
      <c r="B116" s="42"/>
      <c r="C116" s="42" t="s">
        <v>67</v>
      </c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</row>
    <row r="117" spans="2:14">
      <c r="B117" s="42"/>
      <c r="C117" s="42" t="s">
        <v>68</v>
      </c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</row>
    <row r="118" spans="2:14">
      <c r="B118" s="42"/>
      <c r="C118" s="42" t="s">
        <v>77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</row>
    <row r="119" spans="2:14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</row>
    <row r="120" spans="2:14">
      <c r="B120" s="42"/>
      <c r="C120" s="42" t="s">
        <v>69</v>
      </c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</row>
    <row r="121" spans="2:14">
      <c r="B121" s="42"/>
      <c r="C121" s="42" t="s">
        <v>76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</row>
    <row r="122" spans="2:14">
      <c r="B122" s="42"/>
      <c r="C122" s="42" t="s">
        <v>70</v>
      </c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</row>
    <row r="123" spans="2:14">
      <c r="B123" s="42"/>
      <c r="C123" s="42" t="s">
        <v>71</v>
      </c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</row>
    <row r="124" spans="2:14">
      <c r="B124" s="42"/>
      <c r="C124" s="42" t="s">
        <v>75</v>
      </c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</row>
    <row r="125" spans="2:14">
      <c r="B125" s="42"/>
      <c r="C125" s="42" t="s">
        <v>72</v>
      </c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</row>
    <row r="126" spans="2:14">
      <c r="B126" s="42"/>
      <c r="C126" s="42" t="s">
        <v>73</v>
      </c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</row>
    <row r="127" spans="2:14">
      <c r="B127" s="42"/>
      <c r="C127" s="42" t="s">
        <v>74</v>
      </c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</row>
    <row r="128" spans="2:14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</row>
    <row r="129" spans="2:14">
      <c r="B129" s="42"/>
      <c r="C129" s="42" t="s">
        <v>157</v>
      </c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</row>
    <row r="130" spans="2:14">
      <c r="B130" s="42"/>
      <c r="C130" s="42" t="s">
        <v>158</v>
      </c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</row>
    <row r="131" spans="2:14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</row>
    <row r="132" spans="2:14">
      <c r="B132" s="42"/>
      <c r="C132" s="42" t="s">
        <v>155</v>
      </c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</row>
    <row r="133" spans="2:14">
      <c r="B133" s="42"/>
      <c r="C133" s="42" t="s">
        <v>182</v>
      </c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</row>
    <row r="134" spans="2:14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</row>
    <row r="135" spans="2:14">
      <c r="B135" s="42"/>
      <c r="C135" s="51" t="s">
        <v>203</v>
      </c>
      <c r="D135" s="42"/>
      <c r="E135" s="42"/>
      <c r="F135" s="42"/>
      <c r="G135" s="42"/>
      <c r="H135" s="52" t="s">
        <v>190</v>
      </c>
      <c r="I135" s="42"/>
      <c r="J135" s="42"/>
      <c r="K135" s="42"/>
      <c r="L135" s="42"/>
      <c r="M135" s="42"/>
      <c r="N135" s="42"/>
    </row>
    <row r="136" spans="2:14">
      <c r="B136" s="42"/>
      <c r="C136" s="51" t="s">
        <v>204</v>
      </c>
      <c r="D136" s="42"/>
      <c r="E136" s="42"/>
      <c r="F136" s="42"/>
      <c r="G136" s="42"/>
      <c r="H136" s="52" t="s">
        <v>191</v>
      </c>
      <c r="I136" s="42"/>
      <c r="J136" s="42"/>
      <c r="K136" s="42"/>
      <c r="L136" s="42"/>
      <c r="M136" s="42"/>
      <c r="N136" s="42"/>
    </row>
    <row r="137" spans="2:14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2:14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</sheetData>
  <phoneticPr fontId="0" type="noConversion"/>
  <hyperlinks>
    <hyperlink ref="H135" r:id="rId1"/>
    <hyperlink ref="H136" r:id="rId2"/>
  </hyperlinks>
  <pageMargins left="0.75" right="0.75" top="1" bottom="1" header="0.5" footer="0.5"/>
  <pageSetup paperSize="9" scale="65" orientation="portrait" r:id="rId3"/>
  <headerFooter alignWithMargins="0">
    <oddHeader>&amp;L&amp;"Arial,Vet"&amp;A&amp;C&amp;"Arial,Vet"&amp;F&amp;R&amp;"Arial,Vet"&amp;D</oddHeader>
    <oddFooter>&amp;L&amp;"Arial,Vet"vosabb&amp;R&amp;"Arial,Vet"&amp;P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"/>
  <dimension ref="B2:AX138"/>
  <sheetViews>
    <sheetView zoomScale="85" zoomScaleNormal="85" zoomScaleSheetLayoutView="85" workbookViewId="0">
      <selection activeCell="B2" sqref="B2"/>
    </sheetView>
  </sheetViews>
  <sheetFormatPr defaultRowHeight="12.75"/>
  <cols>
    <col min="1" max="1" width="3.7109375" style="21" customWidth="1"/>
    <col min="2" max="3" width="2.7109375" style="21" customWidth="1"/>
    <col min="4" max="7" width="14.7109375" style="21" customWidth="1"/>
    <col min="8" max="9" width="1.140625" style="21" customWidth="1"/>
    <col min="10" max="10" width="1" style="21" customWidth="1"/>
    <col min="11" max="14" width="14.7109375" style="21" customWidth="1"/>
    <col min="15" max="16" width="2.7109375" style="21" customWidth="1"/>
    <col min="17" max="17" width="11.28515625" style="21" customWidth="1"/>
    <col min="18" max="19" width="9.7109375" style="21" bestFit="1" customWidth="1"/>
    <col min="20" max="20" width="12.5703125" style="21" bestFit="1" customWidth="1"/>
    <col min="21" max="21" width="12.28515625" style="21" customWidth="1"/>
    <col min="22" max="22" width="16.28515625" style="21" bestFit="1" customWidth="1"/>
    <col min="23" max="24" width="9.140625" style="21"/>
    <col min="25" max="27" width="9.28515625" style="21" bestFit="1" customWidth="1"/>
    <col min="28" max="28" width="11.140625" style="21" customWidth="1"/>
    <col min="29" max="31" width="9.140625" style="21"/>
    <col min="32" max="34" width="9.28515625" style="21" bestFit="1" customWidth="1"/>
    <col min="35" max="35" width="10.85546875" style="21" customWidth="1"/>
    <col min="36" max="37" width="9.140625" style="21"/>
    <col min="38" max="38" width="11.42578125" style="21" customWidth="1"/>
    <col min="39" max="39" width="9.28515625" style="21" bestFit="1" customWidth="1"/>
    <col min="40" max="40" width="9.42578125" style="21" bestFit="1" customWidth="1"/>
    <col min="41" max="41" width="12.42578125" style="21" bestFit="1" customWidth="1"/>
    <col min="42" max="42" width="11.5703125" style="21" customWidth="1"/>
    <col min="43" max="43" width="16.85546875" style="21" bestFit="1" customWidth="1"/>
    <col min="44" max="45" width="9.140625" style="21"/>
    <col min="46" max="48" width="9.42578125" style="21" bestFit="1" customWidth="1"/>
    <col min="49" max="49" width="10.7109375" style="21" customWidth="1"/>
    <col min="50" max="52" width="9.140625" style="21"/>
    <col min="53" max="54" width="9.42578125" style="21" bestFit="1" customWidth="1"/>
    <col min="55" max="55" width="10" style="21" bestFit="1" customWidth="1"/>
    <col min="56" max="56" width="11.28515625" style="21" bestFit="1" customWidth="1"/>
    <col min="57" max="61" width="9.140625" style="21"/>
    <col min="62" max="62" width="9.42578125" style="21" bestFit="1" customWidth="1"/>
    <col min="63" max="63" width="9.140625" style="21"/>
    <col min="64" max="64" width="10.42578125" style="21" bestFit="1" customWidth="1"/>
    <col min="65" max="65" width="9.140625" style="21"/>
    <col min="66" max="66" width="9.42578125" style="21" bestFit="1" customWidth="1"/>
    <col min="67" max="16384" width="9.140625" style="21"/>
  </cols>
  <sheetData>
    <row r="2" spans="2:16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16" s="25" customFormat="1" ht="18" customHeight="1">
      <c r="B4" s="54"/>
      <c r="C4" s="121" t="s">
        <v>183</v>
      </c>
      <c r="D4" s="14"/>
      <c r="E4" s="55"/>
      <c r="F4" s="56"/>
      <c r="G4" s="55"/>
      <c r="H4" s="55"/>
      <c r="I4" s="55"/>
      <c r="J4" s="55"/>
      <c r="K4" s="55"/>
      <c r="L4" s="55"/>
      <c r="M4" s="56"/>
      <c r="N4" s="55"/>
      <c r="O4" s="55"/>
      <c r="P4" s="57"/>
    </row>
    <row r="5" spans="2:16" s="26" customFormat="1" ht="12.75" customHeight="1">
      <c r="B5" s="58"/>
      <c r="C5" s="59" t="str">
        <f ca="1">"per 1 augustus "&amp;tab!C3</f>
        <v>per 1 augustus 2011</v>
      </c>
      <c r="D5" s="60"/>
      <c r="E5" s="61"/>
      <c r="F5" s="62"/>
      <c r="G5" s="61"/>
      <c r="H5" s="61"/>
      <c r="I5" s="61"/>
      <c r="J5" s="61"/>
      <c r="K5" s="61"/>
      <c r="L5" s="61"/>
      <c r="M5" s="62"/>
      <c r="N5" s="61"/>
      <c r="O5" s="61"/>
      <c r="P5" s="63"/>
    </row>
    <row r="6" spans="2:16" ht="12.75" customHeight="1">
      <c r="B6" s="11"/>
      <c r="C6" s="12"/>
      <c r="D6" s="64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12.75" customHeight="1">
      <c r="B7" s="11"/>
      <c r="C7" s="12"/>
      <c r="D7" s="64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2.75" customHeight="1">
      <c r="B8" s="11"/>
      <c r="C8" s="12"/>
      <c r="D8" s="64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3"/>
    </row>
    <row r="9" spans="2:16" ht="12.75" customHeight="1">
      <c r="B9" s="11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  <c r="P9" s="13"/>
    </row>
    <row r="10" spans="2:16" s="28" customFormat="1" ht="12.75" customHeight="1">
      <c r="B10" s="65"/>
      <c r="C10" s="80"/>
      <c r="D10" s="134" t="s">
        <v>35</v>
      </c>
      <c r="E10" s="82"/>
      <c r="F10" s="83"/>
      <c r="G10" s="82"/>
      <c r="H10" s="82"/>
      <c r="I10" s="82"/>
      <c r="J10" s="82"/>
      <c r="K10" s="82"/>
      <c r="L10" s="82"/>
      <c r="M10" s="83"/>
      <c r="N10" s="82"/>
      <c r="O10" s="84"/>
      <c r="P10" s="66"/>
    </row>
    <row r="11" spans="2:16" s="28" customFormat="1" ht="12.75" customHeight="1">
      <c r="B11" s="65"/>
      <c r="C11" s="80"/>
      <c r="D11" s="81"/>
      <c r="E11" s="193"/>
      <c r="F11" s="193"/>
      <c r="G11" s="193"/>
      <c r="H11" s="82"/>
      <c r="I11" s="82"/>
      <c r="J11" s="82"/>
      <c r="K11" s="82"/>
      <c r="L11" s="82"/>
      <c r="M11" s="83"/>
      <c r="N11" s="82"/>
      <c r="O11" s="84"/>
      <c r="P11" s="66"/>
    </row>
    <row r="12" spans="2:16" ht="12.75" customHeight="1">
      <c r="B12" s="11"/>
      <c r="C12" s="85"/>
      <c r="D12" s="83"/>
      <c r="E12" s="192" t="s">
        <v>144</v>
      </c>
      <c r="F12" s="192" t="s">
        <v>112</v>
      </c>
      <c r="G12" s="192" t="s">
        <v>145</v>
      </c>
      <c r="H12" s="86"/>
      <c r="I12" s="86"/>
      <c r="J12" s="86"/>
      <c r="K12" s="86"/>
      <c r="L12" s="191" t="s">
        <v>109</v>
      </c>
      <c r="M12" s="191" t="s">
        <v>110</v>
      </c>
      <c r="N12" s="192" t="s">
        <v>145</v>
      </c>
      <c r="O12" s="87"/>
      <c r="P12" s="13"/>
    </row>
    <row r="13" spans="2:16" ht="12.75" customHeight="1">
      <c r="B13" s="11"/>
      <c r="C13" s="85"/>
      <c r="D13" s="88" t="s">
        <v>141</v>
      </c>
      <c r="E13" s="176">
        <f>+G71+N71+G107</f>
        <v>0</v>
      </c>
      <c r="F13" s="176">
        <f>+G72+N72+G108</f>
        <v>0</v>
      </c>
      <c r="G13" s="163">
        <f>SUM(E13:F13)</f>
        <v>0</v>
      </c>
      <c r="H13" s="83"/>
      <c r="I13" s="83"/>
      <c r="J13" s="83"/>
      <c r="K13" s="134" t="str">
        <f ca="1">tab!C2</f>
        <v>2011/12</v>
      </c>
      <c r="L13" s="176">
        <f>(E13-E14)</f>
        <v>0</v>
      </c>
      <c r="M13" s="176">
        <f>+F13-F14</f>
        <v>0</v>
      </c>
      <c r="N13" s="163">
        <f>SUM(L13:M13)</f>
        <v>0</v>
      </c>
      <c r="O13" s="87"/>
      <c r="P13" s="13"/>
    </row>
    <row r="14" spans="2:16" ht="12.75" customHeight="1">
      <c r="B14" s="11"/>
      <c r="C14" s="85"/>
      <c r="D14" s="88" t="s">
        <v>142</v>
      </c>
      <c r="E14" s="176">
        <f>+G45</f>
        <v>0</v>
      </c>
      <c r="F14" s="176">
        <f>+G46</f>
        <v>0</v>
      </c>
      <c r="G14" s="163">
        <f>SUM(E14:F14)</f>
        <v>0</v>
      </c>
      <c r="H14" s="83"/>
      <c r="I14" s="83"/>
      <c r="J14" s="83"/>
      <c r="K14" s="83"/>
      <c r="L14" s="191" t="s">
        <v>111</v>
      </c>
      <c r="M14" s="191" t="s">
        <v>110</v>
      </c>
      <c r="N14" s="192" t="s">
        <v>145</v>
      </c>
      <c r="O14" s="87"/>
      <c r="P14" s="13"/>
    </row>
    <row r="15" spans="2:16" s="29" customFormat="1" ht="12.75" customHeight="1">
      <c r="B15" s="15"/>
      <c r="C15" s="91"/>
      <c r="D15" s="81"/>
      <c r="E15" s="92"/>
      <c r="F15" s="90"/>
      <c r="G15" s="93"/>
      <c r="H15" s="92"/>
      <c r="I15" s="92"/>
      <c r="J15" s="92"/>
      <c r="K15" s="134" t="str">
        <f ca="1">tab!D2</f>
        <v>2012/13</v>
      </c>
      <c r="L15" s="176">
        <f>(E13-E14)/2</f>
        <v>0</v>
      </c>
      <c r="M15" s="176">
        <f>+M13</f>
        <v>0</v>
      </c>
      <c r="N15" s="163">
        <f>SUM(L15:M15)</f>
        <v>0</v>
      </c>
      <c r="O15" s="94"/>
      <c r="P15" s="16"/>
    </row>
    <row r="16" spans="2:16" ht="12.75" customHeight="1">
      <c r="B16" s="11"/>
      <c r="C16" s="85"/>
      <c r="D16" s="83"/>
      <c r="E16" s="83"/>
      <c r="F16" s="83"/>
      <c r="G16" s="83"/>
      <c r="H16" s="83"/>
      <c r="I16" s="83"/>
      <c r="J16" s="83"/>
      <c r="O16" s="87"/>
      <c r="P16" s="13"/>
    </row>
    <row r="17" spans="2:16" ht="12.75" customHeight="1">
      <c r="B17" s="11"/>
      <c r="C17" s="12"/>
      <c r="D17" s="64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</row>
    <row r="18" spans="2:16" ht="12.75" customHeight="1">
      <c r="B18" s="11"/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120"/>
      <c r="P18" s="13"/>
    </row>
    <row r="19" spans="2:16" ht="12.75" customHeight="1">
      <c r="B19" s="11"/>
      <c r="C19" s="85"/>
      <c r="D19" s="95" t="s">
        <v>153</v>
      </c>
      <c r="E19" s="83"/>
      <c r="F19" s="183" t="s">
        <v>205</v>
      </c>
      <c r="G19" s="97"/>
      <c r="H19" s="83"/>
      <c r="I19" s="83"/>
      <c r="J19" s="83"/>
      <c r="K19" s="83"/>
      <c r="L19" s="83"/>
      <c r="M19" s="83"/>
      <c r="N19" s="83"/>
      <c r="O19" s="96"/>
      <c r="P19" s="13"/>
    </row>
    <row r="20" spans="2:16" ht="12.75" customHeight="1">
      <c r="B20" s="11"/>
      <c r="C20" s="85"/>
      <c r="D20" s="95" t="s">
        <v>151</v>
      </c>
      <c r="E20" s="83"/>
      <c r="F20" s="183"/>
      <c r="G20" s="97"/>
      <c r="H20" s="83"/>
      <c r="I20" s="83"/>
      <c r="J20" s="83"/>
      <c r="K20" s="83"/>
      <c r="L20" s="83"/>
      <c r="M20" s="83"/>
      <c r="N20" s="83"/>
      <c r="O20" s="96"/>
      <c r="P20" s="13"/>
    </row>
    <row r="21" spans="2:16" ht="12.75" customHeight="1">
      <c r="B21" s="11"/>
      <c r="C21" s="85"/>
      <c r="D21" s="95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96"/>
      <c r="P21" s="13"/>
    </row>
    <row r="22" spans="2:16" s="29" customFormat="1" ht="12.75" customHeight="1">
      <c r="B22" s="15"/>
      <c r="C22" s="91"/>
      <c r="D22" s="135" t="s">
        <v>10</v>
      </c>
      <c r="E22" s="92"/>
      <c r="F22" s="95"/>
      <c r="G22" s="92"/>
      <c r="H22" s="92"/>
      <c r="I22" s="92"/>
      <c r="J22" s="92"/>
      <c r="K22" s="92"/>
      <c r="L22" s="92"/>
      <c r="M22" s="95"/>
      <c r="N22" s="92"/>
      <c r="O22" s="94"/>
      <c r="P22" s="16"/>
    </row>
    <row r="23" spans="2:16" ht="12.75" customHeight="1">
      <c r="B23" s="11"/>
      <c r="C23" s="85"/>
      <c r="D23" s="95" t="s">
        <v>23</v>
      </c>
      <c r="E23" s="83"/>
      <c r="F23" s="83"/>
      <c r="G23" s="83"/>
      <c r="H23" s="83"/>
      <c r="I23" s="83"/>
      <c r="J23" s="83"/>
      <c r="K23" s="95" t="s">
        <v>21</v>
      </c>
      <c r="L23" s="83"/>
      <c r="M23" s="83"/>
      <c r="N23" s="83"/>
      <c r="O23" s="96"/>
      <c r="P23" s="13"/>
    </row>
    <row r="24" spans="2:16" ht="12.75" customHeight="1">
      <c r="B24" s="11"/>
      <c r="C24" s="85"/>
      <c r="D24" s="83" t="s">
        <v>0</v>
      </c>
      <c r="E24" s="83"/>
      <c r="F24" s="83"/>
      <c r="G24" s="136">
        <f ca="1">+tab!$C4</f>
        <v>2010</v>
      </c>
      <c r="H24" s="83"/>
      <c r="I24" s="83"/>
      <c r="J24" s="83"/>
      <c r="K24" s="83" t="s">
        <v>0</v>
      </c>
      <c r="L24" s="83"/>
      <c r="M24" s="83"/>
      <c r="N24" s="136">
        <f ca="1">+tab!$C4</f>
        <v>2010</v>
      </c>
      <c r="O24" s="96"/>
      <c r="P24" s="13"/>
    </row>
    <row r="25" spans="2:16" ht="12.75" customHeight="1">
      <c r="B25" s="11"/>
      <c r="C25" s="85"/>
      <c r="D25" s="83" t="s">
        <v>1</v>
      </c>
      <c r="E25" s="83"/>
      <c r="F25" s="83"/>
      <c r="G25" s="177">
        <f>+G58+N58+G87+N87-N25</f>
        <v>0</v>
      </c>
      <c r="H25" s="83"/>
      <c r="I25" s="83"/>
      <c r="J25" s="83"/>
      <c r="K25" s="83" t="s">
        <v>1</v>
      </c>
      <c r="L25" s="83"/>
      <c r="M25" s="83"/>
      <c r="N25" s="178">
        <v>0</v>
      </c>
      <c r="O25" s="96"/>
      <c r="P25" s="13"/>
    </row>
    <row r="26" spans="2:16" ht="12.75" customHeight="1">
      <c r="B26" s="11"/>
      <c r="C26" s="85"/>
      <c r="D26" s="83" t="s">
        <v>2</v>
      </c>
      <c r="E26" s="83"/>
      <c r="F26" s="83"/>
      <c r="G26" s="177">
        <f>+G59+N59+G88+N88-N26</f>
        <v>0</v>
      </c>
      <c r="H26" s="83"/>
      <c r="I26" s="83"/>
      <c r="J26" s="83"/>
      <c r="K26" s="83" t="s">
        <v>2</v>
      </c>
      <c r="L26" s="83"/>
      <c r="M26" s="83"/>
      <c r="N26" s="178">
        <v>0</v>
      </c>
      <c r="O26" s="96"/>
      <c r="P26" s="13"/>
    </row>
    <row r="27" spans="2:16" s="27" customFormat="1" ht="12.75" customHeight="1">
      <c r="B27" s="67"/>
      <c r="C27" s="100"/>
      <c r="D27" s="95" t="s">
        <v>9</v>
      </c>
      <c r="E27" s="95"/>
      <c r="F27" s="95"/>
      <c r="G27" s="182">
        <f>SUM(G25:G26)</f>
        <v>0</v>
      </c>
      <c r="H27" s="95"/>
      <c r="I27" s="95"/>
      <c r="J27" s="95"/>
      <c r="K27" s="95" t="s">
        <v>9</v>
      </c>
      <c r="L27" s="95"/>
      <c r="M27" s="95"/>
      <c r="N27" s="182">
        <f>SUM(N25:N26)</f>
        <v>0</v>
      </c>
      <c r="O27" s="102"/>
      <c r="P27" s="68"/>
    </row>
    <row r="28" spans="2:16" ht="12.75" customHeight="1">
      <c r="B28" s="11"/>
      <c r="C28" s="85"/>
      <c r="D28" s="83" t="s">
        <v>3</v>
      </c>
      <c r="E28" s="83"/>
      <c r="F28" s="103">
        <v>0.3</v>
      </c>
      <c r="G28" s="177">
        <f>+G61+N61+G90+N90-N28</f>
        <v>0</v>
      </c>
      <c r="H28" s="83"/>
      <c r="I28" s="83"/>
      <c r="J28" s="83"/>
      <c r="K28" s="83" t="s">
        <v>3</v>
      </c>
      <c r="L28" s="83"/>
      <c r="M28" s="103">
        <v>0.3</v>
      </c>
      <c r="N28" s="178">
        <v>0</v>
      </c>
      <c r="O28" s="96"/>
      <c r="P28" s="13"/>
    </row>
    <row r="29" spans="2:16" ht="12.75" customHeight="1">
      <c r="B29" s="11"/>
      <c r="C29" s="85"/>
      <c r="D29" s="83" t="s">
        <v>3</v>
      </c>
      <c r="E29" s="83"/>
      <c r="F29" s="103">
        <v>1.2</v>
      </c>
      <c r="G29" s="177">
        <f>+G62+N62+G91+N91-N29</f>
        <v>0</v>
      </c>
      <c r="H29" s="83"/>
      <c r="I29" s="83"/>
      <c r="J29" s="83"/>
      <c r="K29" s="83" t="s">
        <v>3</v>
      </c>
      <c r="L29" s="83"/>
      <c r="M29" s="103">
        <v>1.2</v>
      </c>
      <c r="N29" s="178">
        <v>0</v>
      </c>
      <c r="O29" s="96"/>
      <c r="P29" s="13"/>
    </row>
    <row r="30" spans="2:16" s="27" customFormat="1" ht="12.75" customHeight="1">
      <c r="B30" s="67"/>
      <c r="C30" s="100"/>
      <c r="D30" s="95" t="s">
        <v>156</v>
      </c>
      <c r="E30" s="95"/>
      <c r="F30" s="180">
        <f>SUM(G28:G29)</f>
        <v>0</v>
      </c>
      <c r="G30" s="182">
        <f>ROUND(IF(G32&gt;G27*0.8,G27*0.8,G32),0)</f>
        <v>0</v>
      </c>
      <c r="H30" s="95"/>
      <c r="I30" s="95"/>
      <c r="J30" s="95"/>
      <c r="K30" s="95" t="s">
        <v>156</v>
      </c>
      <c r="L30" s="104"/>
      <c r="M30" s="180">
        <f>SUM(N28:N29)</f>
        <v>0</v>
      </c>
      <c r="N30" s="182">
        <f>ROUND(IF(N32&gt;N27*0.8,N27*0.8,N32),0)</f>
        <v>0</v>
      </c>
      <c r="O30" s="102"/>
      <c r="P30" s="68"/>
    </row>
    <row r="31" spans="2:16" ht="12.75" customHeight="1">
      <c r="B31" s="11"/>
      <c r="C31" s="85"/>
      <c r="D31" s="83" t="s">
        <v>192</v>
      </c>
      <c r="E31" s="83"/>
      <c r="F31" s="83"/>
      <c r="G31" s="178" t="s">
        <v>171</v>
      </c>
      <c r="H31" s="83"/>
      <c r="I31" s="83"/>
      <c r="J31" s="83"/>
      <c r="K31" s="83" t="s">
        <v>192</v>
      </c>
      <c r="L31" s="83"/>
      <c r="M31" s="83"/>
      <c r="N31" s="178" t="s">
        <v>171</v>
      </c>
      <c r="O31" s="96"/>
      <c r="P31" s="13"/>
    </row>
    <row r="32" spans="2:16" ht="12.75" customHeight="1">
      <c r="B32" s="11"/>
      <c r="C32" s="85"/>
      <c r="D32" s="83"/>
      <c r="E32" s="83"/>
      <c r="F32" s="83"/>
      <c r="G32" s="179">
        <f ca="1">ROUND(IF((F28*G28+F29*G29-tab!$C23*G27)&lt;0,0,F28*G28+F29*G29-tab!$C23*G27),0)</f>
        <v>0</v>
      </c>
      <c r="H32" s="105"/>
      <c r="I32" s="105"/>
      <c r="J32" s="105"/>
      <c r="K32" s="105"/>
      <c r="L32" s="105"/>
      <c r="M32" s="83"/>
      <c r="N32" s="179">
        <f ca="1">ROUND(IF((M28*N28+M29*N29-tab!$C23*N27)&lt;0,0,M28*N28+M29*N29-tab!$C23*N27),0)</f>
        <v>0</v>
      </c>
      <c r="O32" s="96"/>
      <c r="P32" s="13"/>
    </row>
    <row r="33" spans="2:16" s="28" customFormat="1" ht="12.75" customHeight="1">
      <c r="B33" s="65"/>
      <c r="C33" s="80"/>
      <c r="D33" s="135" t="s">
        <v>27</v>
      </c>
      <c r="E33" s="82"/>
      <c r="F33" s="83"/>
      <c r="G33" s="136" t="str">
        <f ca="1">tab!C2</f>
        <v>2011/12</v>
      </c>
      <c r="H33" s="82"/>
      <c r="I33" s="82"/>
      <c r="J33" s="82"/>
      <c r="K33" s="135" t="s">
        <v>28</v>
      </c>
      <c r="L33" s="82"/>
      <c r="M33" s="83"/>
      <c r="N33" s="136" t="str">
        <f ca="1">tab!C2</f>
        <v>2011/12</v>
      </c>
      <c r="O33" s="84"/>
      <c r="P33" s="66"/>
    </row>
    <row r="34" spans="2:16" ht="12.75" customHeight="1">
      <c r="B34" s="11"/>
      <c r="C34" s="85"/>
      <c r="D34" s="83" t="s">
        <v>19</v>
      </c>
      <c r="E34" s="83"/>
      <c r="F34" s="83"/>
      <c r="G34" s="176">
        <f ca="1">ROUND(+bereken!F52,2)</f>
        <v>0</v>
      </c>
      <c r="H34" s="83"/>
      <c r="I34" s="83"/>
      <c r="J34" s="83"/>
      <c r="K34" s="83" t="s">
        <v>19</v>
      </c>
      <c r="L34" s="83"/>
      <c r="M34" s="83"/>
      <c r="N34" s="176">
        <f ca="1">ROUND(+bereken!J52,2)</f>
        <v>0</v>
      </c>
      <c r="O34" s="96"/>
      <c r="P34" s="13"/>
    </row>
    <row r="35" spans="2:16" ht="12.75" customHeight="1">
      <c r="B35" s="11"/>
      <c r="C35" s="85"/>
      <c r="D35" s="83" t="s">
        <v>20</v>
      </c>
      <c r="E35" s="83"/>
      <c r="F35" s="83"/>
      <c r="G35" s="176">
        <f ca="1">ROUND(+bereken!F55,2)</f>
        <v>0</v>
      </c>
      <c r="H35" s="83"/>
      <c r="I35" s="83"/>
      <c r="J35" s="83"/>
      <c r="K35" s="83" t="s">
        <v>20</v>
      </c>
      <c r="L35" s="83"/>
      <c r="M35" s="83"/>
      <c r="N35" s="176">
        <f ca="1">ROUND(+bereken!J55,2)</f>
        <v>0</v>
      </c>
      <c r="O35" s="96"/>
      <c r="P35" s="13"/>
    </row>
    <row r="36" spans="2:16" ht="12.75" customHeight="1">
      <c r="B36" s="11"/>
      <c r="C36" s="85"/>
      <c r="D36" s="83" t="s">
        <v>162</v>
      </c>
      <c r="E36" s="83"/>
      <c r="F36" s="83"/>
      <c r="G36" s="176">
        <f ca="1">ROUND(+bereken!F56,2)</f>
        <v>0</v>
      </c>
      <c r="H36" s="83"/>
      <c r="I36" s="83"/>
      <c r="J36" s="83"/>
      <c r="K36" s="83" t="s">
        <v>162</v>
      </c>
      <c r="L36" s="83"/>
      <c r="M36" s="83"/>
      <c r="N36" s="176">
        <f ca="1">ROUND(+bereken!J56,2)</f>
        <v>0</v>
      </c>
      <c r="O36" s="96"/>
      <c r="P36" s="13"/>
    </row>
    <row r="37" spans="2:16" ht="12.75" customHeight="1">
      <c r="B37" s="11"/>
      <c r="C37" s="100"/>
      <c r="D37" s="95" t="s">
        <v>9</v>
      </c>
      <c r="E37" s="95"/>
      <c r="F37" s="95"/>
      <c r="G37" s="163">
        <f>SUM(G34:G36)</f>
        <v>0</v>
      </c>
      <c r="H37" s="95"/>
      <c r="I37" s="95"/>
      <c r="J37" s="95"/>
      <c r="K37" s="95" t="s">
        <v>9</v>
      </c>
      <c r="L37" s="95"/>
      <c r="M37" s="95"/>
      <c r="N37" s="163">
        <f>SUM(N34:N36)</f>
        <v>0</v>
      </c>
      <c r="O37" s="102"/>
      <c r="P37" s="13"/>
    </row>
    <row r="38" spans="2:16" ht="12.75" customHeight="1">
      <c r="B38" s="11"/>
      <c r="C38" s="85"/>
      <c r="D38" s="83"/>
      <c r="E38" s="83"/>
      <c r="F38" s="83"/>
      <c r="G38" s="106"/>
      <c r="H38" s="83"/>
      <c r="I38" s="83"/>
      <c r="J38" s="83"/>
      <c r="K38" s="83"/>
      <c r="L38" s="83"/>
      <c r="M38" s="83"/>
      <c r="N38" s="106"/>
      <c r="O38" s="96"/>
      <c r="P38" s="13"/>
    </row>
    <row r="39" spans="2:16" s="28" customFormat="1" ht="12.75" customHeight="1">
      <c r="B39" s="65"/>
      <c r="C39" s="80"/>
      <c r="D39" s="135" t="s">
        <v>30</v>
      </c>
      <c r="E39" s="82"/>
      <c r="F39" s="83"/>
      <c r="G39" s="136" t="str">
        <f ca="1">tab!C2</f>
        <v>2011/12</v>
      </c>
      <c r="H39" s="82"/>
      <c r="I39" s="82"/>
      <c r="J39" s="82"/>
      <c r="K39" s="82"/>
      <c r="L39" s="82"/>
      <c r="M39" s="83"/>
      <c r="N39" s="107"/>
      <c r="O39" s="84"/>
      <c r="P39" s="66"/>
    </row>
    <row r="40" spans="2:16" ht="12.75" customHeight="1">
      <c r="B40" s="11"/>
      <c r="C40" s="85"/>
      <c r="D40" s="83" t="s">
        <v>19</v>
      </c>
      <c r="E40" s="83"/>
      <c r="F40" s="83"/>
      <c r="G40" s="176">
        <f>+N132</f>
        <v>0</v>
      </c>
      <c r="H40" s="83"/>
      <c r="I40" s="83"/>
      <c r="J40" s="83"/>
      <c r="K40" s="83"/>
      <c r="L40" s="83"/>
      <c r="M40" s="83"/>
      <c r="N40" s="89"/>
      <c r="O40" s="96"/>
      <c r="P40" s="13"/>
    </row>
    <row r="41" spans="2:16" ht="12.75" customHeight="1">
      <c r="B41" s="11"/>
      <c r="C41" s="85"/>
      <c r="D41" s="83" t="s">
        <v>20</v>
      </c>
      <c r="E41" s="83"/>
      <c r="F41" s="83"/>
      <c r="G41" s="176">
        <f>IF(N27=0,N133,G35+N35)</f>
        <v>0</v>
      </c>
      <c r="H41" s="83"/>
      <c r="I41" s="83"/>
      <c r="J41" s="83"/>
      <c r="K41" s="83"/>
      <c r="L41" s="83"/>
      <c r="M41" s="83"/>
      <c r="N41" s="89"/>
      <c r="O41" s="96"/>
      <c r="P41" s="13"/>
    </row>
    <row r="42" spans="2:16" ht="12.75" customHeight="1">
      <c r="B42" s="11"/>
      <c r="C42" s="85"/>
      <c r="D42" s="83" t="s">
        <v>162</v>
      </c>
      <c r="E42" s="83"/>
      <c r="F42" s="83"/>
      <c r="G42" s="176">
        <f>G36+N36</f>
        <v>0</v>
      </c>
      <c r="H42" s="83"/>
      <c r="I42" s="83"/>
      <c r="J42" s="83"/>
      <c r="K42" s="83"/>
      <c r="L42" s="83"/>
      <c r="M42" s="83"/>
      <c r="N42" s="89"/>
      <c r="O42" s="96"/>
      <c r="P42" s="13"/>
    </row>
    <row r="43" spans="2:16" ht="12.75" customHeight="1">
      <c r="B43" s="11"/>
      <c r="C43" s="85"/>
      <c r="D43" s="83" t="s">
        <v>21</v>
      </c>
      <c r="E43" s="83"/>
      <c r="F43" s="83"/>
      <c r="G43" s="176">
        <f>IF(N27=0,0,ROUND(0.75*(G34+N34-N132),2))</f>
        <v>0</v>
      </c>
      <c r="H43" s="83"/>
      <c r="I43" s="83"/>
      <c r="J43" s="83"/>
      <c r="K43" s="83"/>
      <c r="L43" s="83"/>
      <c r="M43" s="83"/>
      <c r="N43" s="89"/>
      <c r="O43" s="96"/>
      <c r="P43" s="13"/>
    </row>
    <row r="44" spans="2:16" ht="12.75" customHeight="1">
      <c r="B44" s="11"/>
      <c r="C44" s="85"/>
      <c r="D44" s="83" t="s">
        <v>22</v>
      </c>
      <c r="E44" s="83"/>
      <c r="F44" s="83"/>
      <c r="G44" s="176">
        <f>IF(N27=0,N135,0)</f>
        <v>0</v>
      </c>
      <c r="H44" s="83"/>
      <c r="I44" s="83"/>
      <c r="J44" s="83"/>
      <c r="K44" s="83"/>
      <c r="L44" s="83"/>
      <c r="M44" s="83"/>
      <c r="N44" s="89"/>
      <c r="O44" s="96"/>
      <c r="P44" s="13"/>
    </row>
    <row r="45" spans="2:16" ht="12.75" customHeight="1">
      <c r="B45" s="11"/>
      <c r="C45" s="85"/>
      <c r="D45" s="95" t="s">
        <v>184</v>
      </c>
      <c r="E45" s="83"/>
      <c r="F45" s="83"/>
      <c r="G45" s="163">
        <f>SUM(G40:G44)</f>
        <v>0</v>
      </c>
      <c r="H45" s="83"/>
      <c r="I45" s="83"/>
      <c r="J45" s="83"/>
      <c r="K45" s="83"/>
      <c r="L45" s="83"/>
      <c r="M45" s="83"/>
      <c r="N45" s="90"/>
      <c r="O45" s="96"/>
      <c r="P45" s="13"/>
    </row>
    <row r="46" spans="2:16" ht="12.75" customHeight="1">
      <c r="B46" s="11"/>
      <c r="C46" s="85"/>
      <c r="D46" s="95" t="s">
        <v>185</v>
      </c>
      <c r="E46" s="95"/>
      <c r="F46" s="95"/>
      <c r="G46" s="163">
        <f>+N137</f>
        <v>0</v>
      </c>
      <c r="H46" s="83"/>
      <c r="I46" s="83"/>
      <c r="J46" s="83"/>
      <c r="K46" s="83"/>
      <c r="L46" s="83"/>
      <c r="M46" s="83"/>
      <c r="N46" s="89"/>
      <c r="O46" s="96"/>
      <c r="P46" s="13"/>
    </row>
    <row r="47" spans="2:16" ht="12.75" customHeight="1">
      <c r="B47" s="11"/>
      <c r="C47" s="108"/>
      <c r="D47" s="109"/>
      <c r="E47" s="109"/>
      <c r="F47" s="109"/>
      <c r="G47" s="110"/>
      <c r="H47" s="109"/>
      <c r="I47" s="109"/>
      <c r="J47" s="109"/>
      <c r="K47" s="109"/>
      <c r="L47" s="109"/>
      <c r="M47" s="109"/>
      <c r="N47" s="109"/>
      <c r="O47" s="111"/>
      <c r="P47" s="13"/>
    </row>
    <row r="48" spans="2:16" ht="12.75" customHeight="1">
      <c r="B48" s="11"/>
      <c r="C48" s="12"/>
      <c r="D48" s="64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3"/>
    </row>
    <row r="49" spans="2:50" ht="12.75" customHeight="1">
      <c r="B49" s="11"/>
      <c r="C49" s="77"/>
      <c r="D49" s="112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9"/>
      <c r="P49" s="13"/>
    </row>
    <row r="50" spans="2:50" ht="12.75" customHeight="1">
      <c r="B50" s="11"/>
      <c r="C50" s="85"/>
      <c r="D50" s="95" t="s">
        <v>150</v>
      </c>
      <c r="E50" s="83"/>
      <c r="F50" s="184" t="s">
        <v>193</v>
      </c>
      <c r="G50" s="97"/>
      <c r="H50" s="83"/>
      <c r="I50" s="83"/>
      <c r="J50" s="83"/>
      <c r="K50" s="95" t="s">
        <v>152</v>
      </c>
      <c r="L50" s="83"/>
      <c r="M50" s="184" t="s">
        <v>194</v>
      </c>
      <c r="N50" s="97"/>
      <c r="O50" s="87"/>
      <c r="P50" s="13"/>
      <c r="AI50" s="27"/>
    </row>
    <row r="51" spans="2:50" ht="12.75" customHeight="1">
      <c r="B51" s="11"/>
      <c r="C51" s="85"/>
      <c r="D51" s="95" t="s">
        <v>151</v>
      </c>
      <c r="E51" s="83"/>
      <c r="F51" s="184"/>
      <c r="G51" s="97"/>
      <c r="H51" s="83"/>
      <c r="I51" s="83"/>
      <c r="J51" s="83"/>
      <c r="K51" s="95" t="s">
        <v>151</v>
      </c>
      <c r="L51" s="83"/>
      <c r="M51" s="184"/>
      <c r="N51" s="97"/>
      <c r="O51" s="87"/>
      <c r="P51" s="13"/>
    </row>
    <row r="52" spans="2:50" ht="12.75" customHeight="1">
      <c r="B52" s="11"/>
      <c r="C52" s="85"/>
      <c r="D52" s="95"/>
      <c r="E52" s="83"/>
      <c r="F52" s="83"/>
      <c r="G52" s="83"/>
      <c r="H52" s="83"/>
      <c r="I52" s="83"/>
      <c r="J52" s="83"/>
      <c r="K52" s="95"/>
      <c r="L52" s="83"/>
      <c r="M52" s="83"/>
      <c r="N52" s="83"/>
      <c r="O52" s="87"/>
      <c r="P52" s="13"/>
    </row>
    <row r="53" spans="2:50" s="27" customFormat="1" ht="12.75" customHeight="1">
      <c r="B53" s="67"/>
      <c r="C53" s="100"/>
      <c r="D53" s="95" t="s">
        <v>107</v>
      </c>
      <c r="E53" s="95"/>
      <c r="F53" s="95"/>
      <c r="G53" s="178">
        <v>0</v>
      </c>
      <c r="H53" s="95"/>
      <c r="I53" s="95"/>
      <c r="J53" s="95"/>
      <c r="K53" s="95" t="s">
        <v>107</v>
      </c>
      <c r="L53" s="95"/>
      <c r="M53" s="95"/>
      <c r="N53" s="178">
        <v>0</v>
      </c>
      <c r="O53" s="113"/>
      <c r="P53" s="68"/>
      <c r="AI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</row>
    <row r="54" spans="2:50" s="27" customFormat="1">
      <c r="B54" s="67"/>
      <c r="C54" s="100"/>
      <c r="D54" s="95" t="s">
        <v>108</v>
      </c>
      <c r="E54" s="83"/>
      <c r="F54" s="95"/>
      <c r="G54" s="178">
        <v>0</v>
      </c>
      <c r="H54" s="95"/>
      <c r="I54" s="95"/>
      <c r="J54" s="95"/>
      <c r="K54" s="95" t="s">
        <v>108</v>
      </c>
      <c r="L54" s="83"/>
      <c r="M54" s="95"/>
      <c r="N54" s="178">
        <v>0</v>
      </c>
      <c r="O54" s="113"/>
      <c r="P54" s="68"/>
      <c r="AI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</row>
    <row r="55" spans="2:50" s="27" customFormat="1">
      <c r="B55" s="67"/>
      <c r="C55" s="100"/>
      <c r="D55" s="95"/>
      <c r="E55" s="95"/>
      <c r="F55" s="95"/>
      <c r="G55" s="101"/>
      <c r="H55" s="95"/>
      <c r="I55" s="95"/>
      <c r="J55" s="95"/>
      <c r="K55" s="95"/>
      <c r="L55" s="95"/>
      <c r="M55" s="95"/>
      <c r="N55" s="101"/>
      <c r="O55" s="113"/>
      <c r="P55" s="68"/>
      <c r="AI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</row>
    <row r="56" spans="2:50" s="29" customFormat="1">
      <c r="B56" s="15"/>
      <c r="C56" s="91"/>
      <c r="D56" s="135" t="s">
        <v>10</v>
      </c>
      <c r="E56" s="92"/>
      <c r="F56" s="95"/>
      <c r="G56" s="98"/>
      <c r="H56" s="92"/>
      <c r="I56" s="92"/>
      <c r="J56" s="92"/>
      <c r="K56" s="135" t="s">
        <v>10</v>
      </c>
      <c r="L56" s="92"/>
      <c r="M56" s="95"/>
      <c r="N56" s="98"/>
      <c r="O56" s="94"/>
      <c r="P56" s="16"/>
    </row>
    <row r="57" spans="2:50">
      <c r="B57" s="11"/>
      <c r="C57" s="85"/>
      <c r="D57" s="83" t="s">
        <v>0</v>
      </c>
      <c r="E57" s="83"/>
      <c r="F57" s="83"/>
      <c r="G57" s="136">
        <f ca="1">+tab!$C4</f>
        <v>2010</v>
      </c>
      <c r="H57" s="83"/>
      <c r="I57" s="83"/>
      <c r="J57" s="83"/>
      <c r="K57" s="83" t="s">
        <v>0</v>
      </c>
      <c r="L57" s="83"/>
      <c r="M57" s="83"/>
      <c r="N57" s="136">
        <f ca="1">+tab!$C4</f>
        <v>2010</v>
      </c>
      <c r="O57" s="87"/>
      <c r="P57" s="13"/>
    </row>
    <row r="58" spans="2:50">
      <c r="B58" s="11"/>
      <c r="C58" s="85"/>
      <c r="D58" s="83" t="s">
        <v>1</v>
      </c>
      <c r="E58" s="83"/>
      <c r="F58" s="83"/>
      <c r="G58" s="178">
        <v>0</v>
      </c>
      <c r="H58" s="83"/>
      <c r="I58" s="83"/>
      <c r="J58" s="83"/>
      <c r="K58" s="83" t="s">
        <v>1</v>
      </c>
      <c r="L58" s="83"/>
      <c r="M58" s="83"/>
      <c r="N58" s="178">
        <v>0</v>
      </c>
      <c r="O58" s="87"/>
      <c r="P58" s="13"/>
    </row>
    <row r="59" spans="2:50">
      <c r="B59" s="11"/>
      <c r="C59" s="85"/>
      <c r="D59" s="83" t="s">
        <v>2</v>
      </c>
      <c r="E59" s="83"/>
      <c r="F59" s="83"/>
      <c r="G59" s="178">
        <v>0</v>
      </c>
      <c r="H59" s="83"/>
      <c r="I59" s="83"/>
      <c r="J59" s="83"/>
      <c r="K59" s="83" t="s">
        <v>2</v>
      </c>
      <c r="L59" s="83"/>
      <c r="M59" s="83"/>
      <c r="N59" s="178">
        <v>0</v>
      </c>
      <c r="O59" s="87"/>
      <c r="P59" s="13"/>
    </row>
    <row r="60" spans="2:50" s="27" customFormat="1">
      <c r="B60" s="67"/>
      <c r="C60" s="100"/>
      <c r="D60" s="95" t="s">
        <v>9</v>
      </c>
      <c r="E60" s="95"/>
      <c r="F60" s="95"/>
      <c r="G60" s="182">
        <f>SUM(G58:G59)</f>
        <v>0</v>
      </c>
      <c r="H60" s="95"/>
      <c r="I60" s="95"/>
      <c r="J60" s="95"/>
      <c r="K60" s="95" t="s">
        <v>9</v>
      </c>
      <c r="L60" s="95"/>
      <c r="M60" s="95"/>
      <c r="N60" s="182">
        <f>SUM(N58:N59)</f>
        <v>0</v>
      </c>
      <c r="O60" s="113"/>
      <c r="P60" s="68"/>
    </row>
    <row r="61" spans="2:50">
      <c r="B61" s="11"/>
      <c r="C61" s="85"/>
      <c r="D61" s="83" t="s">
        <v>3</v>
      </c>
      <c r="E61" s="83"/>
      <c r="F61" s="103">
        <v>0.3</v>
      </c>
      <c r="G61" s="178">
        <v>0</v>
      </c>
      <c r="H61" s="83"/>
      <c r="I61" s="83"/>
      <c r="J61" s="83"/>
      <c r="K61" s="83" t="s">
        <v>3</v>
      </c>
      <c r="L61" s="83"/>
      <c r="M61" s="103">
        <v>0.3</v>
      </c>
      <c r="N61" s="178">
        <v>0</v>
      </c>
      <c r="O61" s="87"/>
      <c r="P61" s="13"/>
    </row>
    <row r="62" spans="2:50">
      <c r="B62" s="11"/>
      <c r="C62" s="85"/>
      <c r="D62" s="83" t="s">
        <v>3</v>
      </c>
      <c r="E62" s="83"/>
      <c r="F62" s="103">
        <v>1.2</v>
      </c>
      <c r="G62" s="178">
        <v>0</v>
      </c>
      <c r="H62" s="83"/>
      <c r="I62" s="83"/>
      <c r="J62" s="83"/>
      <c r="K62" s="83" t="s">
        <v>3</v>
      </c>
      <c r="L62" s="83"/>
      <c r="M62" s="103">
        <v>1.2</v>
      </c>
      <c r="N62" s="178">
        <v>0</v>
      </c>
      <c r="O62" s="87"/>
      <c r="P62" s="13"/>
    </row>
    <row r="63" spans="2:50" s="27" customFormat="1">
      <c r="B63" s="67"/>
      <c r="C63" s="100"/>
      <c r="D63" s="95" t="s">
        <v>156</v>
      </c>
      <c r="E63" s="95"/>
      <c r="F63" s="180">
        <f>SUM(G61:G62)</f>
        <v>0</v>
      </c>
      <c r="G63" s="182">
        <f>ROUND(IF(G65&gt;G60*0.8,G60*0.8,G65),0)</f>
        <v>0</v>
      </c>
      <c r="H63" s="95"/>
      <c r="I63" s="95"/>
      <c r="J63" s="95"/>
      <c r="K63" s="95" t="s">
        <v>156</v>
      </c>
      <c r="L63" s="181"/>
      <c r="M63" s="180">
        <f>SUM(N61:N62)</f>
        <v>0</v>
      </c>
      <c r="N63" s="182">
        <f>ROUND(IF(N65&gt;N60*0.8,N60*0.8,N65),0)</f>
        <v>0</v>
      </c>
      <c r="O63" s="113"/>
      <c r="P63" s="68"/>
    </row>
    <row r="64" spans="2:50">
      <c r="B64" s="11"/>
      <c r="C64" s="85"/>
      <c r="D64" s="83" t="s">
        <v>192</v>
      </c>
      <c r="E64" s="83"/>
      <c r="F64" s="83"/>
      <c r="G64" s="178" t="s">
        <v>171</v>
      </c>
      <c r="H64" s="83"/>
      <c r="I64" s="83"/>
      <c r="J64" s="83"/>
      <c r="K64" s="83" t="s">
        <v>192</v>
      </c>
      <c r="L64" s="83"/>
      <c r="M64" s="83"/>
      <c r="N64" s="178" t="s">
        <v>171</v>
      </c>
      <c r="O64" s="87"/>
      <c r="P64" s="13"/>
    </row>
    <row r="65" spans="2:22" s="30" customFormat="1">
      <c r="B65" s="73"/>
      <c r="C65" s="114"/>
      <c r="D65" s="105"/>
      <c r="E65" s="105"/>
      <c r="F65" s="83"/>
      <c r="G65" s="179">
        <f ca="1">ROUND(IF((F61*G61+F62*G62-tab!$C$23*G60)&lt;0,0,F61*G61+F62*G62-tab!$C$23*G60),0)</f>
        <v>0</v>
      </c>
      <c r="H65" s="105"/>
      <c r="I65" s="105"/>
      <c r="J65" s="105"/>
      <c r="K65" s="105"/>
      <c r="L65" s="105"/>
      <c r="M65" s="83"/>
      <c r="N65" s="179">
        <f ca="1">ROUND(IF((M61*N61+M62*N62-tab!$C23*N60)&lt;0,0,M61*N61+M62*N62-tab!$C23*N60),0)</f>
        <v>0</v>
      </c>
      <c r="O65" s="96"/>
      <c r="P65" s="74"/>
    </row>
    <row r="66" spans="2:22" s="29" customFormat="1">
      <c r="B66" s="15"/>
      <c r="C66" s="91"/>
      <c r="D66" s="135" t="s">
        <v>32</v>
      </c>
      <c r="E66" s="92"/>
      <c r="F66" s="95"/>
      <c r="G66" s="136" t="str">
        <f ca="1">tab!C2</f>
        <v>2011/12</v>
      </c>
      <c r="H66" s="92"/>
      <c r="I66" s="92"/>
      <c r="J66" s="92"/>
      <c r="K66" s="135" t="s">
        <v>33</v>
      </c>
      <c r="L66" s="92"/>
      <c r="M66" s="95"/>
      <c r="N66" s="136" t="str">
        <f ca="1">tab!C2</f>
        <v>2011/12</v>
      </c>
      <c r="O66" s="94"/>
      <c r="P66" s="16"/>
    </row>
    <row r="67" spans="2:22">
      <c r="B67" s="11"/>
      <c r="C67" s="85"/>
      <c r="D67" s="83" t="s">
        <v>19</v>
      </c>
      <c r="E67" s="83"/>
      <c r="F67" s="83"/>
      <c r="G67" s="176">
        <f ca="1">ROUND(+bereken!F16,2)</f>
        <v>0</v>
      </c>
      <c r="H67" s="115"/>
      <c r="I67" s="115"/>
      <c r="J67" s="115"/>
      <c r="K67" s="116" t="s">
        <v>19</v>
      </c>
      <c r="L67" s="115"/>
      <c r="M67" s="115"/>
      <c r="N67" s="176">
        <f ca="1">ROUND(+bereken!J16,2)</f>
        <v>0</v>
      </c>
      <c r="O67" s="87"/>
      <c r="P67" s="13"/>
    </row>
    <row r="68" spans="2:22">
      <c r="B68" s="11"/>
      <c r="C68" s="85"/>
      <c r="D68" s="83" t="s">
        <v>20</v>
      </c>
      <c r="E68" s="83"/>
      <c r="F68" s="83"/>
      <c r="G68" s="176">
        <f ca="1">ROUND(+bereken!F19,2)</f>
        <v>0</v>
      </c>
      <c r="H68" s="115"/>
      <c r="I68" s="115"/>
      <c r="J68" s="115"/>
      <c r="K68" s="116" t="s">
        <v>20</v>
      </c>
      <c r="L68" s="115"/>
      <c r="M68" s="115"/>
      <c r="N68" s="176">
        <f ca="1">ROUND(+bereken!J19,2)</f>
        <v>0</v>
      </c>
      <c r="O68" s="87"/>
      <c r="P68" s="13"/>
    </row>
    <row r="69" spans="2:22">
      <c r="B69" s="11"/>
      <c r="C69" s="85"/>
      <c r="D69" s="83" t="s">
        <v>162</v>
      </c>
      <c r="E69" s="83"/>
      <c r="F69" s="83"/>
      <c r="G69" s="176">
        <f ca="1">ROUND(+bereken!F20,2)</f>
        <v>0</v>
      </c>
      <c r="H69" s="115"/>
      <c r="I69" s="115"/>
      <c r="J69" s="115"/>
      <c r="K69" s="116" t="s">
        <v>162</v>
      </c>
      <c r="L69" s="115"/>
      <c r="M69" s="115"/>
      <c r="N69" s="176">
        <f ca="1">ROUND(+bereken!J20,2)</f>
        <v>0</v>
      </c>
      <c r="O69" s="87"/>
      <c r="P69" s="13"/>
    </row>
    <row r="70" spans="2:22">
      <c r="B70" s="11"/>
      <c r="C70" s="85"/>
      <c r="D70" s="83" t="s">
        <v>22</v>
      </c>
      <c r="E70" s="83"/>
      <c r="F70" s="83"/>
      <c r="G70" s="176">
        <f ca="1">ROUND(IF(G60=0,0,bereken!F23),2)</f>
        <v>0</v>
      </c>
      <c r="H70" s="115"/>
      <c r="I70" s="115"/>
      <c r="J70" s="115"/>
      <c r="K70" s="116" t="s">
        <v>22</v>
      </c>
      <c r="L70" s="115"/>
      <c r="M70" s="115"/>
      <c r="N70" s="176">
        <f ca="1">ROUND(IF(N60=0,0,bereken!J23),2)</f>
        <v>0</v>
      </c>
      <c r="O70" s="87"/>
      <c r="P70" s="13"/>
    </row>
    <row r="71" spans="2:22">
      <c r="B71" s="11"/>
      <c r="C71" s="85"/>
      <c r="D71" s="95" t="s">
        <v>184</v>
      </c>
      <c r="E71" s="83"/>
      <c r="F71" s="83"/>
      <c r="G71" s="163">
        <f ca="1">SUM(G67:G70)</f>
        <v>0</v>
      </c>
      <c r="H71" s="115"/>
      <c r="I71" s="115"/>
      <c r="J71" s="115"/>
      <c r="K71" s="95" t="s">
        <v>184</v>
      </c>
      <c r="L71" s="115"/>
      <c r="M71" s="115"/>
      <c r="N71" s="163">
        <f ca="1">SUM(N67:N70)</f>
        <v>0</v>
      </c>
      <c r="O71" s="87"/>
      <c r="P71" s="13"/>
    </row>
    <row r="72" spans="2:22" s="27" customFormat="1">
      <c r="B72" s="67"/>
      <c r="C72" s="100"/>
      <c r="D72" s="95" t="s">
        <v>185</v>
      </c>
      <c r="E72" s="95"/>
      <c r="F72" s="95"/>
      <c r="G72" s="163">
        <f ca="1">+bereken!F17</f>
        <v>0</v>
      </c>
      <c r="H72" s="117"/>
      <c r="I72" s="117"/>
      <c r="J72" s="117"/>
      <c r="K72" s="95" t="s">
        <v>185</v>
      </c>
      <c r="L72" s="117"/>
      <c r="M72" s="117"/>
      <c r="N72" s="163">
        <f ca="1">+bereken!J17</f>
        <v>0</v>
      </c>
      <c r="O72" s="113"/>
      <c r="P72" s="68"/>
    </row>
    <row r="73" spans="2:22">
      <c r="B73" s="11"/>
      <c r="C73" s="108"/>
      <c r="D73" s="109"/>
      <c r="E73" s="109"/>
      <c r="F73" s="109"/>
      <c r="G73" s="110"/>
      <c r="H73" s="109"/>
      <c r="I73" s="109"/>
      <c r="J73" s="109"/>
      <c r="K73" s="109"/>
      <c r="L73" s="109"/>
      <c r="M73" s="109"/>
      <c r="N73" s="110"/>
      <c r="O73" s="119"/>
      <c r="P73" s="13"/>
    </row>
    <row r="74" spans="2:22"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68"/>
      <c r="R74" s="32"/>
      <c r="T74" s="33"/>
      <c r="U74" s="33"/>
      <c r="V74" s="34"/>
    </row>
    <row r="75" spans="2:22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89"/>
      <c r="R75" s="32"/>
      <c r="T75" s="33"/>
      <c r="U75" s="33"/>
      <c r="V75" s="34"/>
    </row>
    <row r="76" spans="2:22"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90"/>
      <c r="R76" s="32"/>
      <c r="T76" s="33"/>
      <c r="U76" s="33"/>
      <c r="V76" s="34"/>
    </row>
    <row r="77" spans="2:22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68"/>
      <c r="R77" s="32"/>
      <c r="T77" s="33"/>
      <c r="U77" s="33"/>
      <c r="V77" s="34"/>
    </row>
    <row r="78" spans="2:22">
      <c r="B78" s="11"/>
      <c r="C78" s="77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9"/>
      <c r="P78" s="68"/>
      <c r="R78" s="32"/>
      <c r="T78" s="33"/>
      <c r="U78" s="33"/>
      <c r="V78" s="34"/>
    </row>
    <row r="79" spans="2:22">
      <c r="B79" s="11"/>
      <c r="C79" s="85"/>
      <c r="D79" s="95" t="s">
        <v>154</v>
      </c>
      <c r="E79" s="83"/>
      <c r="F79" s="184" t="s">
        <v>163</v>
      </c>
      <c r="G79" s="97"/>
      <c r="H79" s="83"/>
      <c r="I79" s="83"/>
      <c r="J79" s="83"/>
      <c r="K79" s="83"/>
      <c r="L79" s="83"/>
      <c r="M79" s="83"/>
      <c r="N79" s="83"/>
      <c r="O79" s="87"/>
      <c r="P79" s="68"/>
      <c r="R79" s="32"/>
      <c r="T79" s="33"/>
      <c r="U79" s="33"/>
      <c r="V79" s="34"/>
    </row>
    <row r="80" spans="2:22">
      <c r="B80" s="11"/>
      <c r="C80" s="85"/>
      <c r="D80" s="95" t="s">
        <v>151</v>
      </c>
      <c r="E80" s="83"/>
      <c r="F80" s="184"/>
      <c r="G80" s="97"/>
      <c r="H80" s="83"/>
      <c r="I80" s="83"/>
      <c r="J80" s="83"/>
      <c r="K80" s="83"/>
      <c r="L80" s="83"/>
      <c r="M80" s="83"/>
      <c r="N80" s="83"/>
      <c r="O80" s="87"/>
      <c r="P80" s="68"/>
      <c r="R80" s="32"/>
      <c r="T80" s="33"/>
      <c r="U80" s="33"/>
      <c r="V80" s="34"/>
    </row>
    <row r="81" spans="2:22">
      <c r="B81" s="11"/>
      <c r="C81" s="8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113"/>
      <c r="P81" s="68"/>
      <c r="R81" s="32"/>
      <c r="T81" s="33"/>
      <c r="U81" s="33"/>
      <c r="V81" s="34"/>
    </row>
    <row r="82" spans="2:22">
      <c r="B82" s="11"/>
      <c r="C82" s="85"/>
      <c r="D82" s="95" t="s">
        <v>107</v>
      </c>
      <c r="E82" s="83"/>
      <c r="F82" s="83"/>
      <c r="G82" s="185">
        <v>0</v>
      </c>
      <c r="H82" s="95"/>
      <c r="I82" s="95"/>
      <c r="J82" s="95"/>
      <c r="K82" s="95"/>
      <c r="L82" s="95"/>
      <c r="M82" s="95"/>
      <c r="N82" s="95"/>
      <c r="O82" s="113"/>
      <c r="P82" s="68"/>
      <c r="R82" s="32"/>
      <c r="T82" s="33"/>
      <c r="U82" s="33"/>
      <c r="V82" s="34"/>
    </row>
    <row r="83" spans="2:22">
      <c r="B83" s="11"/>
      <c r="C83" s="85"/>
      <c r="D83" s="95" t="s">
        <v>108</v>
      </c>
      <c r="E83" s="83"/>
      <c r="F83" s="83"/>
      <c r="G83" s="186">
        <v>0</v>
      </c>
      <c r="H83" s="95"/>
      <c r="I83" s="95"/>
      <c r="J83" s="95"/>
      <c r="K83" s="95"/>
      <c r="L83" s="95"/>
      <c r="M83" s="95"/>
      <c r="N83" s="95"/>
      <c r="O83" s="113"/>
      <c r="P83" s="68"/>
      <c r="R83" s="32"/>
      <c r="T83" s="33"/>
      <c r="U83" s="33"/>
      <c r="V83" s="34"/>
    </row>
    <row r="84" spans="2:22">
      <c r="B84" s="11"/>
      <c r="C84" s="8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113"/>
      <c r="P84" s="68"/>
      <c r="R84" s="32"/>
      <c r="T84" s="33"/>
      <c r="U84" s="33"/>
      <c r="V84" s="34"/>
    </row>
    <row r="85" spans="2:22" s="29" customFormat="1">
      <c r="B85" s="15"/>
      <c r="C85" s="91"/>
      <c r="D85" s="135" t="s">
        <v>10</v>
      </c>
      <c r="E85" s="92"/>
      <c r="F85" s="95"/>
      <c r="G85" s="92"/>
      <c r="H85" s="92"/>
      <c r="I85" s="92"/>
      <c r="J85" s="92"/>
      <c r="K85" s="135" t="s">
        <v>31</v>
      </c>
      <c r="L85" s="92"/>
      <c r="M85" s="95"/>
      <c r="N85" s="92"/>
      <c r="O85" s="94"/>
      <c r="P85" s="16"/>
      <c r="R85" s="35"/>
      <c r="T85" s="36"/>
      <c r="U85" s="36"/>
      <c r="V85" s="37"/>
    </row>
    <row r="86" spans="2:22">
      <c r="B86" s="11"/>
      <c r="C86" s="85"/>
      <c r="D86" s="83" t="s">
        <v>0</v>
      </c>
      <c r="E86" s="83"/>
      <c r="F86" s="83"/>
      <c r="G86" s="136">
        <f ca="1">+tab!$C4</f>
        <v>2010</v>
      </c>
      <c r="H86" s="83"/>
      <c r="I86" s="83"/>
      <c r="J86" s="83"/>
      <c r="K86" s="83" t="s">
        <v>0</v>
      </c>
      <c r="L86" s="83"/>
      <c r="M86" s="83"/>
      <c r="N86" s="136">
        <f ca="1">+tab!$C4</f>
        <v>2010</v>
      </c>
      <c r="O86" s="87"/>
      <c r="P86" s="68"/>
      <c r="R86" s="32"/>
      <c r="T86" s="33"/>
      <c r="U86" s="33"/>
      <c r="V86" s="34"/>
    </row>
    <row r="87" spans="2:22">
      <c r="B87" s="11"/>
      <c r="C87" s="85"/>
      <c r="D87" s="83" t="s">
        <v>1</v>
      </c>
      <c r="E87" s="83"/>
      <c r="F87" s="83"/>
      <c r="G87" s="178">
        <v>0</v>
      </c>
      <c r="H87" s="83"/>
      <c r="I87" s="83"/>
      <c r="J87" s="83"/>
      <c r="K87" s="83" t="s">
        <v>1</v>
      </c>
      <c r="L87" s="83"/>
      <c r="M87" s="83"/>
      <c r="N87" s="178">
        <v>0</v>
      </c>
      <c r="O87" s="87"/>
      <c r="P87" s="68"/>
      <c r="R87" s="32"/>
      <c r="T87" s="33"/>
      <c r="U87" s="33"/>
      <c r="V87" s="34"/>
    </row>
    <row r="88" spans="2:22">
      <c r="B88" s="11"/>
      <c r="C88" s="85"/>
      <c r="D88" s="83" t="s">
        <v>2</v>
      </c>
      <c r="E88" s="83"/>
      <c r="F88" s="83"/>
      <c r="G88" s="178">
        <v>0</v>
      </c>
      <c r="H88" s="83"/>
      <c r="I88" s="83"/>
      <c r="J88" s="83"/>
      <c r="K88" s="83" t="s">
        <v>2</v>
      </c>
      <c r="L88" s="83"/>
      <c r="M88" s="83"/>
      <c r="N88" s="178">
        <v>0</v>
      </c>
      <c r="O88" s="87"/>
      <c r="P88" s="68"/>
      <c r="R88" s="32"/>
      <c r="T88" s="33"/>
      <c r="U88" s="33"/>
      <c r="V88" s="34"/>
    </row>
    <row r="89" spans="2:22" s="27" customFormat="1">
      <c r="B89" s="67"/>
      <c r="C89" s="100"/>
      <c r="D89" s="95" t="s">
        <v>9</v>
      </c>
      <c r="E89" s="95"/>
      <c r="F89" s="95"/>
      <c r="G89" s="182">
        <f>SUM(G87:G88)</f>
        <v>0</v>
      </c>
      <c r="H89" s="95"/>
      <c r="I89" s="95"/>
      <c r="J89" s="95"/>
      <c r="K89" s="95" t="s">
        <v>9</v>
      </c>
      <c r="L89" s="95"/>
      <c r="M89" s="95"/>
      <c r="N89" s="182">
        <f>SUM(N87:N88)</f>
        <v>0</v>
      </c>
      <c r="O89" s="113"/>
      <c r="P89" s="68"/>
      <c r="R89" s="32"/>
      <c r="T89" s="38"/>
      <c r="U89" s="38"/>
      <c r="V89" s="34"/>
    </row>
    <row r="90" spans="2:22">
      <c r="B90" s="11"/>
      <c r="C90" s="85"/>
      <c r="D90" s="83" t="s">
        <v>3</v>
      </c>
      <c r="E90" s="83"/>
      <c r="F90" s="103">
        <v>0.3</v>
      </c>
      <c r="G90" s="178">
        <v>0</v>
      </c>
      <c r="H90" s="83"/>
      <c r="I90" s="83"/>
      <c r="J90" s="83"/>
      <c r="K90" s="83" t="s">
        <v>3</v>
      </c>
      <c r="L90" s="83"/>
      <c r="M90" s="103">
        <v>0.3</v>
      </c>
      <c r="N90" s="178">
        <v>0</v>
      </c>
      <c r="O90" s="87"/>
      <c r="P90" s="68"/>
      <c r="R90" s="32"/>
      <c r="T90" s="33"/>
      <c r="U90" s="33"/>
      <c r="V90" s="34"/>
    </row>
    <row r="91" spans="2:22">
      <c r="B91" s="11"/>
      <c r="C91" s="85"/>
      <c r="D91" s="83" t="s">
        <v>3</v>
      </c>
      <c r="E91" s="83"/>
      <c r="F91" s="103">
        <v>1.2</v>
      </c>
      <c r="G91" s="178">
        <v>0</v>
      </c>
      <c r="H91" s="83"/>
      <c r="I91" s="83"/>
      <c r="J91" s="83"/>
      <c r="K91" s="83" t="s">
        <v>3</v>
      </c>
      <c r="L91" s="83"/>
      <c r="M91" s="103">
        <v>1.2</v>
      </c>
      <c r="N91" s="178">
        <v>0</v>
      </c>
      <c r="O91" s="87"/>
      <c r="P91" s="68"/>
      <c r="R91" s="32"/>
      <c r="T91" s="33"/>
      <c r="U91" s="33"/>
      <c r="V91" s="34"/>
    </row>
    <row r="92" spans="2:22" s="27" customFormat="1">
      <c r="B92" s="67"/>
      <c r="C92" s="100"/>
      <c r="D92" s="95" t="s">
        <v>156</v>
      </c>
      <c r="E92" s="95"/>
      <c r="F92" s="180">
        <f>SUM(G90:G91)</f>
        <v>0</v>
      </c>
      <c r="G92" s="182">
        <f>ROUND(IF(G94&gt;G89*0.8,G89*0.8,G94),0)</f>
        <v>0</v>
      </c>
      <c r="H92" s="95"/>
      <c r="I92" s="95"/>
      <c r="J92" s="95"/>
      <c r="K92" s="95" t="s">
        <v>156</v>
      </c>
      <c r="L92" s="95"/>
      <c r="M92" s="180">
        <f>SUM(N90:N91)</f>
        <v>0</v>
      </c>
      <c r="N92" s="182">
        <f>ROUND(IF(N94&gt;N89*0.8,N89*0.8,N94),0)</f>
        <v>0</v>
      </c>
      <c r="O92" s="113"/>
      <c r="P92" s="68"/>
      <c r="R92" s="32"/>
      <c r="T92" s="38"/>
      <c r="U92" s="38"/>
      <c r="V92" s="34"/>
    </row>
    <row r="93" spans="2:22">
      <c r="B93" s="11"/>
      <c r="C93" s="85"/>
      <c r="D93" s="83" t="s">
        <v>192</v>
      </c>
      <c r="E93" s="83"/>
      <c r="F93" s="83"/>
      <c r="G93" s="188" t="s">
        <v>171</v>
      </c>
      <c r="H93" s="83"/>
      <c r="I93" s="83"/>
      <c r="J93" s="83"/>
      <c r="K93" s="83" t="s">
        <v>192</v>
      </c>
      <c r="L93" s="83"/>
      <c r="M93" s="83"/>
      <c r="N93" s="188" t="s">
        <v>171</v>
      </c>
      <c r="O93" s="87"/>
      <c r="P93" s="68"/>
      <c r="R93" s="32"/>
      <c r="T93" s="33"/>
      <c r="U93" s="33"/>
      <c r="V93" s="34"/>
    </row>
    <row r="94" spans="2:22">
      <c r="B94" s="11"/>
      <c r="C94" s="85"/>
      <c r="D94" s="83"/>
      <c r="E94" s="83"/>
      <c r="F94" s="83"/>
      <c r="G94" s="179">
        <f ca="1">ROUND(IF((F90*G90+F91*G91-tab!$C$23*G89)&lt;0,0,F90*G90+F91*G91-tab!$C$23*G89),0)</f>
        <v>0</v>
      </c>
      <c r="H94" s="105"/>
      <c r="I94" s="105"/>
      <c r="J94" s="105"/>
      <c r="K94" s="105"/>
      <c r="L94" s="105"/>
      <c r="M94" s="83"/>
      <c r="N94" s="179">
        <f ca="1">ROUND(IF((M90*N90+M91*N91-tab!$C$23*N89)&lt;0,0,M90*N90+M91*N91-tab!$C$23*N89),0)</f>
        <v>0</v>
      </c>
      <c r="O94" s="87"/>
      <c r="P94" s="68"/>
      <c r="R94" s="32"/>
      <c r="T94" s="33"/>
      <c r="U94" s="33"/>
      <c r="V94" s="34"/>
    </row>
    <row r="95" spans="2:22" s="29" customFormat="1">
      <c r="B95" s="15"/>
      <c r="C95" s="91"/>
      <c r="D95" s="135" t="s">
        <v>24</v>
      </c>
      <c r="E95" s="135"/>
      <c r="F95" s="95"/>
      <c r="G95" s="136" t="str">
        <f ca="1">tab!C2</f>
        <v>2011/12</v>
      </c>
      <c r="H95" s="92"/>
      <c r="I95" s="92"/>
      <c r="J95" s="92"/>
      <c r="K95" s="135" t="s">
        <v>25</v>
      </c>
      <c r="L95" s="92"/>
      <c r="M95" s="95"/>
      <c r="N95" s="136" t="str">
        <f ca="1">tab!C2</f>
        <v>2011/12</v>
      </c>
      <c r="O95" s="94"/>
      <c r="P95" s="16"/>
      <c r="R95" s="35"/>
      <c r="T95" s="36"/>
      <c r="U95" s="36"/>
      <c r="V95" s="37"/>
    </row>
    <row r="96" spans="2:22">
      <c r="B96" s="11"/>
      <c r="C96" s="85"/>
      <c r="D96" s="83" t="s">
        <v>19</v>
      </c>
      <c r="E96" s="83"/>
      <c r="F96" s="83"/>
      <c r="G96" s="176">
        <f ca="1">ROUND(+bereken!F34,2)</f>
        <v>0</v>
      </c>
      <c r="H96" s="83"/>
      <c r="I96" s="83"/>
      <c r="J96" s="83"/>
      <c r="K96" s="83" t="s">
        <v>19</v>
      </c>
      <c r="L96" s="83"/>
      <c r="M96" s="83"/>
      <c r="N96" s="176">
        <f ca="1">ROUND(+bereken!J34,2)</f>
        <v>0</v>
      </c>
      <c r="O96" s="87"/>
      <c r="P96" s="68"/>
      <c r="R96" s="32"/>
      <c r="T96" s="33"/>
      <c r="U96" s="33"/>
      <c r="V96" s="34"/>
    </row>
    <row r="97" spans="2:22">
      <c r="B97" s="11"/>
      <c r="C97" s="85"/>
      <c r="D97" s="83" t="s">
        <v>20</v>
      </c>
      <c r="E97" s="83"/>
      <c r="F97" s="83"/>
      <c r="G97" s="176">
        <f ca="1">ROUND(+bereken!F37,2)</f>
        <v>0</v>
      </c>
      <c r="H97" s="83"/>
      <c r="I97" s="83"/>
      <c r="J97" s="83"/>
      <c r="K97" s="83" t="s">
        <v>20</v>
      </c>
      <c r="L97" s="83"/>
      <c r="M97" s="83"/>
      <c r="N97" s="176">
        <f ca="1">ROUND(+bereken!J37,2)</f>
        <v>0</v>
      </c>
      <c r="O97" s="87"/>
      <c r="P97" s="68"/>
      <c r="R97" s="32"/>
      <c r="T97" s="33"/>
      <c r="U97" s="33"/>
      <c r="V97" s="34"/>
    </row>
    <row r="98" spans="2:22">
      <c r="B98" s="11"/>
      <c r="C98" s="85"/>
      <c r="D98" s="83" t="s">
        <v>162</v>
      </c>
      <c r="E98" s="83"/>
      <c r="F98" s="83"/>
      <c r="G98" s="176">
        <f ca="1">ROUND(+bereken!F38,2)</f>
        <v>0</v>
      </c>
      <c r="H98" s="83"/>
      <c r="I98" s="83"/>
      <c r="J98" s="83"/>
      <c r="K98" s="83" t="s">
        <v>162</v>
      </c>
      <c r="L98" s="83"/>
      <c r="M98" s="83"/>
      <c r="N98" s="176">
        <f ca="1">ROUND(+bereken!J38,2)</f>
        <v>0</v>
      </c>
      <c r="O98" s="87"/>
      <c r="P98" s="68"/>
      <c r="R98" s="32"/>
      <c r="T98" s="33"/>
      <c r="U98" s="33"/>
      <c r="V98" s="34"/>
    </row>
    <row r="99" spans="2:22">
      <c r="B99" s="11"/>
      <c r="C99" s="100"/>
      <c r="D99" s="95" t="s">
        <v>9</v>
      </c>
      <c r="E99" s="95"/>
      <c r="F99" s="95"/>
      <c r="G99" s="163">
        <f>SUM(G96:G98)</f>
        <v>0</v>
      </c>
      <c r="H99" s="95"/>
      <c r="I99" s="95"/>
      <c r="J99" s="95"/>
      <c r="K99" s="95" t="s">
        <v>9</v>
      </c>
      <c r="L99" s="95"/>
      <c r="M99" s="95"/>
      <c r="N99" s="163">
        <f>SUM(N96:N98)</f>
        <v>0</v>
      </c>
      <c r="O99" s="113"/>
      <c r="P99" s="68"/>
      <c r="R99" s="32"/>
      <c r="T99" s="33"/>
      <c r="U99" s="33"/>
      <c r="V99" s="34"/>
    </row>
    <row r="100" spans="2:22">
      <c r="B100" s="11"/>
      <c r="C100" s="85"/>
      <c r="D100" s="83"/>
      <c r="E100" s="83"/>
      <c r="F100" s="83"/>
      <c r="G100" s="106"/>
      <c r="H100" s="83"/>
      <c r="I100" s="83"/>
      <c r="J100" s="83"/>
      <c r="K100" s="83"/>
      <c r="L100" s="83"/>
      <c r="M100" s="83"/>
      <c r="N100" s="118"/>
      <c r="O100" s="87"/>
      <c r="P100" s="68"/>
      <c r="R100" s="32"/>
      <c r="T100" s="33"/>
      <c r="U100" s="33"/>
      <c r="V100" s="34"/>
    </row>
    <row r="101" spans="2:22" s="29" customFormat="1">
      <c r="B101" s="15"/>
      <c r="C101" s="91"/>
      <c r="D101" s="135" t="s">
        <v>34</v>
      </c>
      <c r="E101" s="135"/>
      <c r="F101" s="135"/>
      <c r="G101" s="136" t="str">
        <f ca="1">tab!C2</f>
        <v>2011/12</v>
      </c>
      <c r="H101" s="92"/>
      <c r="I101" s="92"/>
      <c r="J101" s="92"/>
      <c r="K101" s="92"/>
      <c r="L101" s="92"/>
      <c r="M101" s="95"/>
      <c r="N101" s="92"/>
      <c r="O101" s="94"/>
      <c r="P101" s="16"/>
      <c r="R101" s="35"/>
      <c r="T101" s="36"/>
      <c r="U101" s="36"/>
      <c r="V101" s="37"/>
    </row>
    <row r="102" spans="2:22">
      <c r="B102" s="11"/>
      <c r="C102" s="85"/>
      <c r="D102" s="83" t="s">
        <v>19</v>
      </c>
      <c r="E102" s="83"/>
      <c r="F102" s="83"/>
      <c r="G102" s="176">
        <f>+G132</f>
        <v>0</v>
      </c>
      <c r="H102" s="83"/>
      <c r="I102" s="83"/>
      <c r="J102" s="83"/>
      <c r="K102" s="83"/>
      <c r="L102" s="83"/>
      <c r="M102" s="83"/>
      <c r="N102" s="83"/>
      <c r="O102" s="87"/>
      <c r="P102" s="68"/>
      <c r="R102" s="32"/>
      <c r="T102" s="33"/>
      <c r="U102" s="33"/>
      <c r="V102" s="34"/>
    </row>
    <row r="103" spans="2:22">
      <c r="B103" s="11"/>
      <c r="C103" s="85"/>
      <c r="D103" s="83" t="s">
        <v>20</v>
      </c>
      <c r="E103" s="83"/>
      <c r="F103" s="83"/>
      <c r="G103" s="176">
        <f>IF(G89=0,G97,G97+N97)</f>
        <v>0</v>
      </c>
      <c r="H103" s="83"/>
      <c r="I103" s="83"/>
      <c r="J103" s="83"/>
      <c r="K103" s="83"/>
      <c r="L103" s="83"/>
      <c r="M103" s="83"/>
      <c r="N103" s="83"/>
      <c r="O103" s="87"/>
      <c r="P103" s="68"/>
      <c r="R103" s="32"/>
      <c r="T103" s="33"/>
      <c r="U103" s="33"/>
      <c r="V103" s="34"/>
    </row>
    <row r="104" spans="2:22">
      <c r="B104" s="11"/>
      <c r="C104" s="85"/>
      <c r="D104" s="83" t="s">
        <v>162</v>
      </c>
      <c r="E104" s="83"/>
      <c r="F104" s="83"/>
      <c r="G104" s="176">
        <f>G98+N98</f>
        <v>0</v>
      </c>
      <c r="H104" s="83"/>
      <c r="I104" s="83"/>
      <c r="J104" s="83"/>
      <c r="K104" s="83"/>
      <c r="L104" s="83"/>
      <c r="M104" s="83"/>
      <c r="N104" s="83"/>
      <c r="O104" s="87"/>
      <c r="P104" s="68"/>
      <c r="R104" s="32"/>
      <c r="T104" s="33"/>
      <c r="U104" s="33"/>
      <c r="V104" s="34"/>
    </row>
    <row r="105" spans="2:22">
      <c r="B105" s="11"/>
      <c r="C105" s="85"/>
      <c r="D105" s="83" t="s">
        <v>21</v>
      </c>
      <c r="E105" s="83"/>
      <c r="F105" s="83"/>
      <c r="G105" s="176">
        <f>ROUND(IF(N89=0,0,0.75*(G96+N96-G132)),2)</f>
        <v>0</v>
      </c>
      <c r="H105" s="83"/>
      <c r="I105" s="83"/>
      <c r="J105" s="83"/>
      <c r="K105" s="83"/>
      <c r="L105" s="83"/>
      <c r="M105" s="83"/>
      <c r="N105" s="83"/>
      <c r="O105" s="87"/>
      <c r="P105" s="68"/>
      <c r="R105" s="32"/>
      <c r="T105" s="33"/>
      <c r="U105" s="33"/>
      <c r="V105" s="34"/>
    </row>
    <row r="106" spans="2:22">
      <c r="B106" s="11"/>
      <c r="C106" s="85"/>
      <c r="D106" s="83" t="s">
        <v>22</v>
      </c>
      <c r="E106" s="83"/>
      <c r="F106" s="83"/>
      <c r="G106" s="176">
        <f>IF(N89=0,G135,0)</f>
        <v>0</v>
      </c>
      <c r="H106" s="83"/>
      <c r="I106" s="83"/>
      <c r="J106" s="83"/>
      <c r="K106" s="83"/>
      <c r="L106" s="83"/>
      <c r="M106" s="83"/>
      <c r="N106" s="83"/>
      <c r="O106" s="87"/>
      <c r="P106" s="68"/>
      <c r="R106" s="32"/>
      <c r="T106" s="33"/>
      <c r="U106" s="33"/>
      <c r="V106" s="34"/>
    </row>
    <row r="107" spans="2:22">
      <c r="B107" s="11"/>
      <c r="C107" s="85"/>
      <c r="D107" s="95" t="s">
        <v>184</v>
      </c>
      <c r="E107" s="83"/>
      <c r="F107" s="83"/>
      <c r="G107" s="163">
        <f>SUM(G102:G106)</f>
        <v>0</v>
      </c>
      <c r="H107" s="83"/>
      <c r="I107" s="83"/>
      <c r="J107" s="83"/>
      <c r="K107" s="83"/>
      <c r="L107" s="83"/>
      <c r="M107" s="83"/>
      <c r="N107" s="83"/>
      <c r="O107" s="87"/>
      <c r="P107" s="68"/>
      <c r="R107" s="32"/>
      <c r="T107" s="33"/>
      <c r="U107" s="33"/>
      <c r="V107" s="34"/>
    </row>
    <row r="108" spans="2:22">
      <c r="B108" s="11"/>
      <c r="C108" s="85"/>
      <c r="D108" s="95" t="s">
        <v>185</v>
      </c>
      <c r="E108" s="83"/>
      <c r="F108" s="83"/>
      <c r="G108" s="187">
        <f>+G137</f>
        <v>0</v>
      </c>
      <c r="H108" s="83"/>
      <c r="I108" s="83"/>
      <c r="J108" s="83"/>
      <c r="K108" s="83"/>
      <c r="L108" s="83"/>
      <c r="M108" s="83"/>
      <c r="N108" s="83"/>
      <c r="O108" s="87"/>
      <c r="P108" s="68"/>
      <c r="R108" s="32"/>
      <c r="T108" s="33"/>
      <c r="U108" s="33"/>
      <c r="V108" s="34"/>
    </row>
    <row r="109" spans="2:22">
      <c r="B109" s="11"/>
      <c r="C109" s="108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19"/>
      <c r="P109" s="68"/>
      <c r="R109" s="32"/>
      <c r="T109" s="33"/>
      <c r="U109" s="33"/>
      <c r="V109" s="34"/>
    </row>
    <row r="110" spans="2:22"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68"/>
      <c r="R110" s="32"/>
      <c r="T110" s="33"/>
      <c r="U110" s="33"/>
      <c r="V110" s="34"/>
    </row>
    <row r="111" spans="2:22" s="31" customFormat="1" ht="12.75" customHeight="1">
      <c r="B111" s="69"/>
      <c r="C111" s="70"/>
      <c r="D111" s="70"/>
      <c r="E111" s="70"/>
      <c r="F111" s="71"/>
      <c r="G111" s="70"/>
      <c r="H111" s="70"/>
      <c r="I111" s="70"/>
      <c r="J111" s="70"/>
      <c r="K111" s="70"/>
      <c r="L111" s="70"/>
      <c r="M111" s="71"/>
      <c r="N111" s="70"/>
      <c r="O111" s="17" t="s">
        <v>188</v>
      </c>
      <c r="P111" s="72"/>
    </row>
    <row r="112" spans="2:22">
      <c r="G112" s="33"/>
      <c r="U112" s="33"/>
      <c r="V112" s="34"/>
    </row>
    <row r="113" spans="2:22">
      <c r="G113" s="33"/>
      <c r="U113" s="33"/>
      <c r="V113" s="34"/>
    </row>
    <row r="114" spans="2:22">
      <c r="G114" s="33"/>
      <c r="U114" s="33"/>
      <c r="V114" s="34"/>
    </row>
    <row r="115" spans="2:22">
      <c r="P115" s="27"/>
      <c r="R115" s="32"/>
      <c r="T115" s="33"/>
      <c r="U115" s="33"/>
      <c r="V115" s="34"/>
    </row>
    <row r="116" spans="2:22">
      <c r="D116" s="27"/>
      <c r="E116" s="27"/>
      <c r="F116" s="27"/>
      <c r="P116" s="27"/>
      <c r="R116" s="32"/>
      <c r="T116" s="33"/>
      <c r="U116" s="33"/>
      <c r="V116" s="34"/>
    </row>
    <row r="117" spans="2:22">
      <c r="D117" s="122" t="s">
        <v>146</v>
      </c>
      <c r="E117" s="123"/>
      <c r="F117" s="123"/>
      <c r="G117" s="123"/>
      <c r="H117" s="123"/>
      <c r="I117" s="123"/>
      <c r="J117" s="123"/>
      <c r="K117" s="122" t="s">
        <v>147</v>
      </c>
      <c r="L117" s="123"/>
      <c r="M117" s="123"/>
      <c r="N117" s="123"/>
    </row>
    <row r="118" spans="2:22">
      <c r="D118" s="122"/>
      <c r="E118" s="123"/>
      <c r="F118" s="123"/>
      <c r="G118" s="123"/>
      <c r="H118" s="123"/>
      <c r="I118" s="123"/>
      <c r="J118" s="123"/>
      <c r="K118" s="122"/>
      <c r="L118" s="123"/>
      <c r="M118" s="123"/>
      <c r="N118" s="123"/>
    </row>
    <row r="119" spans="2:22">
      <c r="D119" s="123"/>
      <c r="E119" s="123"/>
      <c r="F119" s="123"/>
      <c r="G119" s="123"/>
      <c r="H119" s="123"/>
      <c r="I119" s="123"/>
      <c r="J119" s="123"/>
      <c r="K119" s="122" t="s">
        <v>107</v>
      </c>
      <c r="L119" s="123"/>
      <c r="M119" s="123"/>
      <c r="N119" s="124">
        <f>IF((G54+N54+G83)=0,0,ROUND(+(G53*G54+N53*N54+G82*G83)/(G54+N54+G83),2))</f>
        <v>0</v>
      </c>
    </row>
    <row r="120" spans="2:22">
      <c r="D120" s="123"/>
      <c r="E120" s="123"/>
      <c r="F120" s="123"/>
      <c r="G120" s="123"/>
      <c r="H120" s="123"/>
      <c r="I120" s="123"/>
      <c r="J120" s="123"/>
      <c r="K120" s="122" t="s">
        <v>108</v>
      </c>
      <c r="L120" s="123"/>
      <c r="M120" s="123"/>
      <c r="N120" s="125">
        <f>G54+N54+G83</f>
        <v>0</v>
      </c>
    </row>
    <row r="121" spans="2:22">
      <c r="D121" s="123"/>
      <c r="E121" s="123"/>
      <c r="F121" s="123"/>
      <c r="G121" s="123"/>
      <c r="H121" s="123"/>
      <c r="I121" s="123"/>
      <c r="J121" s="123"/>
      <c r="K121" s="122"/>
      <c r="L121" s="123"/>
      <c r="M121" s="123"/>
      <c r="N121" s="123"/>
    </row>
    <row r="122" spans="2:22">
      <c r="D122" s="123" t="s">
        <v>0</v>
      </c>
      <c r="E122" s="123"/>
      <c r="F122" s="123"/>
      <c r="G122" s="126">
        <f ca="1">+tab!$C4</f>
        <v>2010</v>
      </c>
      <c r="H122" s="123"/>
      <c r="I122" s="123"/>
      <c r="J122" s="123"/>
      <c r="K122" s="123" t="s">
        <v>0</v>
      </c>
      <c r="L122" s="123"/>
      <c r="M122" s="123"/>
      <c r="N122" s="126">
        <f ca="1">+tab!$C4</f>
        <v>2010</v>
      </c>
    </row>
    <row r="123" spans="2:22">
      <c r="B123" s="39"/>
      <c r="D123" s="123" t="s">
        <v>1</v>
      </c>
      <c r="E123" s="123"/>
      <c r="F123" s="123"/>
      <c r="G123" s="126">
        <f ca="1">+fusie!G87+fusie!N87</f>
        <v>0</v>
      </c>
      <c r="H123" s="123"/>
      <c r="I123" s="123"/>
      <c r="J123" s="123"/>
      <c r="K123" s="123" t="s">
        <v>1</v>
      </c>
      <c r="L123" s="123"/>
      <c r="M123" s="123"/>
      <c r="N123" s="126">
        <f>+G58+N58+G123</f>
        <v>0</v>
      </c>
    </row>
    <row r="124" spans="2:22">
      <c r="B124" s="39"/>
      <c r="D124" s="123" t="s">
        <v>2</v>
      </c>
      <c r="E124" s="123"/>
      <c r="F124" s="123"/>
      <c r="G124" s="126">
        <f ca="1">+fusie!G88+fusie!N88</f>
        <v>0</v>
      </c>
      <c r="H124" s="123"/>
      <c r="I124" s="123"/>
      <c r="J124" s="123"/>
      <c r="K124" s="123" t="s">
        <v>2</v>
      </c>
      <c r="L124" s="123"/>
      <c r="M124" s="123"/>
      <c r="N124" s="126">
        <f>+G59+N59+G124</f>
        <v>0</v>
      </c>
    </row>
    <row r="125" spans="2:22">
      <c r="C125" s="27"/>
      <c r="D125" s="122" t="s">
        <v>9</v>
      </c>
      <c r="E125" s="122"/>
      <c r="F125" s="122"/>
      <c r="G125" s="127">
        <f ca="1">SUM(G123:G124)</f>
        <v>0</v>
      </c>
      <c r="H125" s="122"/>
      <c r="I125" s="123"/>
      <c r="J125" s="122"/>
      <c r="K125" s="122" t="s">
        <v>9</v>
      </c>
      <c r="L125" s="122"/>
      <c r="M125" s="122"/>
      <c r="N125" s="127">
        <f>SUM(N123:N124)</f>
        <v>0</v>
      </c>
      <c r="O125" s="27"/>
    </row>
    <row r="126" spans="2:22">
      <c r="D126" s="123" t="s">
        <v>3</v>
      </c>
      <c r="E126" s="123"/>
      <c r="F126" s="128">
        <v>0.3</v>
      </c>
      <c r="G126" s="126">
        <f ca="1">+fusie!G90+fusie!N90</f>
        <v>0</v>
      </c>
      <c r="H126" s="123"/>
      <c r="I126" s="123"/>
      <c r="J126" s="123"/>
      <c r="K126" s="123" t="s">
        <v>3</v>
      </c>
      <c r="L126" s="123"/>
      <c r="M126" s="128">
        <v>0.3</v>
      </c>
      <c r="N126" s="126">
        <f>+G61+N61+G126</f>
        <v>0</v>
      </c>
    </row>
    <row r="127" spans="2:22">
      <c r="D127" s="123" t="s">
        <v>3</v>
      </c>
      <c r="E127" s="123"/>
      <c r="F127" s="128">
        <v>1.2</v>
      </c>
      <c r="G127" s="126">
        <f ca="1">+fusie!G91+fusie!N91</f>
        <v>0</v>
      </c>
      <c r="H127" s="123"/>
      <c r="I127" s="123"/>
      <c r="J127" s="123"/>
      <c r="K127" s="123" t="s">
        <v>3</v>
      </c>
      <c r="L127" s="123"/>
      <c r="M127" s="128">
        <v>1.2</v>
      </c>
      <c r="N127" s="126">
        <f>+G62+N62+G127</f>
        <v>0</v>
      </c>
    </row>
    <row r="128" spans="2:22" s="27" customFormat="1">
      <c r="D128" s="122" t="s">
        <v>156</v>
      </c>
      <c r="E128" s="122"/>
      <c r="F128" s="129">
        <f>SUM(G126:G127)</f>
        <v>0</v>
      </c>
      <c r="G128" s="199">
        <f>ROUND(IF(G130&gt;G125*0.8,G125*0.8,G130),0)</f>
        <v>0</v>
      </c>
      <c r="H128" s="122"/>
      <c r="I128" s="122"/>
      <c r="J128" s="122"/>
      <c r="K128" s="122" t="s">
        <v>156</v>
      </c>
      <c r="L128" s="122"/>
      <c r="M128" s="129">
        <f>SUM(N126:N127)</f>
        <v>0</v>
      </c>
      <c r="N128" s="199">
        <f>ROUND(IF(N130&gt;N125*0.8,N125*0.8,N130),0)</f>
        <v>0</v>
      </c>
    </row>
    <row r="129" spans="3:15">
      <c r="D129" s="123" t="s">
        <v>192</v>
      </c>
      <c r="E129" s="123"/>
      <c r="F129" s="123"/>
      <c r="G129" s="126" t="str">
        <f>G93</f>
        <v>nee</v>
      </c>
      <c r="H129" s="123"/>
      <c r="I129" s="123"/>
      <c r="J129" s="123"/>
      <c r="K129" s="123" t="s">
        <v>192</v>
      </c>
      <c r="L129" s="123"/>
      <c r="M129" s="123"/>
      <c r="N129" s="126" t="str">
        <f>G31</f>
        <v>nee</v>
      </c>
    </row>
    <row r="130" spans="3:15">
      <c r="D130" s="123"/>
      <c r="E130" s="123"/>
      <c r="F130" s="123"/>
      <c r="G130" s="198">
        <f ca="1">ROUND(IF((F126*G126+F127*G127-tab!$C$23*G125)&lt;0,0,F126*G126+F127*G127-tab!$C$23*G125),0)</f>
        <v>0</v>
      </c>
      <c r="H130" s="123"/>
      <c r="I130" s="123"/>
      <c r="J130" s="123"/>
      <c r="K130" s="123"/>
      <c r="L130" s="123"/>
      <c r="M130" s="123"/>
      <c r="N130" s="198">
        <f ca="1">ROUND(IF((M126*N126+M127*N127-tab!$C$23*N125)&lt;0,0,M126*N126+M127*N127-tab!$C$23*N125),0)</f>
        <v>0</v>
      </c>
    </row>
    <row r="131" spans="3:15">
      <c r="D131" s="122" t="s">
        <v>26</v>
      </c>
      <c r="E131" s="123"/>
      <c r="F131" s="123"/>
      <c r="G131" s="127" t="str">
        <f ca="1">tab!C2</f>
        <v>2011/12</v>
      </c>
      <c r="H131" s="123"/>
      <c r="I131" s="123"/>
      <c r="J131" s="123"/>
      <c r="K131" s="122" t="s">
        <v>29</v>
      </c>
      <c r="L131" s="123"/>
      <c r="M131" s="123"/>
      <c r="N131" s="127" t="str">
        <f ca="1">tab!C2</f>
        <v>2011/12</v>
      </c>
    </row>
    <row r="132" spans="3:15">
      <c r="D132" s="123" t="s">
        <v>19</v>
      </c>
      <c r="E132" s="123"/>
      <c r="F132" s="123"/>
      <c r="G132" s="130">
        <f ca="1">ROUND(+bereken!N34,2)</f>
        <v>0</v>
      </c>
      <c r="H132" s="123"/>
      <c r="I132" s="123"/>
      <c r="J132" s="123"/>
      <c r="K132" s="123" t="s">
        <v>19</v>
      </c>
      <c r="L132" s="123"/>
      <c r="M132" s="123"/>
      <c r="N132" s="131">
        <f ca="1">ROUND(+bereken!N52,2)</f>
        <v>0</v>
      </c>
    </row>
    <row r="133" spans="3:15">
      <c r="D133" s="123" t="s">
        <v>20</v>
      </c>
      <c r="E133" s="123"/>
      <c r="F133" s="123"/>
      <c r="G133" s="130">
        <f ca="1">ROUND(+bereken!N37,2)</f>
        <v>0</v>
      </c>
      <c r="H133" s="123"/>
      <c r="I133" s="123"/>
      <c r="J133" s="123"/>
      <c r="K133" s="123" t="s">
        <v>20</v>
      </c>
      <c r="L133" s="123"/>
      <c r="M133" s="123"/>
      <c r="N133" s="131">
        <f ca="1">ROUND(+bereken!N55,2)</f>
        <v>0</v>
      </c>
    </row>
    <row r="134" spans="3:15">
      <c r="D134" s="123" t="s">
        <v>162</v>
      </c>
      <c r="E134" s="123"/>
      <c r="F134" s="123"/>
      <c r="G134" s="130">
        <f ca="1">+G98+N98</f>
        <v>0</v>
      </c>
      <c r="H134" s="123"/>
      <c r="I134" s="123"/>
      <c r="J134" s="123"/>
      <c r="K134" s="123" t="s">
        <v>162</v>
      </c>
      <c r="L134" s="123"/>
      <c r="M134" s="123"/>
      <c r="N134" s="131">
        <f ca="1">ROUND(+bereken!N56,2)</f>
        <v>0</v>
      </c>
    </row>
    <row r="135" spans="3:15">
      <c r="D135" s="123" t="s">
        <v>22</v>
      </c>
      <c r="E135" s="123"/>
      <c r="F135" s="123"/>
      <c r="G135" s="130">
        <f ca="1">ROUND(IF(G125=0,0,bereken!N41),2)</f>
        <v>0</v>
      </c>
      <c r="H135" s="123"/>
      <c r="I135" s="123"/>
      <c r="J135" s="123"/>
      <c r="K135" s="123" t="s">
        <v>22</v>
      </c>
      <c r="L135" s="123"/>
      <c r="M135" s="123"/>
      <c r="N135" s="131">
        <f ca="1">ROUND(IF(N125=0,0,bereken!N59),2)</f>
        <v>0</v>
      </c>
    </row>
    <row r="136" spans="3:15">
      <c r="C136" s="27"/>
      <c r="D136" s="122" t="s">
        <v>184</v>
      </c>
      <c r="E136" s="122"/>
      <c r="F136" s="122"/>
      <c r="G136" s="132">
        <f ca="1">SUM(G132:G135)</f>
        <v>0</v>
      </c>
      <c r="H136" s="123"/>
      <c r="I136" s="123"/>
      <c r="J136" s="122"/>
      <c r="K136" s="122" t="s">
        <v>184</v>
      </c>
      <c r="L136" s="122"/>
      <c r="M136" s="122"/>
      <c r="N136" s="133">
        <f ca="1">SUM(N132:N135)</f>
        <v>0</v>
      </c>
      <c r="O136" s="27"/>
    </row>
    <row r="137" spans="3:15">
      <c r="D137" s="122" t="s">
        <v>185</v>
      </c>
      <c r="E137" s="123"/>
      <c r="F137" s="123"/>
      <c r="G137" s="130">
        <f ca="1">+bereken!N35</f>
        <v>0</v>
      </c>
      <c r="H137" s="123"/>
      <c r="I137" s="123"/>
      <c r="J137" s="123"/>
      <c r="K137" s="122" t="s">
        <v>185</v>
      </c>
      <c r="L137" s="123"/>
      <c r="M137" s="123"/>
      <c r="N137" s="131">
        <f ca="1">+bereken!N53</f>
        <v>0</v>
      </c>
    </row>
    <row r="138" spans="3:15">
      <c r="D138" s="75"/>
      <c r="E138" s="75"/>
      <c r="F138" s="75"/>
      <c r="G138" s="76"/>
      <c r="H138" s="75"/>
      <c r="I138" s="75"/>
      <c r="J138" s="75"/>
      <c r="K138" s="75"/>
      <c r="L138" s="75"/>
      <c r="M138" s="75"/>
      <c r="N138" s="76"/>
    </row>
  </sheetData>
  <sheetProtection password="DFB1" sheet="1" objects="1" scenarios="1"/>
  <phoneticPr fontId="0" type="noConversion"/>
  <dataValidations count="1">
    <dataValidation type="list" allowBlank="1" showInputMessage="1" showErrorMessage="1" sqref="G93 G31 N31 N64 G64 N93">
      <formula1>"ja,nee"</formula1>
    </dataValidation>
  </dataValidations>
  <pageMargins left="0.75" right="0.75" top="1" bottom="1" header="0.5" footer="0.5"/>
  <pageSetup paperSize="9" scale="65" orientation="portrait" r:id="rId1"/>
  <headerFooter alignWithMargins="0">
    <oddHeader>&amp;C&amp;"Arial,Vet"&amp;F</oddHeader>
    <oddFooter>&amp;L&amp;D&amp;R&amp;"Arial,Vet"&amp;P</oddFooter>
  </headerFooter>
  <rowBreaks count="1" manualBreakCount="1">
    <brk id="75" min="1" max="1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5"/>
  <dimension ref="B1:P122"/>
  <sheetViews>
    <sheetView zoomScale="85" zoomScaleNormal="85" zoomScaleSheetLayoutView="85" zoomScalePageLayoutView="70" workbookViewId="0">
      <selection activeCell="B2" sqref="B2"/>
    </sheetView>
  </sheetViews>
  <sheetFormatPr defaultRowHeight="12.75"/>
  <cols>
    <col min="1" max="1" width="3.7109375" style="18" customWidth="1"/>
    <col min="2" max="4" width="2.7109375" style="18" customWidth="1"/>
    <col min="5" max="5" width="40.7109375" style="18" customWidth="1"/>
    <col min="6" max="6" width="16.85546875" style="24" customWidth="1"/>
    <col min="7" max="7" width="5.7109375" style="18" customWidth="1"/>
    <col min="8" max="8" width="2.5703125" style="18" customWidth="1"/>
    <col min="9" max="9" width="40.7109375" style="18" customWidth="1"/>
    <col min="10" max="10" width="16.7109375" style="18" customWidth="1"/>
    <col min="11" max="11" width="5.7109375" style="18" customWidth="1"/>
    <col min="12" max="12" width="2.7109375" style="18" customWidth="1"/>
    <col min="13" max="13" width="40.7109375" style="18" customWidth="1"/>
    <col min="14" max="14" width="16.85546875" style="18" customWidth="1"/>
    <col min="15" max="15" width="2.7109375" style="18" customWidth="1"/>
    <col min="16" max="16" width="3" style="18" customWidth="1"/>
    <col min="17" max="17" width="9.140625" style="18"/>
    <col min="18" max="18" width="11.42578125" style="18" customWidth="1"/>
    <col min="19" max="19" width="9.28515625" style="18" bestFit="1" customWidth="1"/>
    <col min="20" max="20" width="9.42578125" style="18" bestFit="1" customWidth="1"/>
    <col min="21" max="21" width="12.42578125" style="18" bestFit="1" customWidth="1"/>
    <col min="22" max="22" width="11.5703125" style="18" customWidth="1"/>
    <col min="23" max="23" width="16.85546875" style="18" bestFit="1" customWidth="1"/>
    <col min="24" max="25" width="9.140625" style="18"/>
    <col min="26" max="28" width="9.42578125" style="18" bestFit="1" customWidth="1"/>
    <col min="29" max="29" width="10.7109375" style="18" customWidth="1"/>
    <col min="30" max="32" width="9.140625" style="18"/>
    <col min="33" max="34" width="9.42578125" style="18" bestFit="1" customWidth="1"/>
    <col min="35" max="35" width="10" style="18" bestFit="1" customWidth="1"/>
    <col min="36" max="36" width="11.28515625" style="18" bestFit="1" customWidth="1"/>
    <col min="37" max="41" width="9.140625" style="18"/>
    <col min="42" max="42" width="9.42578125" style="18" bestFit="1" customWidth="1"/>
    <col min="43" max="43" width="9.140625" style="18"/>
    <col min="44" max="44" width="10.42578125" style="18" bestFit="1" customWidth="1"/>
    <col min="45" max="45" width="9.140625" style="18"/>
    <col min="46" max="46" width="9.42578125" style="18" bestFit="1" customWidth="1"/>
    <col min="47" max="16384" width="9.140625" style="18"/>
  </cols>
  <sheetData>
    <row r="1" spans="2:16">
      <c r="F1" s="19"/>
      <c r="I1" s="20"/>
    </row>
    <row r="2" spans="2:16">
      <c r="B2" s="8"/>
      <c r="C2" s="9"/>
      <c r="D2" s="9"/>
      <c r="E2" s="9"/>
      <c r="F2" s="142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>
      <c r="B3" s="11"/>
      <c r="C3" s="12"/>
      <c r="D3" s="12"/>
      <c r="E3" s="12"/>
      <c r="F3" s="143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16" s="22" customFormat="1" ht="18.75">
      <c r="B4" s="144"/>
      <c r="C4" s="121" t="s">
        <v>143</v>
      </c>
      <c r="D4" s="14"/>
      <c r="E4" s="14"/>
      <c r="F4" s="145"/>
      <c r="G4" s="14"/>
      <c r="H4" s="14"/>
      <c r="I4" s="14"/>
      <c r="J4" s="14"/>
      <c r="K4" s="14"/>
      <c r="L4" s="14"/>
      <c r="M4" s="14"/>
      <c r="N4" s="14"/>
      <c r="O4" s="14"/>
      <c r="P4" s="146"/>
    </row>
    <row r="5" spans="2:16" ht="12.75" customHeight="1">
      <c r="B5" s="11"/>
      <c r="C5" s="12"/>
      <c r="D5" s="12"/>
      <c r="E5" s="12"/>
      <c r="F5" s="143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6" ht="12.75" customHeight="1">
      <c r="B6" s="11"/>
      <c r="C6" s="12"/>
      <c r="D6" s="12"/>
      <c r="E6" s="12"/>
      <c r="F6" s="143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12.75" customHeight="1">
      <c r="B7" s="11"/>
      <c r="C7" s="12"/>
      <c r="D7" s="12"/>
      <c r="E7" s="12"/>
      <c r="F7" s="143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2.75" customHeight="1">
      <c r="B8" s="11"/>
      <c r="C8" s="77"/>
      <c r="D8" s="78"/>
      <c r="E8" s="78"/>
      <c r="F8" s="152"/>
      <c r="G8" s="78"/>
      <c r="H8" s="78"/>
      <c r="I8" s="78"/>
      <c r="J8" s="153"/>
      <c r="K8" s="78"/>
      <c r="L8" s="78"/>
      <c r="M8" s="78"/>
      <c r="N8" s="78"/>
      <c r="O8" s="79"/>
      <c r="P8" s="13"/>
    </row>
    <row r="9" spans="2:16" s="23" customFormat="1" ht="12.75" customHeight="1">
      <c r="B9" s="15"/>
      <c r="C9" s="91"/>
      <c r="D9" s="135" t="s">
        <v>131</v>
      </c>
      <c r="E9" s="135"/>
      <c r="F9" s="136"/>
      <c r="G9" s="135"/>
      <c r="H9" s="135" t="s">
        <v>132</v>
      </c>
      <c r="I9" s="135"/>
      <c r="J9" s="157"/>
      <c r="K9" s="92"/>
      <c r="L9" s="92"/>
      <c r="M9" s="92"/>
      <c r="N9" s="92"/>
      <c r="O9" s="94"/>
      <c r="P9" s="16"/>
    </row>
    <row r="10" spans="2:16" ht="12.75" customHeight="1">
      <c r="B10" s="11"/>
      <c r="C10" s="85"/>
      <c r="D10" s="95" t="s">
        <v>8</v>
      </c>
      <c r="E10" s="83"/>
      <c r="F10" s="136" t="str">
        <f ca="1">+fusie!G66</f>
        <v>2011/12</v>
      </c>
      <c r="G10" s="83"/>
      <c r="H10" s="95" t="s">
        <v>8</v>
      </c>
      <c r="I10" s="83"/>
      <c r="J10" s="157" t="str">
        <f ca="1">+fusie!N66</f>
        <v>2011/12</v>
      </c>
      <c r="K10" s="83"/>
      <c r="L10" s="83"/>
      <c r="M10" s="83"/>
      <c r="N10" s="83"/>
      <c r="O10" s="87"/>
      <c r="P10" s="13"/>
    </row>
    <row r="11" spans="2:16" ht="12.75" customHeight="1">
      <c r="B11" s="11"/>
      <c r="C11" s="85"/>
      <c r="D11" s="95" t="s">
        <v>11</v>
      </c>
      <c r="E11" s="83"/>
      <c r="F11" s="99"/>
      <c r="G11" s="83"/>
      <c r="H11" s="95" t="s">
        <v>11</v>
      </c>
      <c r="I11" s="83"/>
      <c r="J11" s="89"/>
      <c r="K11" s="83"/>
      <c r="L11" s="83"/>
      <c r="M11" s="83"/>
      <c r="N11" s="83"/>
      <c r="O11" s="87"/>
      <c r="P11" s="13"/>
    </row>
    <row r="12" spans="2:16" ht="12.75" customHeight="1">
      <c r="B12" s="11"/>
      <c r="C12" s="85"/>
      <c r="D12" s="83" t="s">
        <v>12</v>
      </c>
      <c r="E12" s="83"/>
      <c r="F12" s="99"/>
      <c r="G12" s="83"/>
      <c r="H12" s="83" t="s">
        <v>12</v>
      </c>
      <c r="I12" s="83"/>
      <c r="J12" s="89"/>
      <c r="K12" s="83"/>
      <c r="L12" s="83"/>
      <c r="M12" s="83"/>
      <c r="N12" s="83"/>
      <c r="O12" s="87"/>
      <c r="P12" s="13"/>
    </row>
    <row r="13" spans="2:16" ht="12.75" customHeight="1">
      <c r="B13" s="11"/>
      <c r="C13" s="85"/>
      <c r="D13" s="83"/>
      <c r="E13" s="83" t="s">
        <v>15</v>
      </c>
      <c r="F13" s="176">
        <f ca="1">+fusie!G58*(tab!$C25+tab!$C26*fusie!G53)</f>
        <v>0</v>
      </c>
      <c r="G13" s="83"/>
      <c r="H13" s="83"/>
      <c r="I13" s="83" t="s">
        <v>15</v>
      </c>
      <c r="J13" s="176">
        <f ca="1">+fusie!N58*(tab!$C25+tab!$C26*fusie!N53)</f>
        <v>0</v>
      </c>
      <c r="K13" s="83"/>
      <c r="L13" s="83"/>
      <c r="M13" s="83"/>
      <c r="N13" s="83"/>
      <c r="O13" s="87"/>
      <c r="P13" s="13"/>
    </row>
    <row r="14" spans="2:16" ht="12.75" customHeight="1">
      <c r="B14" s="11"/>
      <c r="C14" s="85"/>
      <c r="D14" s="83"/>
      <c r="E14" s="83" t="s">
        <v>16</v>
      </c>
      <c r="F14" s="176">
        <f ca="1">+fusie!G59*(tab!$C27+tab!$C28*fusie!G53)</f>
        <v>0</v>
      </c>
      <c r="G14" s="83"/>
      <c r="H14" s="83"/>
      <c r="I14" s="83" t="s">
        <v>16</v>
      </c>
      <c r="J14" s="176">
        <f ca="1">+fusie!N59*(tab!$C27+tab!$C28*fusie!N53)</f>
        <v>0</v>
      </c>
      <c r="K14" s="83"/>
      <c r="L14" s="83"/>
      <c r="M14" s="83"/>
      <c r="N14" s="83"/>
      <c r="O14" s="87"/>
      <c r="P14" s="13"/>
    </row>
    <row r="15" spans="2:16" ht="12.75" customHeight="1">
      <c r="B15" s="11"/>
      <c r="C15" s="85"/>
      <c r="D15" s="83" t="s">
        <v>13</v>
      </c>
      <c r="E15" s="83"/>
      <c r="F15" s="98"/>
      <c r="G15" s="83"/>
      <c r="H15" s="83" t="s">
        <v>13</v>
      </c>
      <c r="I15" s="83"/>
      <c r="J15" s="98"/>
      <c r="K15" s="83"/>
      <c r="L15" s="83"/>
      <c r="M15" s="83"/>
      <c r="N15" s="83"/>
      <c r="O15" s="87"/>
      <c r="P15" s="13"/>
    </row>
    <row r="16" spans="2:16" ht="12.75" customHeight="1">
      <c r="B16" s="11"/>
      <c r="C16" s="85"/>
      <c r="D16" s="83"/>
      <c r="E16" s="83" t="s">
        <v>17</v>
      </c>
      <c r="F16" s="176">
        <f ca="1">IF(fusie!G60=0,0,IF(fusie!G60&gt;144,0,tab!$C31+tab!$C32*fusie!G53-(fusie!G60*(tab!$C33+tab!$C34*fusie!G53))))</f>
        <v>0</v>
      </c>
      <c r="G16" s="83"/>
      <c r="H16" s="83"/>
      <c r="I16" s="83" t="s">
        <v>17</v>
      </c>
      <c r="J16" s="176">
        <f ca="1">IF(fusie!N60=0,0,IF(fusie!N60&gt;144,0,tab!$C31+tab!$C32*fusie!N53-(fusie!N60*(tab!$C33+tab!$C34*fusie!N53))))</f>
        <v>0</v>
      </c>
      <c r="K16" s="83"/>
      <c r="L16" s="83"/>
      <c r="M16" s="83"/>
      <c r="N16" s="83"/>
      <c r="O16" s="87"/>
      <c r="P16" s="13"/>
    </row>
    <row r="17" spans="2:16" ht="12.75" customHeight="1">
      <c r="B17" s="11"/>
      <c r="C17" s="85"/>
      <c r="D17" s="83"/>
      <c r="E17" s="83" t="s">
        <v>105</v>
      </c>
      <c r="F17" s="176">
        <f ca="1">IF(fusie!G60=0,0,IF(fusie!G60&gt;tab!$C37,tab!$C39,tab!C38))</f>
        <v>0</v>
      </c>
      <c r="G17" s="83"/>
      <c r="H17" s="83"/>
      <c r="I17" s="83" t="s">
        <v>105</v>
      </c>
      <c r="J17" s="176">
        <f ca="1">IF(fusie!N60=0,0,IF(fusie!N60&gt;tab!$C37,tab!$C39,tab!C38))</f>
        <v>0</v>
      </c>
      <c r="K17" s="83"/>
      <c r="L17" s="83"/>
      <c r="M17" s="83"/>
      <c r="N17" s="83"/>
      <c r="O17" s="87"/>
      <c r="P17" s="13"/>
    </row>
    <row r="18" spans="2:16" ht="12.75" customHeight="1">
      <c r="B18" s="11"/>
      <c r="C18" s="85"/>
      <c r="D18" s="95" t="s">
        <v>14</v>
      </c>
      <c r="E18" s="83"/>
      <c r="F18" s="98"/>
      <c r="G18" s="83"/>
      <c r="H18" s="95" t="s">
        <v>14</v>
      </c>
      <c r="I18" s="83"/>
      <c r="J18" s="98"/>
      <c r="K18" s="83"/>
      <c r="L18" s="83"/>
      <c r="M18" s="83"/>
      <c r="N18" s="83"/>
      <c r="O18" s="87"/>
      <c r="P18" s="13"/>
    </row>
    <row r="19" spans="2:16" ht="12.75" customHeight="1">
      <c r="B19" s="11"/>
      <c r="C19" s="85"/>
      <c r="D19" s="83"/>
      <c r="E19" s="83" t="s">
        <v>18</v>
      </c>
      <c r="F19" s="176">
        <f ca="1">+fusie!G63*(tab!$C29+tab!$C30*fusie!G53)</f>
        <v>0</v>
      </c>
      <c r="G19" s="83"/>
      <c r="H19" s="83"/>
      <c r="I19" s="83" t="s">
        <v>18</v>
      </c>
      <c r="J19" s="176">
        <f ca="1">+fusie!N63*(tab!$C29+tab!$C30*fusie!N53)</f>
        <v>0</v>
      </c>
      <c r="K19" s="83"/>
      <c r="L19" s="83"/>
      <c r="M19" s="83"/>
      <c r="N19" s="83"/>
      <c r="O19" s="87"/>
      <c r="P19" s="13"/>
    </row>
    <row r="20" spans="2:16" ht="12.75" customHeight="1">
      <c r="B20" s="11"/>
      <c r="C20" s="85"/>
      <c r="D20" s="83"/>
      <c r="E20" s="83" t="s">
        <v>161</v>
      </c>
      <c r="F20" s="176">
        <f ca="1">IF(fusie!G64="ja",fusie!F63*tab!$C$22,0)</f>
        <v>0</v>
      </c>
      <c r="G20" s="83"/>
      <c r="H20" s="83"/>
      <c r="I20" s="83" t="s">
        <v>161</v>
      </c>
      <c r="J20" s="176">
        <f ca="1">IF(fusie!N64="ja",fusie!M63*tab!$C$22,0)</f>
        <v>0</v>
      </c>
      <c r="K20" s="83"/>
      <c r="L20" s="83"/>
      <c r="M20" s="83"/>
      <c r="N20" s="83"/>
      <c r="O20" s="87"/>
      <c r="P20" s="13"/>
    </row>
    <row r="21" spans="2:16" ht="12.75" customHeight="1">
      <c r="B21" s="11"/>
      <c r="C21" s="85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7"/>
      <c r="P21" s="13"/>
    </row>
    <row r="22" spans="2:16" ht="12.75" customHeight="1">
      <c r="B22" s="11"/>
      <c r="C22" s="85"/>
      <c r="D22" s="95" t="s">
        <v>106</v>
      </c>
      <c r="E22" s="83"/>
      <c r="F22" s="163">
        <f ca="1">IF(fusie!G60=0,0,ROUND(IF(SUM(F13:F20)&lt;(tab!$C35+tab!$C36*fusie!G53),tab!$C35+tab!$C36*fusie!G53,SUM(F13:F20)),2))</f>
        <v>0</v>
      </c>
      <c r="G22" s="83"/>
      <c r="H22" s="95" t="s">
        <v>106</v>
      </c>
      <c r="I22" s="83"/>
      <c r="J22" s="163">
        <f ca="1">IF(fusie!N60=0,0,ROUND(IF(SUM(J13:J20)&lt;(tab!$C35+tab!$C36*fusie!N53),tab!$C35+tab!$C36*fusie!N53,SUM(J13:J20)),2))</f>
        <v>0</v>
      </c>
      <c r="K22" s="83"/>
      <c r="L22" s="83"/>
      <c r="M22" s="83"/>
      <c r="N22" s="83"/>
      <c r="O22" s="87"/>
      <c r="P22" s="13"/>
    </row>
    <row r="23" spans="2:16" s="170" customFormat="1" ht="12.75" customHeight="1">
      <c r="B23" s="164"/>
      <c r="C23" s="165"/>
      <c r="D23" s="166" t="s">
        <v>36</v>
      </c>
      <c r="E23" s="166"/>
      <c r="F23" s="167">
        <f ca="1">IF(fusie!G60=0,0,ROUND(IF(SUM(F13:F20)&lt;(tab!$C35+tab!$C36*fusie!G53),(tab!$C35+tab!$C36*fusie!G53)-SUM(F13:F20),0),2))</f>
        <v>0</v>
      </c>
      <c r="G23" s="166"/>
      <c r="H23" s="166" t="s">
        <v>36</v>
      </c>
      <c r="I23" s="166"/>
      <c r="J23" s="167">
        <f ca="1">IF(fusie!N60=0,0,ROUND(IF(SUM(J13:J20)&lt;(tab!$C35+tab!$C36*fusie!N53),(tab!$C35+tab!$C36*fusie!N53)-SUM(J13:J20),0),2))</f>
        <v>0</v>
      </c>
      <c r="K23" s="166"/>
      <c r="L23" s="166"/>
      <c r="M23" s="166"/>
      <c r="N23" s="166"/>
      <c r="O23" s="168"/>
      <c r="P23" s="169"/>
    </row>
    <row r="24" spans="2:16" ht="12.75" customHeight="1">
      <c r="B24" s="11"/>
      <c r="C24" s="108"/>
      <c r="D24" s="109"/>
      <c r="E24" s="109"/>
      <c r="F24" s="154"/>
      <c r="G24" s="109"/>
      <c r="H24" s="109"/>
      <c r="I24" s="109"/>
      <c r="J24" s="154"/>
      <c r="K24" s="109"/>
      <c r="L24" s="109"/>
      <c r="M24" s="109"/>
      <c r="N24" s="109"/>
      <c r="O24" s="119"/>
      <c r="P24" s="13"/>
    </row>
    <row r="25" spans="2:16" ht="12.75" customHeight="1">
      <c r="B25" s="11"/>
      <c r="C25" s="12"/>
      <c r="D25" s="12"/>
      <c r="E25" s="12"/>
      <c r="F25" s="147"/>
      <c r="G25" s="12"/>
      <c r="H25" s="12"/>
      <c r="I25" s="12"/>
      <c r="J25" s="12"/>
      <c r="K25" s="12"/>
      <c r="L25" s="12"/>
      <c r="M25" s="12"/>
      <c r="N25" s="12"/>
      <c r="O25" s="12"/>
      <c r="P25" s="13"/>
    </row>
    <row r="26" spans="2:16" ht="12.75" customHeight="1">
      <c r="B26" s="11"/>
      <c r="C26" s="77"/>
      <c r="D26" s="78"/>
      <c r="E26" s="78"/>
      <c r="F26" s="153"/>
      <c r="G26" s="78"/>
      <c r="H26" s="78"/>
      <c r="I26" s="78"/>
      <c r="J26" s="153"/>
      <c r="K26" s="78"/>
      <c r="L26" s="78"/>
      <c r="M26" s="78"/>
      <c r="N26" s="153"/>
      <c r="O26" s="79"/>
      <c r="P26" s="13"/>
    </row>
    <row r="27" spans="2:16" s="162" customFormat="1" ht="12.75" customHeight="1">
      <c r="B27" s="158"/>
      <c r="C27" s="159"/>
      <c r="D27" s="135" t="s">
        <v>136</v>
      </c>
      <c r="E27" s="135"/>
      <c r="F27" s="157"/>
      <c r="G27" s="135"/>
      <c r="H27" s="135" t="s">
        <v>137</v>
      </c>
      <c r="I27" s="135"/>
      <c r="J27" s="157"/>
      <c r="K27" s="135"/>
      <c r="L27" s="135" t="s">
        <v>138</v>
      </c>
      <c r="M27" s="135"/>
      <c r="N27" s="157"/>
      <c r="O27" s="160"/>
      <c r="P27" s="161"/>
    </row>
    <row r="28" spans="2:16" ht="12.75" customHeight="1">
      <c r="B28" s="11"/>
      <c r="C28" s="85"/>
      <c r="D28" s="95" t="s">
        <v>8</v>
      </c>
      <c r="E28" s="83"/>
      <c r="F28" s="157" t="str">
        <f ca="1">+fusie!G95</f>
        <v>2011/12</v>
      </c>
      <c r="G28" s="83"/>
      <c r="H28" s="95" t="s">
        <v>8</v>
      </c>
      <c r="I28" s="83"/>
      <c r="J28" s="157" t="str">
        <f ca="1">+fusie!N95</f>
        <v>2011/12</v>
      </c>
      <c r="K28" s="83"/>
      <c r="L28" s="95" t="s">
        <v>8</v>
      </c>
      <c r="M28" s="83"/>
      <c r="N28" s="157" t="str">
        <f ca="1">+fusie!G131</f>
        <v>2011/12</v>
      </c>
      <c r="O28" s="87"/>
      <c r="P28" s="13"/>
    </row>
    <row r="29" spans="2:16" ht="12.75" customHeight="1">
      <c r="B29" s="11"/>
      <c r="C29" s="85"/>
      <c r="D29" s="95" t="s">
        <v>11</v>
      </c>
      <c r="E29" s="83"/>
      <c r="F29" s="89"/>
      <c r="G29" s="83"/>
      <c r="H29" s="95" t="s">
        <v>11</v>
      </c>
      <c r="I29" s="83"/>
      <c r="J29" s="89"/>
      <c r="K29" s="83"/>
      <c r="L29" s="95" t="s">
        <v>11</v>
      </c>
      <c r="M29" s="83"/>
      <c r="N29" s="89"/>
      <c r="O29" s="87"/>
      <c r="P29" s="13"/>
    </row>
    <row r="30" spans="2:16" ht="12.75" customHeight="1">
      <c r="B30" s="11"/>
      <c r="C30" s="85"/>
      <c r="D30" s="83" t="s">
        <v>12</v>
      </c>
      <c r="E30" s="83"/>
      <c r="F30" s="89"/>
      <c r="G30" s="83"/>
      <c r="H30" s="83" t="s">
        <v>12</v>
      </c>
      <c r="I30" s="83"/>
      <c r="J30" s="89"/>
      <c r="K30" s="83"/>
      <c r="L30" s="83" t="s">
        <v>12</v>
      </c>
      <c r="M30" s="83"/>
      <c r="N30" s="89"/>
      <c r="O30" s="87"/>
      <c r="P30" s="13"/>
    </row>
    <row r="31" spans="2:16" ht="12.75" customHeight="1">
      <c r="B31" s="11"/>
      <c r="C31" s="85"/>
      <c r="D31" s="83"/>
      <c r="E31" s="83" t="s">
        <v>15</v>
      </c>
      <c r="F31" s="176">
        <f ca="1">+fusie!G87*(tab!$C25+tab!$C26*fusie!G82)</f>
        <v>0</v>
      </c>
      <c r="G31" s="83"/>
      <c r="H31" s="83"/>
      <c r="I31" s="83" t="s">
        <v>15</v>
      </c>
      <c r="J31" s="176">
        <f ca="1">+fusie!N87*(tab!$C25+tab!$C26*fusie!G82)</f>
        <v>0</v>
      </c>
      <c r="K31" s="83"/>
      <c r="L31" s="83"/>
      <c r="M31" s="83" t="s">
        <v>15</v>
      </c>
      <c r="N31" s="176">
        <f ca="1">+fusie!G123*(tab!$C25+tab!$C26*fusie!G82)</f>
        <v>0</v>
      </c>
      <c r="O31" s="87"/>
      <c r="P31" s="13"/>
    </row>
    <row r="32" spans="2:16" ht="12.75" customHeight="1">
      <c r="B32" s="11"/>
      <c r="C32" s="85"/>
      <c r="D32" s="83"/>
      <c r="E32" s="83" t="s">
        <v>16</v>
      </c>
      <c r="F32" s="176">
        <f ca="1">+fusie!G88*(tab!$C27+tab!$C28*fusie!G82)</f>
        <v>0</v>
      </c>
      <c r="G32" s="83"/>
      <c r="H32" s="83"/>
      <c r="I32" s="83" t="s">
        <v>16</v>
      </c>
      <c r="J32" s="176">
        <f ca="1">+fusie!N88*(tab!$C27+tab!$C28*fusie!G82)</f>
        <v>0</v>
      </c>
      <c r="K32" s="83"/>
      <c r="L32" s="83"/>
      <c r="M32" s="83" t="s">
        <v>16</v>
      </c>
      <c r="N32" s="176">
        <f ca="1">+fusie!G124*(tab!$C27+tab!$C28*fusie!G82)</f>
        <v>0</v>
      </c>
      <c r="O32" s="87"/>
      <c r="P32" s="13"/>
    </row>
    <row r="33" spans="2:16" ht="12.75" customHeight="1">
      <c r="B33" s="11"/>
      <c r="C33" s="85"/>
      <c r="D33" s="83" t="s">
        <v>13</v>
      </c>
      <c r="E33" s="83"/>
      <c r="F33" s="98"/>
      <c r="G33" s="83"/>
      <c r="H33" s="83" t="s">
        <v>13</v>
      </c>
      <c r="I33" s="83"/>
      <c r="J33" s="98"/>
      <c r="K33" s="83"/>
      <c r="L33" s="83" t="s">
        <v>13</v>
      </c>
      <c r="M33" s="83"/>
      <c r="N33" s="98"/>
      <c r="O33" s="87"/>
      <c r="P33" s="13"/>
    </row>
    <row r="34" spans="2:16" ht="12.75" customHeight="1">
      <c r="B34" s="11"/>
      <c r="C34" s="85"/>
      <c r="D34" s="83"/>
      <c r="E34" s="83" t="s">
        <v>17</v>
      </c>
      <c r="F34" s="176">
        <f ca="1">IF(fusie!G89=0,0,IF(fusie!G89&gt;144,0,tab!$C31+tab!$C32*fusie!G82-(fusie!G89*(tab!$C33+tab!$C34*fusie!G82))))</f>
        <v>0</v>
      </c>
      <c r="G34" s="83"/>
      <c r="H34" s="83"/>
      <c r="I34" s="83" t="s">
        <v>17</v>
      </c>
      <c r="J34" s="176">
        <f ca="1">IF(fusie!N89=0,0,IF(fusie!N89&gt;144,0,tab!$C31+tab!$C32*fusie!G82-(fusie!N89*(tab!$C33+tab!$C34*fusie!G82))))</f>
        <v>0</v>
      </c>
      <c r="K34" s="83"/>
      <c r="L34" s="83"/>
      <c r="M34" s="83" t="s">
        <v>17</v>
      </c>
      <c r="N34" s="176">
        <f ca="1">IF(fusie!G125=0,0,IF(fusie!G125&gt;144,0,tab!$C31+tab!$C32*fusie!G82-(fusie!G125*(tab!$C33+tab!$C34*fusie!G82))))</f>
        <v>0</v>
      </c>
      <c r="O34" s="87"/>
      <c r="P34" s="13"/>
    </row>
    <row r="35" spans="2:16" ht="12.75" customHeight="1">
      <c r="B35" s="11"/>
      <c r="C35" s="85"/>
      <c r="D35" s="83"/>
      <c r="E35" s="83" t="s">
        <v>105</v>
      </c>
      <c r="F35" s="176">
        <f ca="1">IF(fusie!G89=0,0,IF(fusie!G89&gt;tab!$C37,tab!$C39,tab!C38))</f>
        <v>0</v>
      </c>
      <c r="G35" s="83"/>
      <c r="H35" s="83"/>
      <c r="I35" s="83" t="s">
        <v>105</v>
      </c>
      <c r="J35" s="176">
        <f ca="1">IF(fusie!N89=0,0,IF(fusie!N89&gt;tab!$C37,tab!$C39,tab!C38))</f>
        <v>0</v>
      </c>
      <c r="K35" s="83"/>
      <c r="L35" s="83"/>
      <c r="M35" s="83" t="s">
        <v>105</v>
      </c>
      <c r="N35" s="176">
        <f ca="1">IF(fusie!G125=0,0,IF(fusie!G125&gt;tab!$C37,tab!$C39,tab!C38))</f>
        <v>0</v>
      </c>
      <c r="O35" s="87"/>
      <c r="P35" s="13"/>
    </row>
    <row r="36" spans="2:16" ht="12.75" customHeight="1">
      <c r="B36" s="11"/>
      <c r="C36" s="85"/>
      <c r="D36" s="95" t="s">
        <v>14</v>
      </c>
      <c r="E36" s="83"/>
      <c r="F36" s="98"/>
      <c r="G36" s="83"/>
      <c r="H36" s="95" t="s">
        <v>14</v>
      </c>
      <c r="I36" s="83"/>
      <c r="J36" s="98"/>
      <c r="K36" s="83"/>
      <c r="L36" s="95" t="s">
        <v>14</v>
      </c>
      <c r="M36" s="83"/>
      <c r="N36" s="98"/>
      <c r="O36" s="87"/>
      <c r="P36" s="13"/>
    </row>
    <row r="37" spans="2:16" ht="12.75" customHeight="1">
      <c r="B37" s="11"/>
      <c r="C37" s="85"/>
      <c r="D37" s="83"/>
      <c r="E37" s="83" t="s">
        <v>18</v>
      </c>
      <c r="F37" s="176">
        <f ca="1">+fusie!G92*(tab!$C29+tab!$C30*fusie!G82)</f>
        <v>0</v>
      </c>
      <c r="G37" s="83"/>
      <c r="H37" s="83"/>
      <c r="I37" s="83" t="s">
        <v>18</v>
      </c>
      <c r="J37" s="176">
        <f ca="1">+fusie!N92*(tab!$C29+tab!$C30*fusie!G82)</f>
        <v>0</v>
      </c>
      <c r="K37" s="83"/>
      <c r="L37" s="83"/>
      <c r="M37" s="83" t="s">
        <v>18</v>
      </c>
      <c r="N37" s="176">
        <f ca="1">+fusie!G128*(tab!$C29+tab!$C30*fusie!G82)</f>
        <v>0</v>
      </c>
      <c r="O37" s="87"/>
      <c r="P37" s="13"/>
    </row>
    <row r="38" spans="2:16" ht="12.75" customHeight="1">
      <c r="B38" s="11"/>
      <c r="C38" s="85"/>
      <c r="D38" s="83"/>
      <c r="E38" s="83" t="s">
        <v>161</v>
      </c>
      <c r="F38" s="176">
        <f ca="1">IF(fusie!G93="ja",fusie!F92*tab!$C$22,0)</f>
        <v>0</v>
      </c>
      <c r="G38" s="83"/>
      <c r="H38" s="83"/>
      <c r="I38" s="83" t="s">
        <v>161</v>
      </c>
      <c r="J38" s="176">
        <f ca="1">IF(fusie!N93="ja",fusie!M92*tab!$C$22,0)</f>
        <v>0</v>
      </c>
      <c r="K38" s="83"/>
      <c r="L38" s="83"/>
      <c r="M38" s="83" t="s">
        <v>161</v>
      </c>
      <c r="N38" s="176">
        <f ca="1">IF(fusie!G129="ja",fusie!F128*tab!$C$22,0)</f>
        <v>0</v>
      </c>
      <c r="O38" s="87"/>
      <c r="P38" s="13"/>
    </row>
    <row r="39" spans="2:16" ht="12.75" customHeight="1">
      <c r="B39" s="11"/>
      <c r="C39" s="85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7"/>
      <c r="P39" s="13"/>
    </row>
    <row r="40" spans="2:16" ht="12.75" customHeight="1">
      <c r="B40" s="11"/>
      <c r="C40" s="85"/>
      <c r="D40" s="95" t="s">
        <v>106</v>
      </c>
      <c r="E40" s="83"/>
      <c r="F40" s="163">
        <f ca="1">IF(fusie!G89=0,0,ROUND(IF(SUM(F31:F38)&lt;(tab!$C35+tab!$C36*fusie!G82),tab!$C35+tab!$C36*fusie!G82,SUM(F31:F38)),2))</f>
        <v>0</v>
      </c>
      <c r="G40" s="83"/>
      <c r="H40" s="95" t="s">
        <v>106</v>
      </c>
      <c r="I40" s="83"/>
      <c r="J40" s="163">
        <f ca="1">IF(fusie!N89=0,0,ROUND(IF(SUM(J31:J38)&lt;(tab!$C35+tab!$C36*fusie!G82),tab!$C35+tab!$C36*fusie!G82,SUM(J31:J38)),2))</f>
        <v>0</v>
      </c>
      <c r="K40" s="83"/>
      <c r="L40" s="95" t="s">
        <v>106</v>
      </c>
      <c r="M40" s="83"/>
      <c r="N40" s="163">
        <f ca="1">IF(fusie!G125=0,0,ROUND(IF(SUM(N31:N38)&lt;(tab!$C35+tab!$C36*fusie!G82),tab!$C35+tab!$C36*fusie!G82,SUM(N31:N38)),2))</f>
        <v>0</v>
      </c>
      <c r="O40" s="87"/>
      <c r="P40" s="13"/>
    </row>
    <row r="41" spans="2:16" s="175" customFormat="1" ht="12.75" customHeight="1">
      <c r="B41" s="171"/>
      <c r="C41" s="172"/>
      <c r="D41" s="166" t="s">
        <v>36</v>
      </c>
      <c r="E41" s="166"/>
      <c r="F41" s="167">
        <f ca="1">IF(fusie!G89=0,0,ROUND(IF(SUM(F31:F38)&lt;(tab!$C35+tab!$C36*fusie!G82),(tab!$C35+tab!$C36*fusie!G82)-SUM(F31:F38),0),2))</f>
        <v>0</v>
      </c>
      <c r="G41" s="166"/>
      <c r="H41" s="166" t="s">
        <v>36</v>
      </c>
      <c r="I41" s="166"/>
      <c r="J41" s="167">
        <f ca="1">IF(fusie!N89=0,0,ROUND(IF(SUM(J31:J38)&lt;(tab!$C35+tab!$C36*fusie!G82),(tab!$C35+tab!$C36*fusie!G82)-SUM(J31:J38),0),2))</f>
        <v>0</v>
      </c>
      <c r="K41" s="166"/>
      <c r="L41" s="166" t="s">
        <v>36</v>
      </c>
      <c r="M41" s="166"/>
      <c r="N41" s="167">
        <f ca="1">IF(fusie!G125=0,0,ROUND(IF(SUM(N31:N38)&lt;(tab!$C35+tab!$C36*fusie!G82),(tab!$C35+tab!$C36*fusie!G82)-SUM(N31:N38),0),2))</f>
        <v>0</v>
      </c>
      <c r="O41" s="173"/>
      <c r="P41" s="174"/>
    </row>
    <row r="42" spans="2:16" ht="12.75" customHeight="1">
      <c r="B42" s="11"/>
      <c r="C42" s="108"/>
      <c r="D42" s="109"/>
      <c r="E42" s="109"/>
      <c r="F42" s="155"/>
      <c r="G42" s="109"/>
      <c r="H42" s="109"/>
      <c r="I42" s="109"/>
      <c r="J42" s="155"/>
      <c r="K42" s="109"/>
      <c r="L42" s="109"/>
      <c r="M42" s="109"/>
      <c r="N42" s="154"/>
      <c r="O42" s="119"/>
      <c r="P42" s="13"/>
    </row>
    <row r="43" spans="2:16" ht="12.75" customHeight="1">
      <c r="B43" s="11"/>
      <c r="C43" s="12"/>
      <c r="D43" s="12"/>
      <c r="E43" s="12"/>
      <c r="F43" s="147"/>
      <c r="G43" s="12"/>
      <c r="H43" s="12"/>
      <c r="I43" s="12"/>
      <c r="J43" s="12"/>
      <c r="K43" s="12"/>
      <c r="L43" s="12"/>
      <c r="M43" s="12"/>
      <c r="N43" s="12"/>
      <c r="O43" s="12"/>
      <c r="P43" s="13"/>
    </row>
    <row r="44" spans="2:16" ht="12.75" customHeight="1">
      <c r="B44" s="11"/>
      <c r="C44" s="77"/>
      <c r="D44" s="78"/>
      <c r="E44" s="78"/>
      <c r="F44" s="153"/>
      <c r="G44" s="78"/>
      <c r="H44" s="78"/>
      <c r="I44" s="78"/>
      <c r="J44" s="153"/>
      <c r="K44" s="78"/>
      <c r="L44" s="78"/>
      <c r="M44" s="78"/>
      <c r="N44" s="153"/>
      <c r="O44" s="79"/>
      <c r="P44" s="13"/>
    </row>
    <row r="45" spans="2:16" s="162" customFormat="1" ht="12.75" customHeight="1">
      <c r="B45" s="158"/>
      <c r="C45" s="159"/>
      <c r="D45" s="135" t="s">
        <v>133</v>
      </c>
      <c r="E45" s="135"/>
      <c r="F45" s="157"/>
      <c r="G45" s="135"/>
      <c r="H45" s="135" t="s">
        <v>134</v>
      </c>
      <c r="I45" s="135"/>
      <c r="J45" s="157"/>
      <c r="K45" s="135"/>
      <c r="L45" s="135" t="s">
        <v>135</v>
      </c>
      <c r="M45" s="135"/>
      <c r="N45" s="157"/>
      <c r="O45" s="160"/>
      <c r="P45" s="161"/>
    </row>
    <row r="46" spans="2:16" ht="12.75" customHeight="1">
      <c r="B46" s="11"/>
      <c r="C46" s="85"/>
      <c r="D46" s="95" t="s">
        <v>8</v>
      </c>
      <c r="E46" s="83"/>
      <c r="F46" s="157" t="str">
        <f ca="1">+fusie!G33</f>
        <v>2011/12</v>
      </c>
      <c r="G46" s="83"/>
      <c r="H46" s="95" t="s">
        <v>8</v>
      </c>
      <c r="I46" s="83"/>
      <c r="J46" s="157" t="str">
        <f ca="1">+fusie!G33</f>
        <v>2011/12</v>
      </c>
      <c r="K46" s="83"/>
      <c r="L46" s="95" t="s">
        <v>8</v>
      </c>
      <c r="M46" s="83"/>
      <c r="N46" s="157" t="str">
        <f ca="1">+fusie!N131</f>
        <v>2011/12</v>
      </c>
      <c r="O46" s="87"/>
      <c r="P46" s="13"/>
    </row>
    <row r="47" spans="2:16" ht="12.75" customHeight="1">
      <c r="B47" s="11"/>
      <c r="C47" s="85"/>
      <c r="D47" s="95" t="s">
        <v>11</v>
      </c>
      <c r="E47" s="83"/>
      <c r="F47" s="89"/>
      <c r="G47" s="83"/>
      <c r="H47" s="95" t="s">
        <v>11</v>
      </c>
      <c r="I47" s="83"/>
      <c r="J47" s="89"/>
      <c r="K47" s="83"/>
      <c r="L47" s="95" t="s">
        <v>11</v>
      </c>
      <c r="M47" s="83"/>
      <c r="N47" s="89"/>
      <c r="O47" s="87"/>
      <c r="P47" s="13"/>
    </row>
    <row r="48" spans="2:16" ht="12.75" customHeight="1">
      <c r="B48" s="11"/>
      <c r="C48" s="85"/>
      <c r="D48" s="83" t="s">
        <v>12</v>
      </c>
      <c r="E48" s="83"/>
      <c r="F48" s="89"/>
      <c r="G48" s="83"/>
      <c r="H48" s="83" t="s">
        <v>12</v>
      </c>
      <c r="I48" s="83"/>
      <c r="J48" s="89"/>
      <c r="K48" s="83"/>
      <c r="L48" s="83" t="s">
        <v>12</v>
      </c>
      <c r="M48" s="83"/>
      <c r="N48" s="89"/>
      <c r="O48" s="87"/>
      <c r="P48" s="13"/>
    </row>
    <row r="49" spans="2:16" ht="12.75" customHeight="1">
      <c r="B49" s="11"/>
      <c r="C49" s="85"/>
      <c r="D49" s="83"/>
      <c r="E49" s="83" t="s">
        <v>15</v>
      </c>
      <c r="F49" s="176">
        <f ca="1">+fusie!G25*(tab!$C25+tab!$C26*fusie!N119)</f>
        <v>0</v>
      </c>
      <c r="G49" s="83"/>
      <c r="H49" s="83"/>
      <c r="I49" s="83" t="s">
        <v>15</v>
      </c>
      <c r="J49" s="176">
        <f ca="1">+fusie!N25*(tab!$C25+tab!$C26*fusie!N119)</f>
        <v>0</v>
      </c>
      <c r="K49" s="83"/>
      <c r="L49" s="83"/>
      <c r="M49" s="83" t="s">
        <v>15</v>
      </c>
      <c r="N49" s="176">
        <f ca="1">+fusie!N123*(tab!$C25+tab!$C26*fusie!N119)</f>
        <v>0</v>
      </c>
      <c r="O49" s="87"/>
      <c r="P49" s="13"/>
    </row>
    <row r="50" spans="2:16" ht="12.75" customHeight="1">
      <c r="B50" s="11"/>
      <c r="C50" s="85"/>
      <c r="D50" s="83"/>
      <c r="E50" s="83" t="s">
        <v>16</v>
      </c>
      <c r="F50" s="176">
        <f ca="1">+fusie!G26*(tab!$C27+tab!$C28*fusie!N119)</f>
        <v>0</v>
      </c>
      <c r="G50" s="83"/>
      <c r="H50" s="83"/>
      <c r="I50" s="83" t="s">
        <v>16</v>
      </c>
      <c r="J50" s="176">
        <f ca="1">+fusie!N26*(tab!$C27+tab!$C28*fusie!N119)</f>
        <v>0</v>
      </c>
      <c r="K50" s="83"/>
      <c r="L50" s="83"/>
      <c r="M50" s="83" t="s">
        <v>16</v>
      </c>
      <c r="N50" s="176">
        <f ca="1">+fusie!N124*(tab!$C27+tab!$C28*fusie!N119)</f>
        <v>0</v>
      </c>
      <c r="O50" s="87"/>
      <c r="P50" s="13"/>
    </row>
    <row r="51" spans="2:16" ht="12.75" customHeight="1">
      <c r="B51" s="11"/>
      <c r="C51" s="85"/>
      <c r="D51" s="83" t="s">
        <v>13</v>
      </c>
      <c r="E51" s="83"/>
      <c r="F51" s="98"/>
      <c r="G51" s="83"/>
      <c r="H51" s="83" t="s">
        <v>13</v>
      </c>
      <c r="I51" s="83"/>
      <c r="J51" s="98"/>
      <c r="K51" s="83"/>
      <c r="L51" s="83" t="s">
        <v>13</v>
      </c>
      <c r="M51" s="83"/>
      <c r="N51" s="98"/>
      <c r="O51" s="87"/>
      <c r="P51" s="13"/>
    </row>
    <row r="52" spans="2:16" ht="12.75" customHeight="1">
      <c r="B52" s="11"/>
      <c r="C52" s="85"/>
      <c r="D52" s="83"/>
      <c r="E52" s="83" t="s">
        <v>17</v>
      </c>
      <c r="F52" s="176">
        <f ca="1">IF(fusie!G27=0,0,IF(fusie!G27&gt;144,0,tab!$C31+tab!$C32*fusie!N119-(fusie!G27*(tab!$C33+tab!$C34*fusie!N119))))</f>
        <v>0</v>
      </c>
      <c r="G52" s="83"/>
      <c r="H52" s="83"/>
      <c r="I52" s="83" t="s">
        <v>17</v>
      </c>
      <c r="J52" s="176">
        <f ca="1">IF(fusie!N27=0,0,IF(fusie!N27&gt;144,0,tab!$C31+tab!$C32*fusie!N119-(fusie!N27*(tab!$C33+tab!$C34*fusie!N119))))</f>
        <v>0</v>
      </c>
      <c r="K52" s="83"/>
      <c r="L52" s="83"/>
      <c r="M52" s="83" t="s">
        <v>17</v>
      </c>
      <c r="N52" s="176">
        <f ca="1">IF(fusie!N125=0,0,IF(fusie!N125&gt;144,0,tab!$C31+tab!$C32*fusie!N119-(fusie!N125*(tab!$C33+tab!$C34*fusie!N119))))</f>
        <v>0</v>
      </c>
      <c r="O52" s="87"/>
      <c r="P52" s="13"/>
    </row>
    <row r="53" spans="2:16" ht="12.75" customHeight="1">
      <c r="B53" s="11"/>
      <c r="C53" s="85"/>
      <c r="D53" s="83"/>
      <c r="E53" s="83" t="s">
        <v>105</v>
      </c>
      <c r="F53" s="176">
        <f ca="1">IF(fusie!G27=0,0,IF(fusie!G27&gt;tab!$C37,tab!$C39,tab!C38))</f>
        <v>0</v>
      </c>
      <c r="G53" s="83"/>
      <c r="H53" s="83"/>
      <c r="I53" s="83" t="s">
        <v>105</v>
      </c>
      <c r="J53" s="176">
        <f ca="1">IF(fusie!N27=0,0,IF(fusie!N27&gt;tab!$C37,tab!$C39,tab!C38))</f>
        <v>0</v>
      </c>
      <c r="K53" s="83"/>
      <c r="L53" s="83"/>
      <c r="M53" s="83" t="s">
        <v>105</v>
      </c>
      <c r="N53" s="176">
        <f ca="1">IF(fusie!N125=0,0,IF(fusie!N125&gt;tab!$C37,tab!$C39,tab!C38))</f>
        <v>0</v>
      </c>
      <c r="O53" s="87"/>
      <c r="P53" s="13"/>
    </row>
    <row r="54" spans="2:16" ht="12.75" customHeight="1">
      <c r="B54" s="11"/>
      <c r="C54" s="85"/>
      <c r="D54" s="95" t="s">
        <v>14</v>
      </c>
      <c r="E54" s="83"/>
      <c r="F54" s="98"/>
      <c r="G54" s="83"/>
      <c r="H54" s="95" t="s">
        <v>14</v>
      </c>
      <c r="I54" s="83"/>
      <c r="J54" s="98"/>
      <c r="K54" s="83"/>
      <c r="L54" s="95" t="s">
        <v>14</v>
      </c>
      <c r="M54" s="83"/>
      <c r="N54" s="98"/>
      <c r="O54" s="87"/>
      <c r="P54" s="13"/>
    </row>
    <row r="55" spans="2:16" ht="12.75" customHeight="1">
      <c r="B55" s="11"/>
      <c r="C55" s="85"/>
      <c r="D55" s="83"/>
      <c r="E55" s="83" t="s">
        <v>18</v>
      </c>
      <c r="F55" s="176">
        <f ca="1">+fusie!G30*(tab!$C29+tab!$C30*fusie!N119)</f>
        <v>0</v>
      </c>
      <c r="G55" s="83"/>
      <c r="H55" s="83"/>
      <c r="I55" s="83" t="s">
        <v>18</v>
      </c>
      <c r="J55" s="176">
        <f ca="1">+fusie!N30*(tab!$C29+tab!$C30*fusie!N119)</f>
        <v>0</v>
      </c>
      <c r="K55" s="83"/>
      <c r="L55" s="83"/>
      <c r="M55" s="83" t="s">
        <v>18</v>
      </c>
      <c r="N55" s="176">
        <f ca="1">+fusie!N128*(tab!$C29+tab!$C30*fusie!N119)</f>
        <v>0</v>
      </c>
      <c r="O55" s="87"/>
      <c r="P55" s="13"/>
    </row>
    <row r="56" spans="2:16" ht="12.75" customHeight="1">
      <c r="B56" s="11"/>
      <c r="C56" s="85"/>
      <c r="D56" s="83"/>
      <c r="E56" s="83" t="s">
        <v>161</v>
      </c>
      <c r="F56" s="176">
        <f ca="1">IF(fusie!G31="ja",fusie!F30*tab!$C$22,0)</f>
        <v>0</v>
      </c>
      <c r="G56" s="83"/>
      <c r="H56" s="83"/>
      <c r="I56" s="83" t="s">
        <v>161</v>
      </c>
      <c r="J56" s="176">
        <f ca="1">IF(fusie!N31="ja",fusie!M30*tab!$C$22,0)</f>
        <v>0</v>
      </c>
      <c r="K56" s="83"/>
      <c r="L56" s="83"/>
      <c r="M56" s="83" t="s">
        <v>161</v>
      </c>
      <c r="N56" s="176">
        <f ca="1">IF(fusie!N129="ja",fusie!M128*tab!$C$22,0)</f>
        <v>0</v>
      </c>
      <c r="O56" s="87"/>
      <c r="P56" s="13"/>
    </row>
    <row r="57" spans="2:16" ht="12.75" customHeight="1">
      <c r="B57" s="11"/>
      <c r="C57" s="85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7"/>
      <c r="P57" s="13"/>
    </row>
    <row r="58" spans="2:16" ht="12.75" customHeight="1">
      <c r="B58" s="11"/>
      <c r="C58" s="85"/>
      <c r="D58" s="95" t="s">
        <v>106</v>
      </c>
      <c r="E58" s="83"/>
      <c r="F58" s="163">
        <f ca="1">IF(fusie!G27=0,0,ROUND(IF(SUM(F49:F56)&lt;(tab!$C35+tab!$C36*fusie!N119),tab!$C35+tab!$C36*fusie!N119,SUM(F49:F56)),2))</f>
        <v>0</v>
      </c>
      <c r="G58" s="83"/>
      <c r="H58" s="95" t="s">
        <v>106</v>
      </c>
      <c r="I58" s="83"/>
      <c r="J58" s="163">
        <f ca="1">IF(fusie!N27=0,0,ROUND(IF(SUM(J49:J55)&lt;(tab!$C35+tab!$C36*fusie!N119),tab!$C35+tab!$C36*fusie!N119,SUM(J49:J55)),2))</f>
        <v>0</v>
      </c>
      <c r="K58" s="83"/>
      <c r="L58" s="95" t="s">
        <v>106</v>
      </c>
      <c r="M58" s="83"/>
      <c r="N58" s="163">
        <f ca="1">IF(fusie!N125=0,0,ROUND(IF(SUM(N49:N56)&lt;(tab!$C35+tab!$C36*fusie!N119),tab!$C35+tab!$C36*fusie!N119,SUM(N49:N56)),2))</f>
        <v>0</v>
      </c>
      <c r="O58" s="87"/>
      <c r="P58" s="13"/>
    </row>
    <row r="59" spans="2:16" s="175" customFormat="1" ht="12.75" customHeight="1">
      <c r="B59" s="171"/>
      <c r="C59" s="172"/>
      <c r="D59" s="166" t="s">
        <v>36</v>
      </c>
      <c r="E59" s="166"/>
      <c r="F59" s="167">
        <f ca="1">IF(fusie!G27=0,0,ROUND(IF(SUM(F49:F56)&lt;(tab!$C35+tab!$C36*fusie!N119),(tab!$C35+tab!$C36*fusie!N119)-SUM(F49:F56),0),2))</f>
        <v>0</v>
      </c>
      <c r="G59" s="166"/>
      <c r="H59" s="166" t="s">
        <v>36</v>
      </c>
      <c r="I59" s="166"/>
      <c r="J59" s="167">
        <f ca="1">IF(fusie!N27=0,0,ROUND(IF(SUM(J49:J55)&lt;(tab!$C35+tab!$C36*fusie!N119),(tab!$C35+tab!$C36*fusie!N119)-SUM(J49:J55),0),2))</f>
        <v>0</v>
      </c>
      <c r="K59" s="166"/>
      <c r="L59" s="166" t="s">
        <v>36</v>
      </c>
      <c r="M59" s="166"/>
      <c r="N59" s="167">
        <f ca="1">IF(fusie!N125=0,0,ROUND(IF(SUM(N49:N56)&lt;(tab!$C35+tab!$C36*fusie!N119),(tab!$C35+tab!$C36*fusie!N119)-SUM(N49:N56),0),2))</f>
        <v>0</v>
      </c>
      <c r="O59" s="168"/>
      <c r="P59" s="174"/>
    </row>
    <row r="60" spans="2:16" ht="12.75" customHeight="1">
      <c r="B60" s="11"/>
      <c r="C60" s="108"/>
      <c r="D60" s="109"/>
      <c r="E60" s="109"/>
      <c r="F60" s="155"/>
      <c r="G60" s="109"/>
      <c r="H60" s="109"/>
      <c r="I60" s="109"/>
      <c r="J60" s="155"/>
      <c r="K60" s="109"/>
      <c r="L60" s="109"/>
      <c r="M60" s="109"/>
      <c r="N60" s="156"/>
      <c r="O60" s="119"/>
      <c r="P60" s="13"/>
    </row>
    <row r="61" spans="2:16" ht="12.75" customHeight="1">
      <c r="B61" s="11"/>
      <c r="C61" s="12"/>
      <c r="D61" s="12"/>
      <c r="E61" s="12"/>
      <c r="F61" s="147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2:16" ht="12.75" customHeight="1">
      <c r="B62" s="148"/>
      <c r="C62" s="149"/>
      <c r="D62" s="149"/>
      <c r="E62" s="149"/>
      <c r="F62" s="150"/>
      <c r="G62" s="149"/>
      <c r="H62" s="149"/>
      <c r="I62" s="149"/>
      <c r="J62" s="149"/>
      <c r="K62" s="149"/>
      <c r="L62" s="149"/>
      <c r="M62" s="149"/>
      <c r="N62" s="149"/>
      <c r="O62" s="17" t="s">
        <v>188</v>
      </c>
      <c r="P62" s="151"/>
    </row>
    <row r="63" spans="2:16" ht="12.75" customHeight="1"/>
    <row r="64" spans="2:1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>
    <oddHeader>&amp;C&amp;"Arial,Vet"&amp;F</oddHeader>
    <oddFooter>&amp;L&amp;"Arial,Vet"&amp;D&amp;R&amp;"Arial,Vet"&amp;P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3"/>
  <dimension ref="A1:E39"/>
  <sheetViews>
    <sheetView zoomScale="85" zoomScaleNormal="85" zoomScaleSheetLayoutView="85" workbookViewId="0">
      <selection activeCell="C16" sqref="C16"/>
    </sheetView>
  </sheetViews>
  <sheetFormatPr defaultRowHeight="12.75"/>
  <cols>
    <col min="1" max="1" width="45.7109375" style="2" customWidth="1"/>
    <col min="2" max="2" width="2.7109375" style="2" customWidth="1"/>
    <col min="3" max="4" width="14.85546875" style="2" customWidth="1"/>
    <col min="5" max="16384" width="9.140625" style="2"/>
  </cols>
  <sheetData>
    <row r="1" spans="1:5" ht="12.75" customHeight="1">
      <c r="D1" s="1"/>
      <c r="E1" s="1"/>
    </row>
    <row r="2" spans="1:5" ht="12.75" customHeight="1">
      <c r="A2" s="2" t="s">
        <v>82</v>
      </c>
      <c r="B2" s="1"/>
      <c r="C2" s="194" t="s">
        <v>195</v>
      </c>
      <c r="D2" s="194" t="s">
        <v>206</v>
      </c>
    </row>
    <row r="3" spans="1:5" ht="12.75" customHeight="1">
      <c r="A3" s="2" t="s">
        <v>148</v>
      </c>
      <c r="B3" s="1"/>
      <c r="C3" s="140">
        <v>2011</v>
      </c>
      <c r="D3" s="140"/>
    </row>
    <row r="4" spans="1:5" ht="12.75" customHeight="1">
      <c r="A4" s="2" t="s">
        <v>149</v>
      </c>
      <c r="B4" s="1"/>
      <c r="C4" s="141">
        <v>2010</v>
      </c>
      <c r="D4" s="140"/>
    </row>
    <row r="5" spans="1:5" ht="12.75" customHeight="1">
      <c r="B5" s="1"/>
    </row>
    <row r="6" spans="1:5" ht="12.75" customHeight="1">
      <c r="A6" s="1"/>
      <c r="B6" s="1"/>
      <c r="C6" s="5"/>
      <c r="D6" s="5"/>
      <c r="E6" s="6"/>
    </row>
    <row r="7" spans="1:5" ht="12.75" customHeight="1">
      <c r="A7" s="1" t="s">
        <v>88</v>
      </c>
      <c r="C7" s="1"/>
      <c r="D7" s="1"/>
    </row>
    <row r="8" spans="1:5" ht="12.75" customHeight="1">
      <c r="A8" s="2" t="s">
        <v>4</v>
      </c>
      <c r="C8" s="2">
        <v>5.9499999999999997E-2</v>
      </c>
    </row>
    <row r="9" spans="1:5" ht="12.75" customHeight="1">
      <c r="A9" s="2" t="s">
        <v>5</v>
      </c>
      <c r="C9" s="2">
        <v>4.1399999999999999E-2</v>
      </c>
    </row>
    <row r="10" spans="1:5" ht="12.75" customHeight="1">
      <c r="A10" s="2" t="s">
        <v>91</v>
      </c>
      <c r="B10" s="1"/>
      <c r="C10" s="2">
        <v>5.0299999999999997E-2</v>
      </c>
    </row>
    <row r="11" spans="1:5" ht="12.75" customHeight="1">
      <c r="A11" s="2" t="s">
        <v>6</v>
      </c>
      <c r="B11" s="1"/>
      <c r="C11" s="2">
        <v>2.1507999999999998</v>
      </c>
    </row>
    <row r="12" spans="1:5" ht="12.75" customHeight="1">
      <c r="A12" s="2" t="s">
        <v>7</v>
      </c>
      <c r="B12" s="1"/>
      <c r="C12" s="2">
        <v>1.49E-2</v>
      </c>
    </row>
    <row r="13" spans="1:5" ht="12.75" customHeight="1">
      <c r="A13" s="3" t="s">
        <v>104</v>
      </c>
      <c r="C13" s="2">
        <v>2.6926999999999999</v>
      </c>
    </row>
    <row r="14" spans="1:5" ht="12.75" customHeight="1">
      <c r="B14" s="1"/>
    </row>
    <row r="15" spans="1:5" ht="12.75" customHeight="1">
      <c r="A15" s="3" t="s">
        <v>87</v>
      </c>
      <c r="C15" s="195">
        <v>40.26</v>
      </c>
    </row>
    <row r="16" spans="1:5" ht="12.75" customHeight="1">
      <c r="A16" s="3" t="s">
        <v>84</v>
      </c>
      <c r="C16" s="196">
        <v>57474.23</v>
      </c>
    </row>
    <row r="17" spans="1:3" ht="12.75" customHeight="1">
      <c r="A17" s="2" t="s">
        <v>83</v>
      </c>
      <c r="C17" s="196">
        <v>72066.73</v>
      </c>
    </row>
    <row r="18" spans="1:3" ht="12.75" customHeight="1">
      <c r="A18" s="4" t="s">
        <v>85</v>
      </c>
      <c r="C18" s="196">
        <v>27546.91</v>
      </c>
    </row>
    <row r="19" spans="1:3" ht="12.75" customHeight="1">
      <c r="A19" s="4" t="s">
        <v>86</v>
      </c>
      <c r="C19" s="196">
        <v>743.35</v>
      </c>
    </row>
    <row r="20" spans="1:3" ht="12.75" customHeight="1">
      <c r="A20" s="7" t="s">
        <v>186</v>
      </c>
      <c r="C20" s="196">
        <v>17674.5</v>
      </c>
    </row>
    <row r="21" spans="1:3" ht="12.75" customHeight="1">
      <c r="A21" s="7" t="s">
        <v>187</v>
      </c>
      <c r="C21" s="196">
        <v>32267</v>
      </c>
    </row>
    <row r="22" spans="1:3" ht="12.75" customHeight="1">
      <c r="A22" s="2" t="s">
        <v>160</v>
      </c>
      <c r="C22" s="197">
        <v>1679</v>
      </c>
    </row>
    <row r="23" spans="1:3">
      <c r="A23" s="2" t="s">
        <v>159</v>
      </c>
      <c r="C23" s="139">
        <v>0.06</v>
      </c>
    </row>
    <row r="25" spans="1:3" ht="12.75" customHeight="1">
      <c r="A25" s="2" t="s">
        <v>89</v>
      </c>
      <c r="C25" s="137">
        <f>ROUND(C18*C8,2)</f>
        <v>1639.04</v>
      </c>
    </row>
    <row r="26" spans="1:3">
      <c r="A26" s="2" t="s">
        <v>90</v>
      </c>
      <c r="C26" s="137">
        <f>ROUND(C8*C19,2)</f>
        <v>44.23</v>
      </c>
    </row>
    <row r="27" spans="1:3">
      <c r="A27" s="2" t="s">
        <v>92</v>
      </c>
      <c r="C27" s="137">
        <f>ROUND(C18*C9,2)</f>
        <v>1140.44</v>
      </c>
    </row>
    <row r="28" spans="1:3">
      <c r="A28" s="2" t="s">
        <v>93</v>
      </c>
      <c r="C28" s="137">
        <f>ROUND(C9*C19,2)</f>
        <v>30.77</v>
      </c>
    </row>
    <row r="29" spans="1:3">
      <c r="A29" s="2" t="s">
        <v>94</v>
      </c>
      <c r="C29" s="137">
        <f>ROUND(C18*C10,2)</f>
        <v>1385.61</v>
      </c>
    </row>
    <row r="30" spans="1:3">
      <c r="A30" s="2" t="s">
        <v>95</v>
      </c>
      <c r="C30" s="137">
        <f>ROUND(C10*C19,2)</f>
        <v>37.39</v>
      </c>
    </row>
    <row r="31" spans="1:3">
      <c r="A31" s="2" t="s">
        <v>96</v>
      </c>
      <c r="C31" s="137">
        <f>ROUND(C18*C11,2)</f>
        <v>59247.89</v>
      </c>
    </row>
    <row r="32" spans="1:3">
      <c r="A32" s="2" t="s">
        <v>97</v>
      </c>
      <c r="C32" s="137">
        <f>ROUND(C11*C19,2)</f>
        <v>1598.8</v>
      </c>
    </row>
    <row r="33" spans="1:3">
      <c r="A33" s="2" t="s">
        <v>98</v>
      </c>
      <c r="C33" s="137">
        <f>ROUND(C18*C12,2)</f>
        <v>410.45</v>
      </c>
    </row>
    <row r="34" spans="1:3">
      <c r="A34" s="2" t="s">
        <v>99</v>
      </c>
      <c r="C34" s="137">
        <f>ROUND(C12*C19,2)</f>
        <v>11.08</v>
      </c>
    </row>
    <row r="35" spans="1:3">
      <c r="A35" s="2" t="s">
        <v>100</v>
      </c>
      <c r="C35" s="137">
        <f>ROUND(C18*C13+C20,2)</f>
        <v>91850.06</v>
      </c>
    </row>
    <row r="36" spans="1:3">
      <c r="A36" s="2" t="s">
        <v>101</v>
      </c>
      <c r="C36" s="137">
        <f>ROUND(C19*C13,2)</f>
        <v>2001.62</v>
      </c>
    </row>
    <row r="37" spans="1:3">
      <c r="A37" s="2" t="s">
        <v>102</v>
      </c>
      <c r="C37" s="138">
        <v>97</v>
      </c>
    </row>
    <row r="38" spans="1:3">
      <c r="A38" s="2" t="s">
        <v>103</v>
      </c>
      <c r="C38" s="137">
        <f>C20</f>
        <v>17674.5</v>
      </c>
    </row>
    <row r="39" spans="1:3">
      <c r="A39" s="2" t="s">
        <v>169</v>
      </c>
      <c r="C39" s="137">
        <f>+C21</f>
        <v>32267</v>
      </c>
    </row>
  </sheetData>
  <phoneticPr fontId="0" type="noConversion"/>
  <pageMargins left="0.75" right="0.75" top="1" bottom="1" header="0.5" footer="0.5"/>
  <pageSetup paperSize="9" scale="65" orientation="portrait" r:id="rId1"/>
  <headerFooter alignWithMargins="0">
    <oddHeader>&amp;L&amp;"Arial,Vet"&amp;A&amp;C&amp;"Arial,Vet"&amp;F&amp;R&amp;"Arial,Vet"&amp;D</oddHeader>
    <oddFooter>&amp;L&amp;"Arial,Vet"vosabb&amp;R&amp;"Arial,Vet"&amp;P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toelichting</vt:lpstr>
      <vt:lpstr>fusie</vt:lpstr>
      <vt:lpstr>bereken</vt:lpstr>
      <vt:lpstr>tab</vt:lpstr>
      <vt:lpstr>bereken!Print_Area</vt:lpstr>
      <vt:lpstr>fusie!Print_Area</vt:lpstr>
      <vt:lpstr>tab!Print_Area</vt:lpstr>
      <vt:lpstr>toelichting!Print_Area</vt:lpstr>
    </vt:vector>
  </TitlesOfParts>
  <Company>VOS/ABB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lexmondg</cp:lastModifiedBy>
  <cp:lastPrinted>2011-05-09T14:34:21Z</cp:lastPrinted>
  <dcterms:created xsi:type="dcterms:W3CDTF">2000-03-25T21:08:55Z</dcterms:created>
  <dcterms:modified xsi:type="dcterms:W3CDTF">2011-11-28T10:47:59Z</dcterms:modified>
</cp:coreProperties>
</file>