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ThisWorkbook"/>
  <bookViews>
    <workbookView xWindow="-15" yWindow="0" windowWidth="7680" windowHeight="9255" tabRatio="681" activeTab="1"/>
  </bookViews>
  <sheets>
    <sheet name="toelichting" sheetId="4" r:id="rId1"/>
    <sheet name="bekostiging materieel" sheetId="1" r:id="rId2"/>
    <sheet name="Blad1" sheetId="5" state="hidden" r:id="rId3"/>
    <sheet name="tab" sheetId="2" r:id="rId4"/>
    <sheet name="Module1" sheetId="3" state="veryHidden" r:id="rId5"/>
  </sheets>
  <definedNames>
    <definedName name="_xlnm.Print_Area" localSheetId="1">'bekostiging materieel'!$B$2:$S$72</definedName>
    <definedName name="_xlnm.Print_Area" localSheetId="3">tab!$A$2:$L$70</definedName>
    <definedName name="_xlnm.Print_Area" localSheetId="0">toelichting!$A$1:$K$64</definedName>
    <definedName name="groepenleerlingennu">tab!$E$56:$E$105</definedName>
    <definedName name="vloeroppervlaknu">tab!$D$56:$D$105</definedName>
  </definedNames>
  <calcPr calcId="114210"/>
</workbook>
</file>

<file path=xl/calcChain.xml><?xml version="1.0" encoding="utf-8"?>
<calcChain xmlns="http://schemas.openxmlformats.org/spreadsheetml/2006/main">
  <c r="C34" i="2"/>
  <c r="D33"/>
  <c r="C32"/>
  <c r="D32"/>
  <c r="D34"/>
  <c r="E38" i="4"/>
  <c r="H58" i="1"/>
  <c r="H57"/>
  <c r="H55"/>
  <c r="H54"/>
  <c r="H16"/>
  <c r="H15"/>
  <c r="G38" i="2"/>
  <c r="F38"/>
  <c r="H81" i="1"/>
  <c r="H80"/>
  <c r="H78"/>
  <c r="H77"/>
  <c r="H67"/>
  <c r="H66"/>
  <c r="H64"/>
  <c r="H63"/>
  <c r="H22"/>
  <c r="H13"/>
  <c r="H12"/>
  <c r="G56"/>
  <c r="G49"/>
  <c r="G59"/>
  <c r="G61"/>
  <c r="G60"/>
  <c r="G65"/>
  <c r="G32"/>
  <c r="G39"/>
  <c r="G68"/>
  <c r="G79"/>
  <c r="G33"/>
  <c r="G40"/>
  <c r="G82"/>
  <c r="G84"/>
  <c r="G83"/>
  <c r="G14"/>
  <c r="G20"/>
  <c r="P38"/>
  <c r="G17"/>
  <c r="G31"/>
  <c r="G38"/>
  <c r="P53"/>
  <c r="P55"/>
  <c r="H56"/>
  <c r="H49"/>
  <c r="H59"/>
  <c r="H65"/>
  <c r="H32"/>
  <c r="H39"/>
  <c r="H68"/>
  <c r="H79"/>
  <c r="H82"/>
  <c r="H10"/>
  <c r="Q12"/>
  <c r="G10"/>
  <c r="P12"/>
  <c r="C5"/>
  <c r="P11"/>
  <c r="G4"/>
  <c r="C20" i="2"/>
  <c r="H23" i="1"/>
  <c r="E42" i="4"/>
  <c r="C7" i="5"/>
  <c r="C8"/>
  <c r="C9"/>
  <c r="C10"/>
  <c r="C6"/>
  <c r="F62" i="2"/>
  <c r="G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D30" i="1"/>
  <c r="D37"/>
  <c r="D36"/>
  <c r="D33"/>
  <c r="D40"/>
  <c r="D32"/>
  <c r="D39"/>
  <c r="D31"/>
  <c r="D38"/>
  <c r="G61" i="2"/>
  <c r="G60"/>
  <c r="G59"/>
  <c r="G58"/>
  <c r="C15"/>
  <c r="D15"/>
  <c r="D20"/>
  <c r="D40"/>
  <c r="C45"/>
  <c r="D45"/>
  <c r="H33" i="1"/>
  <c r="H40"/>
  <c r="H17"/>
  <c r="H46"/>
  <c r="G45"/>
  <c r="H70"/>
  <c r="H69"/>
  <c r="G70"/>
  <c r="G69"/>
  <c r="H84"/>
  <c r="H83"/>
  <c r="G46"/>
  <c r="G47"/>
  <c r="G30"/>
  <c r="G37"/>
  <c r="H48"/>
  <c r="G48"/>
  <c r="G50"/>
  <c r="H45"/>
  <c r="H61"/>
  <c r="H60"/>
  <c r="H31"/>
  <c r="H38"/>
  <c r="H14"/>
  <c r="H47"/>
  <c r="H50"/>
  <c r="G52"/>
  <c r="G51"/>
  <c r="G19"/>
  <c r="G18"/>
  <c r="G29"/>
  <c r="P54"/>
  <c r="P56"/>
  <c r="P37"/>
  <c r="P36"/>
  <c r="P39"/>
  <c r="P34"/>
  <c r="P32"/>
  <c r="P45"/>
  <c r="P46"/>
  <c r="P47"/>
  <c r="P48"/>
  <c r="P30"/>
  <c r="P40"/>
  <c r="P41"/>
  <c r="P35"/>
  <c r="P31"/>
  <c r="H24"/>
  <c r="Q54"/>
  <c r="P33"/>
  <c r="C40" i="2"/>
  <c r="C47"/>
  <c r="F34"/>
  <c r="G34"/>
  <c r="C38" i="4"/>
  <c r="D47" i="2"/>
  <c r="D24"/>
  <c r="E5" i="5"/>
  <c r="F11"/>
  <c r="C24" i="2"/>
  <c r="D5" i="5"/>
  <c r="F63" i="2"/>
  <c r="G85" i="1"/>
  <c r="H52"/>
  <c r="H51"/>
  <c r="H19"/>
  <c r="H18"/>
  <c r="H29"/>
  <c r="H36"/>
  <c r="H30"/>
  <c r="P42"/>
  <c r="Q31"/>
  <c r="Q32"/>
  <c r="Q37"/>
  <c r="Q53"/>
  <c r="Q40"/>
  <c r="Q45"/>
  <c r="Q30"/>
  <c r="Q41"/>
  <c r="Q55"/>
  <c r="H37"/>
  <c r="H85"/>
  <c r="Q56"/>
  <c r="Q36"/>
  <c r="Q33"/>
  <c r="Q46"/>
  <c r="Q39"/>
  <c r="Q38"/>
  <c r="Q35"/>
  <c r="Q47"/>
  <c r="Q34"/>
  <c r="P50"/>
  <c r="F10" i="5"/>
  <c r="F12"/>
  <c r="F7"/>
  <c r="F9"/>
  <c r="F8"/>
  <c r="F6"/>
  <c r="F64" i="2"/>
  <c r="G63"/>
  <c r="G36" i="1"/>
  <c r="P14"/>
  <c r="P20"/>
  <c r="Q20"/>
  <c r="P15"/>
  <c r="Q15"/>
  <c r="P16"/>
  <c r="Q16"/>
  <c r="Q48"/>
  <c r="P24"/>
  <c r="Q24"/>
  <c r="P21"/>
  <c r="Q21"/>
  <c r="Q42"/>
  <c r="Q50"/>
  <c r="P19"/>
  <c r="Q19"/>
  <c r="F65" i="2"/>
  <c r="G64"/>
  <c r="Q14" i="1"/>
  <c r="P17"/>
  <c r="Q22"/>
  <c r="P22"/>
  <c r="Q17"/>
  <c r="F66" i="2"/>
  <c r="G65"/>
  <c r="P26" i="1"/>
  <c r="G66" i="2"/>
  <c r="F67"/>
  <c r="P59" i="1"/>
  <c r="N59"/>
  <c r="P62"/>
  <c r="Q26"/>
  <c r="Q59"/>
  <c r="P63"/>
  <c r="P65"/>
  <c r="F68" i="2"/>
  <c r="G67"/>
  <c r="F69"/>
  <c r="G68"/>
  <c r="G69"/>
  <c r="F70"/>
  <c r="F71"/>
  <c r="G70"/>
  <c r="G71"/>
  <c r="F72"/>
  <c r="G72"/>
  <c r="F73"/>
  <c r="G73"/>
  <c r="F74"/>
  <c r="G74"/>
  <c r="F75"/>
  <c r="G75"/>
  <c r="F76"/>
  <c r="G76"/>
  <c r="F77"/>
  <c r="G77"/>
  <c r="F78"/>
  <c r="F79"/>
  <c r="G78"/>
  <c r="G79"/>
  <c r="F80"/>
  <c r="F81"/>
  <c r="G80"/>
  <c r="G81"/>
  <c r="F82"/>
  <c r="F83"/>
  <c r="G82"/>
  <c r="G83"/>
  <c r="F84"/>
  <c r="F85"/>
  <c r="G84"/>
  <c r="G85"/>
  <c r="F86"/>
  <c r="F87"/>
  <c r="G86"/>
  <c r="F88"/>
  <c r="G87"/>
  <c r="G88"/>
  <c r="F89"/>
  <c r="G89"/>
  <c r="F90"/>
  <c r="G90"/>
  <c r="F91"/>
  <c r="F92"/>
  <c r="G91"/>
  <c r="G92"/>
  <c r="F93"/>
  <c r="G93"/>
  <c r="F94"/>
  <c r="G94"/>
  <c r="F95"/>
  <c r="G95"/>
  <c r="F96"/>
  <c r="F97"/>
  <c r="G96"/>
  <c r="G97"/>
  <c r="F98"/>
  <c r="G98"/>
  <c r="F99"/>
  <c r="F100"/>
  <c r="G99"/>
  <c r="G100"/>
  <c r="F101"/>
  <c r="G101"/>
  <c r="F102"/>
  <c r="F103"/>
  <c r="G102"/>
  <c r="G103"/>
  <c r="F104"/>
  <c r="F105"/>
  <c r="G105"/>
  <c r="G104"/>
</calcChain>
</file>

<file path=xl/comments1.xml><?xml version="1.0" encoding="utf-8"?>
<comments xmlns="http://schemas.openxmlformats.org/spreadsheetml/2006/main">
  <authors>
    <author>Een tevreden gebruiker van Microsoft Office</author>
    <author>ReinierG</author>
  </authors>
  <commentList>
    <comment ref="D22" authorId="0">
      <text>
        <r>
          <rPr>
            <sz val="8"/>
            <color indexed="81"/>
            <rFont val="Tahoma"/>
            <family val="2"/>
          </rPr>
          <t xml:space="preserve">Noat-leerlingen: ll. 1 okt. telformulier Cfi vraag 2 behoudens de ll. uit Suriname, de Ned. Antillen en Aruba.
Bij toepassing groeiregeling blijven gegevens van 1 oktober voor NOAT ongewijzigd. </t>
        </r>
      </text>
    </comment>
    <comment ref="D23" authorId="1">
      <text>
        <r>
          <rPr>
            <sz val="8"/>
            <color indexed="81"/>
            <rFont val="Tahoma"/>
            <family val="2"/>
          </rPr>
          <t xml:space="preserve">
Als de school participeert in een WSNS samenwerkingsverband verband </t>
        </r>
        <r>
          <rPr>
            <b/>
            <sz val="8"/>
            <color indexed="81"/>
            <rFont val="Tahoma"/>
            <family val="2"/>
          </rPr>
          <t>zonder</t>
        </r>
        <r>
          <rPr>
            <sz val="8"/>
            <color indexed="81"/>
            <rFont val="Tahoma"/>
            <family val="2"/>
          </rPr>
          <t xml:space="preserve"> een school voor speciaal onderwijs (sbo), </t>
        </r>
        <r>
          <rPr>
            <b/>
            <sz val="8"/>
            <color indexed="81"/>
            <rFont val="Tahoma"/>
            <family val="2"/>
          </rPr>
          <t>alléén in  dat geval</t>
        </r>
        <r>
          <rPr>
            <sz val="8"/>
            <color indexed="81"/>
            <rFont val="Tahoma"/>
            <family val="2"/>
          </rPr>
          <t xml:space="preserve"> dient hier  'ja' ingevuld te worden. </t>
        </r>
      </text>
    </comment>
  </commentList>
</comments>
</file>

<file path=xl/sharedStrings.xml><?xml version="1.0" encoding="utf-8"?>
<sst xmlns="http://schemas.openxmlformats.org/spreadsheetml/2006/main" count="211" uniqueCount="155">
  <si>
    <t>totaal conform afrondingswijze CFI</t>
  </si>
  <si>
    <t>totaal leerlingafhankelijk</t>
  </si>
  <si>
    <t>groepen</t>
  </si>
  <si>
    <t>toename</t>
  </si>
  <si>
    <t>norm na 6</t>
  </si>
  <si>
    <t>extra na 13</t>
  </si>
  <si>
    <t>g.(1) Onderh., vervang. en vernieuw. meerjaarlijks</t>
  </si>
  <si>
    <t>g.(3) Onderh., vervang. en vernieuw. ICT</t>
  </si>
  <si>
    <t>g.(2) Onderh., vervang. en vernieuw. jaarlijks</t>
  </si>
  <si>
    <t>e. (1) Overige uitgaven</t>
  </si>
  <si>
    <t>e. (2) tussenschoolse opvang</t>
  </si>
  <si>
    <t xml:space="preserve">Aantal NOAT- leerlingen </t>
  </si>
  <si>
    <t>Aanvullende vergoeding NOAT</t>
  </si>
  <si>
    <t>Nevenvestiging 2</t>
  </si>
  <si>
    <t>Nevenvestiging 3</t>
  </si>
  <si>
    <t>aantal vestigingen (incl. hoofdvestiging)</t>
  </si>
  <si>
    <t>drempel gewichtenregeling</t>
  </si>
  <si>
    <t>Rijksbijdrage OCW- materieel</t>
  </si>
  <si>
    <t>a. Gebouw</t>
  </si>
  <si>
    <t>b. Tuin</t>
  </si>
  <si>
    <t>c. Schoonmaak</t>
  </si>
  <si>
    <t>School zonder nevenvestiging</t>
  </si>
  <si>
    <t>totaal + 3 %</t>
  </si>
  <si>
    <t>4-7 jaar</t>
  </si>
  <si>
    <t>vanaf 8 jaar</t>
  </si>
  <si>
    <t>Groepsafhankelijke PvE's</t>
  </si>
  <si>
    <t xml:space="preserve"> </t>
  </si>
  <si>
    <t>1. Onderhoud</t>
  </si>
  <si>
    <t>a. gebouw</t>
  </si>
  <si>
    <t>b. tuin</t>
  </si>
  <si>
    <t>c. schoonmaak</t>
  </si>
  <si>
    <t>2. Energie en water</t>
  </si>
  <si>
    <t>a. Electriciteitsverbruik</t>
  </si>
  <si>
    <t>b. Verwarming</t>
  </si>
  <si>
    <t>c. Waterverbruik</t>
  </si>
  <si>
    <t>3. Publiekrechtelijke heffingen</t>
  </si>
  <si>
    <t>Leerlingafhankelijke PvE's</t>
  </si>
  <si>
    <t>Middelen</t>
  </si>
  <si>
    <t>a. Medezeggenschap</t>
  </si>
  <si>
    <t>c. WA-verzekering</t>
  </si>
  <si>
    <t>d. Culturele vorming</t>
  </si>
  <si>
    <t>f. Dienstreizen</t>
  </si>
  <si>
    <t>h. Vervanging en aanpassing meubilair</t>
  </si>
  <si>
    <t>Administratie, beheer en bestuur</t>
  </si>
  <si>
    <t>a. Administratie</t>
  </si>
  <si>
    <t>b. Onderhoudsbeheer</t>
  </si>
  <si>
    <t>c. Beheer en bestuur</t>
  </si>
  <si>
    <t>2% leerlingen</t>
  </si>
  <si>
    <t>c.Waterverbruik</t>
  </si>
  <si>
    <t>3. Publiekrechtelijke heffingen (met uitzondering van OZB)</t>
  </si>
  <si>
    <t>Totaal</t>
  </si>
  <si>
    <t>b.Ouderbijdrage ihk medezeggenschap</t>
  </si>
  <si>
    <t>T</t>
  </si>
  <si>
    <t>C</t>
  </si>
  <si>
    <t>1. Middelen</t>
  </si>
  <si>
    <t>2. Administratie, beheer en bestuur</t>
  </si>
  <si>
    <t>Gewichtenregeling</t>
  </si>
  <si>
    <t>2. Energie/ water</t>
  </si>
  <si>
    <t>waarvan gewichtsleerling:</t>
  </si>
  <si>
    <t>NOAT</t>
  </si>
  <si>
    <t>totaal middelen</t>
  </si>
  <si>
    <t>Extra vergoeding (swv zonder sbo)</t>
  </si>
  <si>
    <t xml:space="preserve">totaal </t>
  </si>
  <si>
    <t>factor OB</t>
  </si>
  <si>
    <t>factor BB</t>
  </si>
  <si>
    <t>factor gewicht</t>
  </si>
  <si>
    <t>bedrag</t>
  </si>
  <si>
    <t xml:space="preserve">br. grondopp. </t>
  </si>
  <si>
    <t>(A)</t>
  </si>
  <si>
    <t>factor KST</t>
  </si>
  <si>
    <t>correctie KST</t>
  </si>
  <si>
    <t>Hoofdvestiging</t>
  </si>
  <si>
    <t xml:space="preserve">Schoolgewicht </t>
  </si>
  <si>
    <t>nee</t>
  </si>
  <si>
    <t>totaal</t>
  </si>
  <si>
    <t>bij bepalen 'G'</t>
  </si>
  <si>
    <t>nvt</t>
  </si>
  <si>
    <t>e. (3) BGZ</t>
  </si>
  <si>
    <t>Kalenderjaar</t>
  </si>
  <si>
    <t>BUDGET MATERIEEL (LONDO)</t>
  </si>
  <si>
    <t>SWV zonder SBO? (ja/ nee)</t>
  </si>
  <si>
    <t>Genormeerd aantal groepen</t>
  </si>
  <si>
    <t>Genormeerd bruto vloeroppervlak</t>
  </si>
  <si>
    <t>teldatum 1</t>
  </si>
  <si>
    <t>terldatum 2</t>
  </si>
  <si>
    <t>Leerlingtelling</t>
  </si>
  <si>
    <t>versie</t>
  </si>
  <si>
    <t>Desgewenst kunt u het model dus aanpassen, maar kennis van Excel is dan wel vereist.</t>
  </si>
  <si>
    <t xml:space="preserve">De invoer bij de aangegeven cellen spreekt voor zich. </t>
  </si>
  <si>
    <t>Alleen een kanttekening bij die invoer waar dat nodig is.</t>
  </si>
  <si>
    <t>verhoogd met 3% en afgerond naar beneden op een geheel getal met tenminste 13 leerlingen is</t>
  </si>
  <si>
    <t>toegenomen.</t>
  </si>
  <si>
    <t>Voor de bepaling van het aantal leerlingen op 1 maart wordt uitgegaan van de leeftijd van de desbe-</t>
  </si>
  <si>
    <t>treffende leerlingen op 1 oktober van het daaraan voorafgaande jaar, waarbij de leerlingen die op</t>
  </si>
  <si>
    <t>1 oktober van dat jaar nog 3 jaar waren, worden meegeteld bij het aantal leerlingen van 4 t/m 7 jaar.</t>
  </si>
  <si>
    <t>op het telformulier van Cfi voorkomen bij vraag 2 onder de categorie ‘Land van herkomst’,</t>
  </si>
  <si>
    <t xml:space="preserve">behoudens de leerlingen uit Suriname, de Nederlandse Antillen en Aruba. </t>
  </si>
  <si>
    <t xml:space="preserve">Voor deze opgave geldt dat bij toepassing van de groeidatum per 1 maart dit aantal leerlingen </t>
  </si>
  <si>
    <t>het aantal van 1 oktober blijft.</t>
  </si>
  <si>
    <t>van</t>
  </si>
  <si>
    <t>en</t>
  </si>
  <si>
    <t>per leerling in het programma van eisen 'Overige uitgaven'.</t>
  </si>
  <si>
    <t xml:space="preserve">en rond </t>
  </si>
  <si>
    <t>Dit is gedaan om meer inzicht te geven in de normering binnen dit programma van eisen.</t>
  </si>
  <si>
    <t>Tevens is in percentages aangegeven hoeveel een onderdeel is van het totaal van dit PvE.</t>
  </si>
  <si>
    <t>kosten van vervanging van ICT materiaal.</t>
  </si>
  <si>
    <t>deelneemt in een samenwerkingsverband WSNS waarin geen speciale school voor</t>
  </si>
  <si>
    <t xml:space="preserve">basisonderwijs deelneemt. </t>
  </si>
  <si>
    <t>Hebt u vragen of opmerkingen, adviezen enzovoorts dan zijn we daar nieuwsgierig naar. Neemt u</t>
  </si>
  <si>
    <t>Voor nadere info:</t>
  </si>
  <si>
    <t>Indien de bedragen worden aangepast, zullen we de applicatie aanpassen. U kunt dat desgewenst ook</t>
  </si>
  <si>
    <t>zelf doen nu u over het wachtwoord beschikt.</t>
  </si>
  <si>
    <t xml:space="preserve">De drempel in de gewichtenregeling is op 6,0% vastgesteld. </t>
  </si>
  <si>
    <t>uitgesplitst in meerjaarlijkse kosten, jaarlijkse kosten (vervanging) en ICT (incl. kennisnet).</t>
  </si>
  <si>
    <t>vast</t>
  </si>
  <si>
    <t>m2</t>
  </si>
  <si>
    <t>bekostiging</t>
  </si>
  <si>
    <t xml:space="preserve">De toekenning van middelen voor ICT wordt toegekend als een totaalbedrag. Daarin zitten tevens de </t>
  </si>
  <si>
    <t>www.poraad.nl</t>
  </si>
  <si>
    <t>totaal aanvullende vergoeding</t>
  </si>
  <si>
    <t xml:space="preserve">Aanvullende vergoeding </t>
  </si>
  <si>
    <t>% bovenschools</t>
  </si>
  <si>
    <t xml:space="preserve">Nevenvestiging </t>
  </si>
  <si>
    <t xml:space="preserve">Aanvullende vergoeding: </t>
  </si>
  <si>
    <t>SWV zonder sbo: zorgbudget materieel (2% ll.)</t>
  </si>
  <si>
    <t>Groeiregeling van toepassing?</t>
  </si>
  <si>
    <t>berekenen. Als de gegevens per vestiging worden ingevoerd wordt de vergoeding van hoofd-</t>
  </si>
  <si>
    <r>
      <t xml:space="preserve">Het model is beveiligd met het wachtwoord: </t>
    </r>
    <r>
      <rPr>
        <b/>
        <sz val="11"/>
        <rFont val="Calibri"/>
        <family val="2"/>
      </rPr>
      <t>poraad</t>
    </r>
    <r>
      <rPr>
        <sz val="11"/>
        <rFont val="Calibri"/>
        <family val="2"/>
      </rPr>
      <t xml:space="preserve"> </t>
    </r>
  </si>
  <si>
    <r>
      <t>Aantal leerlingen NOAT</t>
    </r>
    <r>
      <rPr>
        <sz val="11"/>
        <rFont val="Calibri"/>
        <family val="2"/>
      </rPr>
      <t>: Dit zijn anderstalige op een basisschool ingeschreven leerlingen die</t>
    </r>
  </si>
  <si>
    <r>
      <t xml:space="preserve">Bedrijfsgezondheidszorg: </t>
    </r>
    <r>
      <rPr>
        <sz val="11"/>
        <rFont val="Calibri"/>
        <family val="2"/>
      </rPr>
      <t xml:space="preserve">De bedrijfsgezondheidszorg (BGZ) is met ingang van 1 januari </t>
    </r>
  </si>
  <si>
    <r>
      <t xml:space="preserve">Tussenschoolse opvang: </t>
    </r>
    <r>
      <rPr>
        <sz val="11"/>
        <rFont val="Calibri"/>
        <family val="2"/>
      </rPr>
      <t xml:space="preserve">De tussenschoolse opvang is met ingang van 1 januari </t>
    </r>
  </si>
  <si>
    <r>
      <t>Onderhoud, vervanging en vernieuwing OLP:</t>
    </r>
    <r>
      <rPr>
        <sz val="11"/>
        <rFont val="Calibri"/>
        <family val="2"/>
      </rPr>
      <t xml:space="preserve"> Dit programma van eisen is </t>
    </r>
  </si>
  <si>
    <r>
      <t>Zorgbedrag per leerling</t>
    </r>
    <r>
      <rPr>
        <sz val="11"/>
        <rFont val="Calibri"/>
        <family val="2"/>
      </rPr>
      <t>: Sinds 1 januari 2007 gaat het zorgbedrag rechtstreeks naar het SWV.</t>
    </r>
  </si>
  <si>
    <t>overdracht naar bestuur</t>
  </si>
  <si>
    <t>Naam school</t>
  </si>
  <si>
    <t>Totaal baten materieel</t>
  </si>
  <si>
    <t>extra bekostiging OCW a.g.v. groei</t>
  </si>
  <si>
    <t xml:space="preserve">2003 opgenomen in de MI-vergoeding. Het betreft in prijzen van 2011 een vast bedrag </t>
  </si>
  <si>
    <t xml:space="preserve">2006 opgenomen in de MI-vergoeding. Het betreft in prijzen van 2011 een vast bedrag </t>
  </si>
  <si>
    <r>
      <t>SWV zonder sbo</t>
    </r>
    <r>
      <rPr>
        <sz val="11"/>
        <rFont val="Calibri"/>
        <family val="2"/>
      </rPr>
      <t>: Het betreft hier de (zeer weinig voorkomende) situatie dat de basisschool</t>
    </r>
  </si>
  <si>
    <t>PO-raad: Helpdesk</t>
  </si>
  <si>
    <t>en nevenvestiging(en) in één keer berekend en verkrijgt u het totale budget van de school.</t>
  </si>
  <si>
    <t>Alleen de witte cellen kunnen worden ingevuld.</t>
  </si>
  <si>
    <t>totaal administratie, beheer en bestuur</t>
  </si>
  <si>
    <t>Helpdesk</t>
  </si>
  <si>
    <t xml:space="preserve">Reinier Goedhart, e-mail: </t>
  </si>
  <si>
    <t>r.goedhart@poraad.nl</t>
  </si>
  <si>
    <r>
      <t>Nevenvestiging</t>
    </r>
    <r>
      <rPr>
        <sz val="11"/>
        <rFont val="Calibri"/>
        <family val="2"/>
      </rPr>
      <t>: Het is ook mogelijk de bekostiging incl. die voor de nevenvestiging(en) te</t>
    </r>
  </si>
  <si>
    <t>Basisschool</t>
  </si>
  <si>
    <t xml:space="preserve">In deze applicatie zijn de bedragen van de pve's voor 2012 verwerkt zoals gepubliceerd eind september 2011. </t>
  </si>
  <si>
    <r>
      <t>De indexering is bepaald op een verhoging van</t>
    </r>
    <r>
      <rPr>
        <b/>
        <sz val="11"/>
        <rFont val="Calibri"/>
        <family val="2"/>
      </rPr>
      <t xml:space="preserve"> 1,99%</t>
    </r>
  </si>
  <si>
    <r>
      <t>Teldatum</t>
    </r>
    <r>
      <rPr>
        <sz val="11"/>
        <rFont val="Calibri"/>
        <family val="2"/>
      </rPr>
      <t xml:space="preserve">: De invoer is standaard gesteld op </t>
    </r>
    <r>
      <rPr>
        <b/>
        <sz val="11"/>
        <rFont val="Calibri"/>
        <family val="2"/>
      </rPr>
      <t>1 oktober 2011</t>
    </r>
    <r>
      <rPr>
        <sz val="11"/>
        <rFont val="Calibri"/>
        <family val="2"/>
      </rPr>
      <t>. Bij toepassing van de groeiregeling</t>
    </r>
  </si>
  <si>
    <t>dienen ook de telgegevens van 1 maart 2012 ingevoerd te worden.</t>
  </si>
  <si>
    <t>De groeiregeling is van toepassing indien het aantal leerlingen van 1 oktober 2011,</t>
  </si>
  <si>
    <t>Handleiding bij applicatie Londo 2012 bas</t>
  </si>
</sst>
</file>

<file path=xl/styles.xml><?xml version="1.0" encoding="utf-8"?>
<styleSheet xmlns="http://schemas.openxmlformats.org/spreadsheetml/2006/main">
  <numFmts count="10">
    <numFmt numFmtId="168" formatCode="_(&quot;€&quot;\ * #,##0_);_(&quot;€&quot;\ * \(#,##0\);_(&quot;€&quot;\ * &quot;-&quot;_);_(@_)"/>
    <numFmt numFmtId="172" formatCode="&quot;€&quot;\ #,##0.00_-;[Red]&quot;€&quot;\ #,##0.00\-"/>
    <numFmt numFmtId="173" formatCode="_-&quot;€&quot;\ * #,##0_-;_-&quot;€&quot;\ * #,##0\-;_-&quot;€&quot;\ * &quot;-&quot;_-;_-@_-"/>
    <numFmt numFmtId="174" formatCode="_-&quot;€&quot;\ * #,##0.00_-;_-&quot;€&quot;\ * #,##0.00\-;_-&quot;€&quot;\ * &quot;-&quot;??_-;_-@_-"/>
    <numFmt numFmtId="175" formatCode="_-&quot;€&quot;\ * #,##0_-;_-&quot;€&quot;\ * #,##0\-;_-&quot;€&quot;\ * &quot;-&quot;??_-;_-@_-"/>
    <numFmt numFmtId="176" formatCode="&quot;€&quot;\ #,##0.00_-"/>
    <numFmt numFmtId="177" formatCode="&quot;€&quot;\ #,##0_-"/>
    <numFmt numFmtId="178" formatCode="0.0%"/>
    <numFmt numFmtId="179" formatCode="[$-413]d/mmm/yy;@"/>
    <numFmt numFmtId="180" formatCode="0.000%"/>
  </numFmts>
  <fonts count="38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i/>
      <sz val="10"/>
      <color indexed="53"/>
      <name val="Calibri"/>
      <family val="2"/>
    </font>
    <font>
      <b/>
      <sz val="10"/>
      <color indexed="53"/>
      <name val="Calibri"/>
      <family val="2"/>
    </font>
    <font>
      <b/>
      <sz val="10"/>
      <color indexed="47"/>
      <name val="Calibri"/>
      <family val="2"/>
    </font>
    <font>
      <b/>
      <sz val="10"/>
      <color indexed="9"/>
      <name val="Calibri"/>
      <family val="2"/>
    </font>
    <font>
      <b/>
      <sz val="14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sz val="11"/>
      <color indexed="12"/>
      <name val="Calibri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color indexed="9"/>
      <name val="Calibri"/>
      <family val="2"/>
    </font>
    <font>
      <u/>
      <sz val="11"/>
      <name val="Calibri"/>
      <family val="2"/>
    </font>
    <font>
      <b/>
      <sz val="14"/>
      <color indexed="60"/>
      <name val="Calibri"/>
      <family val="2"/>
    </font>
    <font>
      <b/>
      <sz val="10"/>
      <color indexed="60"/>
      <name val="Calibri"/>
      <family val="2"/>
    </font>
    <font>
      <sz val="10"/>
      <color indexed="60"/>
      <name val="Calibri"/>
      <family val="2"/>
    </font>
    <font>
      <b/>
      <i/>
      <sz val="10"/>
      <color indexed="60"/>
      <name val="Calibri"/>
      <family val="2"/>
    </font>
    <font>
      <i/>
      <sz val="10"/>
      <color indexed="60"/>
      <name val="Calibri"/>
      <family val="2"/>
    </font>
    <font>
      <b/>
      <i/>
      <sz val="10"/>
      <color indexed="60"/>
      <name val="Arial"/>
      <family val="2"/>
    </font>
    <font>
      <b/>
      <sz val="10"/>
      <color indexed="9"/>
      <name val="Calibri"/>
      <family val="2"/>
    </font>
    <font>
      <sz val="10"/>
      <color indexed="22"/>
      <name val="Calibri"/>
      <family val="2"/>
    </font>
    <font>
      <b/>
      <sz val="10"/>
      <color indexed="22"/>
      <name val="Calibri"/>
      <family val="2"/>
    </font>
    <font>
      <b/>
      <sz val="10"/>
      <color indexed="22"/>
      <name val="Calibri"/>
      <family val="2"/>
    </font>
    <font>
      <b/>
      <i/>
      <sz val="10"/>
      <color indexed="9"/>
      <name val="Calibri"/>
      <family val="2"/>
    </font>
    <font>
      <i/>
      <sz val="10"/>
      <color indexed="9"/>
      <name val="Calibri"/>
      <family val="2"/>
    </font>
    <font>
      <i/>
      <sz val="10"/>
      <color indexed="22"/>
      <name val="Calibri"/>
      <family val="2"/>
    </font>
    <font>
      <b/>
      <sz val="12"/>
      <color indexed="60"/>
      <name val="Calibri"/>
      <family val="2"/>
    </font>
    <font>
      <sz val="12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/>
      <top/>
      <bottom style="thin">
        <color indexed="4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5">
    <xf numFmtId="0" fontId="0" fillId="0" borderId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6">
    <xf numFmtId="0" fontId="0" fillId="0" borderId="0" xfId="0"/>
    <xf numFmtId="168" fontId="0" fillId="0" borderId="0" xfId="0" applyNumberFormat="1"/>
    <xf numFmtId="174" fontId="6" fillId="0" borderId="0" xfId="0" applyNumberFormat="1" applyFont="1" applyFill="1" applyBorder="1" applyProtection="1"/>
    <xf numFmtId="173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176" fontId="5" fillId="0" borderId="0" xfId="0" applyNumberFormat="1" applyFont="1" applyFill="1" applyBorder="1" applyProtection="1"/>
    <xf numFmtId="1" fontId="6" fillId="0" borderId="0" xfId="0" applyNumberFormat="1" applyFont="1" applyFill="1" applyBorder="1" applyProtection="1"/>
    <xf numFmtId="177" fontId="6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10" fontId="6" fillId="0" borderId="0" xfId="4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Alignment="1" applyProtection="1">
      <alignment horizontal="center"/>
    </xf>
    <xf numFmtId="174" fontId="5" fillId="0" borderId="0" xfId="0" applyNumberFormat="1" applyFont="1" applyFill="1" applyBorder="1" applyAlignment="1" applyProtection="1">
      <alignment horizontal="right"/>
    </xf>
    <xf numFmtId="174" fontId="5" fillId="0" borderId="0" xfId="0" applyNumberFormat="1" applyFont="1" applyFill="1" applyBorder="1" applyProtection="1"/>
    <xf numFmtId="174" fontId="5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 vertical="center" wrapText="1"/>
    </xf>
    <xf numFmtId="3" fontId="6" fillId="0" borderId="0" xfId="0" applyNumberFormat="1" applyFont="1" applyFill="1" applyBorder="1" applyAlignment="1" applyProtection="1">
      <alignment horizontal="center"/>
    </xf>
    <xf numFmtId="174" fontId="6" fillId="2" borderId="0" xfId="0" applyNumberFormat="1" applyFont="1" applyFill="1" applyBorder="1" applyProtection="1">
      <protection locked="0"/>
    </xf>
    <xf numFmtId="0" fontId="16" fillId="3" borderId="0" xfId="0" applyFont="1" applyFill="1"/>
    <xf numFmtId="0" fontId="15" fillId="3" borderId="0" xfId="0" applyFont="1" applyFill="1"/>
    <xf numFmtId="0" fontId="16" fillId="3" borderId="0" xfId="0" applyFont="1" applyFill="1" applyBorder="1"/>
    <xf numFmtId="0" fontId="18" fillId="3" borderId="0" xfId="0" applyFont="1" applyFill="1"/>
    <xf numFmtId="0" fontId="15" fillId="0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Protection="1"/>
    <xf numFmtId="0" fontId="16" fillId="0" borderId="0" xfId="0" applyFont="1" applyFill="1" applyBorder="1" applyProtection="1"/>
    <xf numFmtId="176" fontId="16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177" fontId="15" fillId="0" borderId="0" xfId="0" applyNumberFormat="1" applyFont="1" applyFill="1" applyBorder="1" applyProtection="1"/>
    <xf numFmtId="180" fontId="6" fillId="0" borderId="0" xfId="4" applyNumberFormat="1" applyFont="1" applyFill="1" applyBorder="1" applyProtection="1"/>
    <xf numFmtId="180" fontId="6" fillId="0" borderId="0" xfId="0" applyNumberFormat="1" applyFont="1" applyFill="1" applyBorder="1" applyProtection="1"/>
    <xf numFmtId="172" fontId="15" fillId="3" borderId="0" xfId="0" applyNumberFormat="1" applyFont="1" applyFill="1"/>
    <xf numFmtId="174" fontId="15" fillId="3" borderId="0" xfId="0" applyNumberFormat="1" applyFont="1" applyFill="1"/>
    <xf numFmtId="179" fontId="16" fillId="3" borderId="0" xfId="0" applyNumberFormat="1" applyFont="1" applyFill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15" fontId="6" fillId="2" borderId="0" xfId="0" applyNumberFormat="1" applyFont="1" applyFill="1" applyBorder="1" applyAlignment="1" applyProtection="1">
      <alignment horizontal="center"/>
      <protection locked="0"/>
    </xf>
    <xf numFmtId="10" fontId="6" fillId="2" borderId="0" xfId="4" applyNumberFormat="1" applyFont="1" applyFill="1" applyBorder="1" applyAlignment="1" applyProtection="1">
      <alignment horizontal="center"/>
      <protection locked="0"/>
    </xf>
    <xf numFmtId="173" fontId="6" fillId="2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22" fillId="3" borderId="0" xfId="3" applyFont="1" applyFill="1" applyBorder="1" applyAlignment="1" applyProtection="1"/>
    <xf numFmtId="0" fontId="6" fillId="4" borderId="0" xfId="0" applyFont="1" applyFill="1" applyBorder="1" applyProtection="1"/>
    <xf numFmtId="9" fontId="6" fillId="4" borderId="0" xfId="4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left"/>
    </xf>
    <xf numFmtId="0" fontId="9" fillId="4" borderId="0" xfId="0" applyFont="1" applyFill="1" applyBorder="1" applyProtection="1"/>
    <xf numFmtId="0" fontId="6" fillId="4" borderId="2" xfId="0" applyFont="1" applyFill="1" applyBorder="1" applyProtection="1"/>
    <xf numFmtId="0" fontId="6" fillId="4" borderId="3" xfId="0" applyFont="1" applyFill="1" applyBorder="1" applyProtection="1"/>
    <xf numFmtId="0" fontId="6" fillId="4" borderId="3" xfId="0" applyFont="1" applyFill="1" applyBorder="1" applyAlignment="1" applyProtection="1">
      <alignment horizontal="left"/>
    </xf>
    <xf numFmtId="0" fontId="6" fillId="4" borderId="4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1" fontId="6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Protection="1"/>
    <xf numFmtId="9" fontId="9" fillId="4" borderId="0" xfId="4" applyFont="1" applyFill="1" applyBorder="1" applyAlignment="1" applyProtection="1">
      <alignment horizontal="center"/>
    </xf>
    <xf numFmtId="0" fontId="5" fillId="4" borderId="0" xfId="0" quotePrefix="1" applyFont="1" applyFill="1" applyBorder="1" applyAlignment="1" applyProtection="1">
      <alignment horizontal="left"/>
    </xf>
    <xf numFmtId="1" fontId="5" fillId="4" borderId="0" xfId="0" applyNumberFormat="1" applyFont="1" applyFill="1" applyBorder="1" applyProtection="1"/>
    <xf numFmtId="175" fontId="9" fillId="4" borderId="0" xfId="0" applyNumberFormat="1" applyFont="1" applyFill="1" applyBorder="1" applyAlignment="1" applyProtection="1">
      <alignment horizontal="left"/>
    </xf>
    <xf numFmtId="175" fontId="6" fillId="4" borderId="0" xfId="0" applyNumberFormat="1" applyFont="1" applyFill="1" applyBorder="1" applyAlignment="1" applyProtection="1">
      <alignment horizontal="left"/>
    </xf>
    <xf numFmtId="173" fontId="5" fillId="4" borderId="0" xfId="0" applyNumberFormat="1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8" fillId="3" borderId="6" xfId="0" applyFont="1" applyFill="1" applyBorder="1" applyAlignment="1" applyProtection="1">
      <alignment horizontal="right"/>
    </xf>
    <xf numFmtId="0" fontId="9" fillId="3" borderId="6" xfId="0" applyFont="1" applyFill="1" applyBorder="1" applyAlignment="1" applyProtection="1">
      <alignment horizontal="center"/>
    </xf>
    <xf numFmtId="9" fontId="6" fillId="3" borderId="6" xfId="4" applyFont="1" applyFill="1" applyBorder="1" applyAlignment="1" applyProtection="1">
      <alignment horizontal="center"/>
    </xf>
    <xf numFmtId="175" fontId="6" fillId="3" borderId="6" xfId="0" applyNumberFormat="1" applyFont="1" applyFill="1" applyBorder="1" applyProtection="1"/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>
      <alignment horizontal="center"/>
    </xf>
    <xf numFmtId="9" fontId="6" fillId="3" borderId="0" xfId="4" applyFont="1" applyFill="1" applyBorder="1" applyAlignment="1" applyProtection="1">
      <alignment horizontal="center"/>
    </xf>
    <xf numFmtId="175" fontId="6" fillId="3" borderId="0" xfId="0" applyNumberFormat="1" applyFont="1" applyFill="1" applyBorder="1" applyProtection="1"/>
    <xf numFmtId="0" fontId="6" fillId="3" borderId="9" xfId="0" applyFont="1" applyFill="1" applyBorder="1" applyProtection="1"/>
    <xf numFmtId="0" fontId="14" fillId="3" borderId="8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9" fontId="14" fillId="3" borderId="0" xfId="4" applyFont="1" applyFill="1" applyBorder="1" applyAlignment="1" applyProtection="1">
      <alignment horizontal="left"/>
    </xf>
    <xf numFmtId="175" fontId="14" fillId="3" borderId="0" xfId="0" applyNumberFormat="1" applyFont="1" applyFill="1" applyBorder="1" applyAlignment="1" applyProtection="1">
      <alignment horizontal="left"/>
    </xf>
    <xf numFmtId="0" fontId="14" fillId="3" borderId="9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Protection="1"/>
    <xf numFmtId="9" fontId="8" fillId="3" borderId="0" xfId="4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175" fontId="9" fillId="3" borderId="0" xfId="0" quotePrefix="1" applyNumberFormat="1" applyFont="1" applyFill="1" applyBorder="1" applyAlignment="1" applyProtection="1">
      <alignment horizontal="center"/>
    </xf>
    <xf numFmtId="0" fontId="9" fillId="3" borderId="0" xfId="0" quotePrefix="1" applyNumberFormat="1" applyFont="1" applyFill="1" applyBorder="1" applyAlignment="1" applyProtection="1">
      <alignment horizontal="center"/>
    </xf>
    <xf numFmtId="0" fontId="9" fillId="3" borderId="9" xfId="0" quotePrefix="1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173" fontId="6" fillId="3" borderId="9" xfId="1" applyNumberFormat="1" applyFont="1" applyFill="1" applyBorder="1" applyAlignment="1" applyProtection="1">
      <alignment horizontal="left"/>
    </xf>
    <xf numFmtId="173" fontId="8" fillId="3" borderId="9" xfId="1" applyNumberFormat="1" applyFont="1" applyFill="1" applyBorder="1" applyAlignment="1" applyProtection="1">
      <alignment horizontal="left"/>
    </xf>
    <xf numFmtId="1" fontId="6" fillId="3" borderId="0" xfId="0" applyNumberFormat="1" applyFont="1" applyFill="1" applyBorder="1" applyAlignment="1" applyProtection="1">
      <alignment horizontal="center"/>
    </xf>
    <xf numFmtId="173" fontId="5" fillId="3" borderId="9" xfId="1" applyNumberFormat="1" applyFont="1" applyFill="1" applyBorder="1" applyAlignment="1" applyProtection="1">
      <alignment horizontal="left"/>
    </xf>
    <xf numFmtId="173" fontId="9" fillId="3" borderId="9" xfId="1" applyNumberFormat="1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1" fontId="5" fillId="3" borderId="0" xfId="0" applyNumberFormat="1" applyFont="1" applyFill="1" applyBorder="1" applyAlignment="1" applyProtection="1">
      <alignment horizontal="center"/>
    </xf>
    <xf numFmtId="0" fontId="7" fillId="3" borderId="8" xfId="0" applyFont="1" applyFill="1" applyBorder="1" applyProtection="1"/>
    <xf numFmtId="0" fontId="7" fillId="3" borderId="0" xfId="0" applyFont="1" applyFill="1" applyBorder="1" applyProtection="1"/>
    <xf numFmtId="9" fontId="9" fillId="3" borderId="0" xfId="4" applyFont="1" applyFill="1" applyBorder="1" applyAlignment="1" applyProtection="1">
      <alignment horizontal="center"/>
    </xf>
    <xf numFmtId="173" fontId="5" fillId="3" borderId="9" xfId="0" applyNumberFormat="1" applyFont="1" applyFill="1" applyBorder="1" applyAlignment="1" applyProtection="1">
      <alignment horizontal="left"/>
    </xf>
    <xf numFmtId="0" fontId="5" fillId="3" borderId="0" xfId="0" quotePrefix="1" applyFont="1" applyFill="1" applyBorder="1" applyAlignment="1" applyProtection="1">
      <alignment horizontal="left"/>
    </xf>
    <xf numFmtId="1" fontId="5" fillId="3" borderId="0" xfId="0" applyNumberFormat="1" applyFont="1" applyFill="1" applyBorder="1" applyProtection="1"/>
    <xf numFmtId="175" fontId="9" fillId="3" borderId="0" xfId="0" applyNumberFormat="1" applyFont="1" applyFill="1" applyBorder="1" applyAlignment="1" applyProtection="1">
      <alignment horizontal="left"/>
    </xf>
    <xf numFmtId="175" fontId="6" fillId="3" borderId="0" xfId="0" applyNumberFormat="1" applyFont="1" applyFill="1" applyBorder="1" applyAlignment="1" applyProtection="1">
      <alignment horizontal="left"/>
    </xf>
    <xf numFmtId="173" fontId="5" fillId="3" borderId="0" xfId="0" applyNumberFormat="1" applyFont="1" applyFill="1" applyBorder="1" applyAlignment="1" applyProtection="1">
      <alignment horizontal="left"/>
    </xf>
    <xf numFmtId="1" fontId="12" fillId="3" borderId="0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Protection="1"/>
    <xf numFmtId="0" fontId="6" fillId="3" borderId="11" xfId="0" applyFont="1" applyFill="1" applyBorder="1" applyProtection="1"/>
    <xf numFmtId="0" fontId="5" fillId="3" borderId="11" xfId="0" quotePrefix="1" applyFont="1" applyFill="1" applyBorder="1" applyAlignment="1" applyProtection="1">
      <alignment horizontal="left"/>
    </xf>
    <xf numFmtId="1" fontId="12" fillId="3" borderId="11" xfId="0" applyNumberFormat="1" applyFont="1" applyFill="1" applyBorder="1" applyAlignment="1" applyProtection="1">
      <alignment horizontal="center"/>
    </xf>
    <xf numFmtId="1" fontId="13" fillId="3" borderId="11" xfId="0" applyNumberFormat="1" applyFont="1" applyFill="1" applyBorder="1" applyAlignment="1" applyProtection="1">
      <alignment horizontal="right"/>
    </xf>
    <xf numFmtId="0" fontId="9" fillId="3" borderId="11" xfId="0" applyFont="1" applyFill="1" applyBorder="1" applyProtection="1"/>
    <xf numFmtId="9" fontId="9" fillId="3" borderId="11" xfId="4" applyFont="1" applyFill="1" applyBorder="1" applyAlignment="1" applyProtection="1">
      <alignment horizontal="center"/>
    </xf>
    <xf numFmtId="1" fontId="5" fillId="3" borderId="11" xfId="0" applyNumberFormat="1" applyFont="1" applyFill="1" applyBorder="1" applyProtection="1"/>
    <xf numFmtId="175" fontId="9" fillId="3" borderId="11" xfId="0" applyNumberFormat="1" applyFont="1" applyFill="1" applyBorder="1" applyAlignment="1" applyProtection="1">
      <alignment horizontal="left"/>
    </xf>
    <xf numFmtId="175" fontId="6" fillId="3" borderId="11" xfId="0" applyNumberFormat="1" applyFont="1" applyFill="1" applyBorder="1" applyAlignment="1" applyProtection="1">
      <alignment horizontal="left"/>
    </xf>
    <xf numFmtId="1" fontId="21" fillId="3" borderId="11" xfId="0" applyNumberFormat="1" applyFont="1" applyFill="1" applyBorder="1" applyAlignment="1" applyProtection="1">
      <alignment horizontal="right"/>
    </xf>
    <xf numFmtId="173" fontId="5" fillId="3" borderId="12" xfId="0" applyNumberFormat="1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13" xfId="0" applyFont="1" applyFill="1" applyBorder="1" applyProtection="1"/>
    <xf numFmtId="0" fontId="6" fillId="4" borderId="14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5" fillId="4" borderId="14" xfId="0" applyFont="1" applyFill="1" applyBorder="1" applyProtection="1"/>
    <xf numFmtId="9" fontId="5" fillId="4" borderId="14" xfId="4" applyFont="1" applyFill="1" applyBorder="1" applyAlignment="1" applyProtection="1">
      <alignment horizontal="center"/>
    </xf>
    <xf numFmtId="0" fontId="6" fillId="4" borderId="14" xfId="0" applyFont="1" applyFill="1" applyBorder="1" applyAlignment="1" applyProtection="1">
      <alignment horizontal="left"/>
    </xf>
    <xf numFmtId="175" fontId="6" fillId="4" borderId="14" xfId="0" applyNumberFormat="1" applyFont="1" applyFill="1" applyBorder="1" applyProtection="1"/>
    <xf numFmtId="175" fontId="9" fillId="4" borderId="14" xfId="0" quotePrefix="1" applyNumberFormat="1" applyFont="1" applyFill="1" applyBorder="1" applyAlignment="1" applyProtection="1">
      <alignment horizontal="right"/>
    </xf>
    <xf numFmtId="0" fontId="6" fillId="4" borderId="15" xfId="0" applyFont="1" applyFill="1" applyBorder="1" applyProtection="1"/>
    <xf numFmtId="0" fontId="6" fillId="4" borderId="16" xfId="0" applyFont="1" applyFill="1" applyBorder="1" applyProtection="1"/>
    <xf numFmtId="0" fontId="6" fillId="4" borderId="1" xfId="0" applyFont="1" applyFill="1" applyBorder="1" applyProtection="1"/>
    <xf numFmtId="0" fontId="5" fillId="4" borderId="1" xfId="0" applyFont="1" applyFill="1" applyBorder="1" applyProtection="1"/>
    <xf numFmtId="0" fontId="6" fillId="4" borderId="1" xfId="0" applyFont="1" applyFill="1" applyBorder="1" applyAlignment="1" applyProtection="1">
      <alignment horizontal="left"/>
    </xf>
    <xf numFmtId="0" fontId="6" fillId="4" borderId="17" xfId="0" applyFont="1" applyFill="1" applyBorder="1" applyProtection="1"/>
    <xf numFmtId="9" fontId="6" fillId="4" borderId="1" xfId="4" applyFont="1" applyFill="1" applyBorder="1" applyAlignment="1" applyProtection="1">
      <alignment horizontal="center"/>
    </xf>
    <xf numFmtId="175" fontId="6" fillId="4" borderId="1" xfId="0" applyNumberFormat="1" applyFont="1" applyFill="1" applyBorder="1" applyProtection="1"/>
    <xf numFmtId="0" fontId="5" fillId="4" borderId="1" xfId="0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>
      <alignment horizontal="center"/>
    </xf>
    <xf numFmtId="9" fontId="6" fillId="4" borderId="1" xfId="4" applyFont="1" applyFill="1" applyBorder="1" applyAlignment="1" applyProtection="1">
      <alignment horizontal="center"/>
      <protection locked="0"/>
    </xf>
    <xf numFmtId="174" fontId="6" fillId="4" borderId="1" xfId="1" applyNumberFormat="1" applyFont="1" applyFill="1" applyBorder="1" applyAlignment="1" applyProtection="1">
      <alignment horizontal="left"/>
    </xf>
    <xf numFmtId="173" fontId="6" fillId="4" borderId="17" xfId="1" applyNumberFormat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2" fontId="8" fillId="4" borderId="1" xfId="0" applyNumberFormat="1" applyFont="1" applyFill="1" applyBorder="1" applyAlignment="1" applyProtection="1">
      <alignment horizontal="center"/>
    </xf>
    <xf numFmtId="0" fontId="8" fillId="4" borderId="1" xfId="0" applyFont="1" applyFill="1" applyBorder="1" applyProtection="1"/>
    <xf numFmtId="174" fontId="8" fillId="4" borderId="1" xfId="1" applyNumberFormat="1" applyFont="1" applyFill="1" applyBorder="1" applyAlignment="1" applyProtection="1">
      <alignment horizontal="left"/>
    </xf>
    <xf numFmtId="173" fontId="8" fillId="4" borderId="17" xfId="1" applyNumberFormat="1" applyFont="1" applyFill="1" applyBorder="1" applyAlignment="1" applyProtection="1">
      <alignment horizontal="left"/>
    </xf>
    <xf numFmtId="173" fontId="5" fillId="4" borderId="17" xfId="1" applyNumberFormat="1" applyFont="1" applyFill="1" applyBorder="1" applyAlignment="1" applyProtection="1">
      <alignment horizontal="left"/>
    </xf>
    <xf numFmtId="173" fontId="9" fillId="4" borderId="17" xfId="1" applyNumberFormat="1" applyFont="1" applyFill="1" applyBorder="1" applyAlignment="1" applyProtection="1">
      <alignment horizontal="left"/>
    </xf>
    <xf numFmtId="0" fontId="8" fillId="4" borderId="16" xfId="0" applyFont="1" applyFill="1" applyBorder="1" applyProtection="1"/>
    <xf numFmtId="0" fontId="6" fillId="4" borderId="1" xfId="0" applyFont="1" applyFill="1" applyBorder="1" applyAlignment="1" applyProtection="1">
      <alignment horizontal="right"/>
    </xf>
    <xf numFmtId="174" fontId="5" fillId="4" borderId="1" xfId="1" applyNumberFormat="1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>
      <alignment horizontal="right"/>
    </xf>
    <xf numFmtId="9" fontId="5" fillId="4" borderId="1" xfId="4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Protection="1"/>
    <xf numFmtId="9" fontId="9" fillId="4" borderId="1" xfId="4" applyFont="1" applyFill="1" applyBorder="1" applyAlignment="1" applyProtection="1">
      <alignment horizontal="center"/>
      <protection locked="0"/>
    </xf>
    <xf numFmtId="178" fontId="6" fillId="4" borderId="1" xfId="0" applyNumberFormat="1" applyFont="1" applyFill="1" applyBorder="1" applyProtection="1"/>
    <xf numFmtId="178" fontId="6" fillId="4" borderId="1" xfId="0" applyNumberFormat="1" applyFont="1" applyFill="1" applyBorder="1" applyAlignment="1" applyProtection="1"/>
    <xf numFmtId="178" fontId="6" fillId="4" borderId="17" xfId="0" applyNumberFormat="1" applyFont="1" applyFill="1" applyBorder="1" applyProtection="1"/>
    <xf numFmtId="178" fontId="6" fillId="4" borderId="17" xfId="1" applyNumberFormat="1" applyFont="1" applyFill="1" applyBorder="1" applyAlignment="1" applyProtection="1"/>
    <xf numFmtId="0" fontId="7" fillId="4" borderId="16" xfId="0" applyFont="1" applyFill="1" applyBorder="1" applyProtection="1"/>
    <xf numFmtId="9" fontId="8" fillId="4" borderId="1" xfId="4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9" fontId="9" fillId="4" borderId="1" xfId="4" applyFont="1" applyFill="1" applyBorder="1" applyAlignment="1" applyProtection="1">
      <alignment horizontal="center"/>
    </xf>
    <xf numFmtId="1" fontId="6" fillId="4" borderId="1" xfId="0" applyNumberFormat="1" applyFont="1" applyFill="1" applyBorder="1" applyProtection="1"/>
    <xf numFmtId="173" fontId="5" fillId="4" borderId="17" xfId="0" applyNumberFormat="1" applyFont="1" applyFill="1" applyBorder="1" applyAlignment="1" applyProtection="1">
      <alignment horizontal="left"/>
    </xf>
    <xf numFmtId="1" fontId="5" fillId="4" borderId="1" xfId="0" applyNumberFormat="1" applyFont="1" applyFill="1" applyBorder="1" applyProtection="1"/>
    <xf numFmtId="175" fontId="6" fillId="4" borderId="1" xfId="0" applyNumberFormat="1" applyFont="1" applyFill="1" applyBorder="1" applyAlignment="1" applyProtection="1">
      <alignment horizontal="left"/>
    </xf>
    <xf numFmtId="0" fontId="6" fillId="4" borderId="18" xfId="0" applyFont="1" applyFill="1" applyBorder="1" applyProtection="1"/>
    <xf numFmtId="0" fontId="5" fillId="4" borderId="19" xfId="0" quotePrefix="1" applyFont="1" applyFill="1" applyBorder="1" applyAlignment="1" applyProtection="1">
      <alignment horizontal="left"/>
    </xf>
    <xf numFmtId="0" fontId="6" fillId="4" borderId="19" xfId="0" applyFont="1" applyFill="1" applyBorder="1" applyProtection="1"/>
    <xf numFmtId="175" fontId="6" fillId="4" borderId="19" xfId="0" applyNumberFormat="1" applyFont="1" applyFill="1" applyBorder="1" applyAlignment="1" applyProtection="1">
      <alignment horizontal="left"/>
    </xf>
    <xf numFmtId="173" fontId="5" fillId="4" borderId="20" xfId="0" applyNumberFormat="1" applyFont="1" applyFill="1" applyBorder="1" applyAlignment="1" applyProtection="1">
      <alignment horizontal="left"/>
    </xf>
    <xf numFmtId="0" fontId="9" fillId="4" borderId="15" xfId="0" applyFont="1" applyFill="1" applyBorder="1" applyAlignment="1" applyProtection="1">
      <alignment horizontal="center"/>
    </xf>
    <xf numFmtId="0" fontId="6" fillId="4" borderId="17" xfId="0" applyFont="1" applyFill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center"/>
    </xf>
    <xf numFmtId="1" fontId="6" fillId="4" borderId="17" xfId="0" applyNumberFormat="1" applyFont="1" applyFill="1" applyBorder="1" applyAlignment="1" applyProtection="1">
      <alignment horizontal="center"/>
    </xf>
    <xf numFmtId="0" fontId="7" fillId="4" borderId="17" xfId="0" applyFont="1" applyFill="1" applyBorder="1" applyProtection="1"/>
    <xf numFmtId="0" fontId="5" fillId="4" borderId="17" xfId="0" quotePrefix="1" applyFont="1" applyFill="1" applyBorder="1" applyAlignment="1" applyProtection="1">
      <alignment horizontal="left"/>
    </xf>
    <xf numFmtId="0" fontId="5" fillId="4" borderId="20" xfId="0" quotePrefix="1" applyFont="1" applyFill="1" applyBorder="1" applyAlignment="1" applyProtection="1">
      <alignment horizontal="left"/>
    </xf>
    <xf numFmtId="0" fontId="5" fillId="4" borderId="13" xfId="0" applyFont="1" applyFill="1" applyBorder="1" applyProtection="1"/>
    <xf numFmtId="0" fontId="5" fillId="4" borderId="16" xfId="0" applyFont="1" applyFill="1" applyBorder="1" applyProtection="1"/>
    <xf numFmtId="0" fontId="9" fillId="4" borderId="16" xfId="0" applyFont="1" applyFill="1" applyBorder="1" applyProtection="1"/>
    <xf numFmtId="0" fontId="23" fillId="3" borderId="8" xfId="0" applyFont="1" applyFill="1" applyBorder="1" applyAlignment="1" applyProtection="1">
      <alignment horizontal="left"/>
    </xf>
    <xf numFmtId="0" fontId="23" fillId="3" borderId="0" xfId="0" applyFont="1" applyFill="1" applyBorder="1" applyAlignment="1" applyProtection="1">
      <alignment horizontal="left"/>
    </xf>
    <xf numFmtId="9" fontId="23" fillId="3" borderId="0" xfId="4" applyFont="1" applyFill="1" applyBorder="1" applyAlignment="1" applyProtection="1">
      <alignment horizontal="left"/>
    </xf>
    <xf numFmtId="175" fontId="23" fillId="3" borderId="0" xfId="0" applyNumberFormat="1" applyFont="1" applyFill="1" applyBorder="1" applyAlignment="1" applyProtection="1">
      <alignment horizontal="left"/>
    </xf>
    <xf numFmtId="0" fontId="23" fillId="3" borderId="9" xfId="0" applyFont="1" applyFill="1" applyBorder="1" applyAlignment="1" applyProtection="1">
      <alignment horizontal="left"/>
    </xf>
    <xf numFmtId="0" fontId="23" fillId="4" borderId="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center"/>
    </xf>
    <xf numFmtId="0" fontId="6" fillId="4" borderId="20" xfId="0" applyFont="1" applyFill="1" applyBorder="1" applyProtection="1"/>
    <xf numFmtId="0" fontId="6" fillId="3" borderId="1" xfId="0" applyFont="1" applyFill="1" applyBorder="1" applyAlignment="1" applyProtection="1">
      <alignment horizontal="center"/>
      <protection locked="0"/>
    </xf>
    <xf numFmtId="0" fontId="24" fillId="4" borderId="1" xfId="0" applyFont="1" applyFill="1" applyBorder="1" applyProtection="1"/>
    <xf numFmtId="0" fontId="25" fillId="4" borderId="1" xfId="0" applyFont="1" applyFill="1" applyBorder="1" applyProtection="1"/>
    <xf numFmtId="15" fontId="26" fillId="4" borderId="1" xfId="0" applyNumberFormat="1" applyFont="1" applyFill="1" applyBorder="1" applyAlignment="1" applyProtection="1">
      <alignment horizontal="center"/>
    </xf>
    <xf numFmtId="0" fontId="26" fillId="4" borderId="17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horizontal="center"/>
    </xf>
    <xf numFmtId="0" fontId="24" fillId="4" borderId="16" xfId="0" applyFont="1" applyFill="1" applyBorder="1" applyProtection="1"/>
    <xf numFmtId="9" fontId="27" fillId="4" borderId="1" xfId="4" applyFont="1" applyFill="1" applyBorder="1" applyAlignment="1" applyProtection="1">
      <alignment horizontal="center"/>
    </xf>
    <xf numFmtId="0" fontId="25" fillId="4" borderId="1" xfId="0" applyFont="1" applyFill="1" applyBorder="1" applyAlignment="1" applyProtection="1">
      <alignment horizontal="left"/>
    </xf>
    <xf numFmtId="0" fontId="26" fillId="4" borderId="1" xfId="0" applyFont="1" applyFill="1" applyBorder="1" applyAlignment="1" applyProtection="1">
      <alignment horizontal="center"/>
    </xf>
    <xf numFmtId="0" fontId="24" fillId="4" borderId="1" xfId="0" applyFont="1" applyFill="1" applyBorder="1" applyAlignment="1" applyProtection="1">
      <alignment horizontal="left"/>
    </xf>
    <xf numFmtId="0" fontId="6" fillId="4" borderId="19" xfId="0" applyFont="1" applyFill="1" applyBorder="1" applyAlignment="1" applyProtection="1">
      <alignment horizontal="left"/>
    </xf>
    <xf numFmtId="1" fontId="6" fillId="5" borderId="1" xfId="0" applyNumberFormat="1" applyFont="1" applyFill="1" applyBorder="1" applyAlignment="1" applyProtection="1">
      <alignment horizontal="center"/>
    </xf>
    <xf numFmtId="0" fontId="6" fillId="5" borderId="1" xfId="0" applyNumberFormat="1" applyFont="1" applyFill="1" applyBorder="1" applyAlignment="1" applyProtection="1">
      <alignment horizontal="center"/>
    </xf>
    <xf numFmtId="1" fontId="29" fillId="6" borderId="1" xfId="0" applyNumberFormat="1" applyFont="1" applyFill="1" applyBorder="1" applyAlignment="1" applyProtection="1">
      <alignment horizontal="center"/>
    </xf>
    <xf numFmtId="0" fontId="29" fillId="6" borderId="1" xfId="0" applyFont="1" applyFill="1" applyBorder="1" applyAlignment="1" applyProtection="1">
      <alignment horizontal="center"/>
    </xf>
    <xf numFmtId="1" fontId="30" fillId="4" borderId="1" xfId="0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</xf>
    <xf numFmtId="2" fontId="6" fillId="4" borderId="1" xfId="0" applyNumberFormat="1" applyFont="1" applyFill="1" applyBorder="1" applyAlignment="1" applyProtection="1">
      <alignment horizontal="left"/>
    </xf>
    <xf numFmtId="174" fontId="6" fillId="5" borderId="1" xfId="1" applyNumberFormat="1" applyFont="1" applyFill="1" applyBorder="1" applyAlignment="1" applyProtection="1">
      <alignment horizontal="left"/>
    </xf>
    <xf numFmtId="0" fontId="6" fillId="5" borderId="1" xfId="0" applyFont="1" applyFill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1" fontId="31" fillId="4" borderId="1" xfId="0" applyNumberFormat="1" applyFont="1" applyFill="1" applyBorder="1" applyAlignment="1" applyProtection="1">
      <alignment horizontal="center"/>
    </xf>
    <xf numFmtId="1" fontId="32" fillId="4" borderId="1" xfId="0" applyNumberFormat="1" applyFont="1" applyFill="1" applyBorder="1" applyAlignment="1" applyProtection="1">
      <alignment horizontal="center"/>
    </xf>
    <xf numFmtId="174" fontId="29" fillId="6" borderId="1" xfId="0" applyNumberFormat="1" applyFont="1" applyFill="1" applyBorder="1" applyAlignment="1" applyProtection="1">
      <alignment horizontal="left"/>
    </xf>
    <xf numFmtId="174" fontId="29" fillId="6" borderId="1" xfId="1" applyNumberFormat="1" applyFont="1" applyFill="1" applyBorder="1" applyAlignment="1" applyProtection="1">
      <alignment horizontal="left"/>
    </xf>
    <xf numFmtId="174" fontId="33" fillId="6" borderId="1" xfId="0" applyNumberFormat="1" applyFont="1" applyFill="1" applyBorder="1" applyProtection="1"/>
    <xf numFmtId="174" fontId="33" fillId="6" borderId="1" xfId="1" applyNumberFormat="1" applyFont="1" applyFill="1" applyBorder="1" applyAlignment="1" applyProtection="1">
      <alignment horizontal="left"/>
    </xf>
    <xf numFmtId="174" fontId="34" fillId="6" borderId="1" xfId="1" applyNumberFormat="1" applyFont="1" applyFill="1" applyBorder="1" applyAlignment="1" applyProtection="1">
      <alignment horizontal="left"/>
    </xf>
    <xf numFmtId="9" fontId="5" fillId="5" borderId="1" xfId="4" applyNumberFormat="1" applyFont="1" applyFill="1" applyBorder="1" applyAlignment="1" applyProtection="1">
      <alignment horizontal="center"/>
    </xf>
    <xf numFmtId="9" fontId="6" fillId="3" borderId="1" xfId="4" applyFont="1" applyFill="1" applyBorder="1" applyAlignment="1" applyProtection="1">
      <alignment horizontal="center"/>
      <protection locked="0"/>
    </xf>
    <xf numFmtId="174" fontId="6" fillId="5" borderId="1" xfId="0" applyNumberFormat="1" applyFont="1" applyFill="1" applyBorder="1" applyProtection="1"/>
    <xf numFmtId="174" fontId="6" fillId="5" borderId="1" xfId="0" applyNumberFormat="1" applyFont="1" applyFill="1" applyBorder="1" applyAlignment="1" applyProtection="1">
      <alignment horizontal="left"/>
    </xf>
    <xf numFmtId="0" fontId="24" fillId="4" borderId="1" xfId="0" applyFont="1" applyFill="1" applyBorder="1" applyProtection="1">
      <protection locked="0"/>
    </xf>
    <xf numFmtId="0" fontId="35" fillId="4" borderId="1" xfId="0" applyFont="1" applyFill="1" applyBorder="1" applyProtection="1"/>
    <xf numFmtId="9" fontId="35" fillId="4" borderId="1" xfId="4" applyFont="1" applyFill="1" applyBorder="1" applyAlignment="1" applyProtection="1">
      <alignment horizontal="center"/>
    </xf>
    <xf numFmtId="174" fontId="35" fillId="4" borderId="1" xfId="1" applyNumberFormat="1" applyFont="1" applyFill="1" applyBorder="1" applyAlignment="1" applyProtection="1">
      <alignment horizontal="center"/>
    </xf>
    <xf numFmtId="0" fontId="6" fillId="3" borderId="1" xfId="0" quotePrefix="1" applyNumberFormat="1" applyFont="1" applyFill="1" applyBorder="1" applyAlignment="1" applyProtection="1">
      <alignment horizontal="center"/>
      <protection locked="0"/>
    </xf>
    <xf numFmtId="172" fontId="16" fillId="3" borderId="0" xfId="0" applyNumberFormat="1" applyFont="1" applyFill="1"/>
    <xf numFmtId="174" fontId="6" fillId="0" borderId="0" xfId="1" applyNumberFormat="1" applyFont="1" applyFill="1" applyBorder="1" applyProtection="1"/>
    <xf numFmtId="0" fontId="36" fillId="3" borderId="0" xfId="0" applyFont="1" applyFill="1"/>
    <xf numFmtId="0" fontId="37" fillId="3" borderId="0" xfId="0" applyFont="1" applyFill="1"/>
    <xf numFmtId="0" fontId="26" fillId="4" borderId="1" xfId="0" applyNumberFormat="1" applyFont="1" applyFill="1" applyBorder="1" applyAlignment="1" applyProtection="1">
      <alignment horizontal="center"/>
    </xf>
    <xf numFmtId="0" fontId="28" fillId="4" borderId="1" xfId="0" applyNumberFormat="1" applyFont="1" applyFill="1" applyBorder="1" applyAlignment="1" applyProtection="1">
      <alignment horizontal="center"/>
    </xf>
  </cellXfs>
  <cellStyles count="5">
    <cellStyle name="Euro" xfId="2"/>
    <cellStyle name="Hyperlink" xfId="3" builtinId="8"/>
    <cellStyle name="Procent" xfId="4" builtinId="5"/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742950</xdr:colOff>
      <xdr:row>2</xdr:row>
      <xdr:rowOff>57150</xdr:rowOff>
    </xdr:from>
    <xdr:to>
      <xdr:col>17</xdr:col>
      <xdr:colOff>161925</xdr:colOff>
      <xdr:row>4</xdr:row>
      <xdr:rowOff>85725</xdr:rowOff>
    </xdr:to>
    <xdr:pic>
      <xdr:nvPicPr>
        <xdr:cNvPr id="646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371475"/>
          <a:ext cx="1400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08000" tIns="118800" rIns="126000" bIns="118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08000" tIns="118800" rIns="126000" bIns="118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aad.nl/index.php?p=36317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B3:M64"/>
  <sheetViews>
    <sheetView zoomScale="85" zoomScaleNormal="85" workbookViewId="0"/>
  </sheetViews>
  <sheetFormatPr defaultRowHeight="12" customHeight="1"/>
  <cols>
    <col min="1" max="1" width="3.7109375" style="28" customWidth="1"/>
    <col min="2" max="2" width="9.140625" style="28"/>
    <col min="3" max="3" width="9.42578125" style="28" bestFit="1" customWidth="1"/>
    <col min="4" max="4" width="9.140625" style="28"/>
    <col min="5" max="5" width="9.28515625" style="28" bestFit="1" customWidth="1"/>
    <col min="6" max="8" width="9.140625" style="28"/>
    <col min="9" max="9" width="9.5703125" style="28" bestFit="1" customWidth="1"/>
    <col min="10" max="12" width="9.140625" style="28"/>
    <col min="13" max="13" width="9.28515625" style="28" bestFit="1" customWidth="1"/>
    <col min="14" max="16384" width="9.140625" style="28"/>
  </cols>
  <sheetData>
    <row r="3" spans="2:9" s="243" customFormat="1" ht="12" customHeight="1">
      <c r="B3" s="242" t="s">
        <v>154</v>
      </c>
      <c r="H3" s="27" t="s">
        <v>86</v>
      </c>
      <c r="I3" s="42">
        <v>40813</v>
      </c>
    </row>
    <row r="4" spans="2:9" ht="12" customHeight="1">
      <c r="B4" s="27"/>
    </row>
    <row r="5" spans="2:9" ht="12" customHeight="1">
      <c r="B5" s="27"/>
    </row>
    <row r="6" spans="2:9" ht="12" customHeight="1">
      <c r="B6" s="28" t="s">
        <v>127</v>
      </c>
    </row>
    <row r="7" spans="2:9" ht="12" customHeight="1">
      <c r="B7" s="29" t="s">
        <v>142</v>
      </c>
    </row>
    <row r="8" spans="2:9" ht="12" customHeight="1">
      <c r="B8" s="28" t="s">
        <v>87</v>
      </c>
    </row>
    <row r="10" spans="2:9" ht="12" customHeight="1">
      <c r="B10" s="28" t="s">
        <v>149</v>
      </c>
    </row>
    <row r="11" spans="2:9" s="30" customFormat="1" ht="12" customHeight="1">
      <c r="B11" s="28" t="s">
        <v>150</v>
      </c>
    </row>
    <row r="13" spans="2:9" ht="12" customHeight="1">
      <c r="B13" s="28" t="s">
        <v>110</v>
      </c>
    </row>
    <row r="14" spans="2:9" ht="12" customHeight="1">
      <c r="B14" s="28" t="s">
        <v>111</v>
      </c>
    </row>
    <row r="16" spans="2:9" ht="12" customHeight="1">
      <c r="B16" s="28" t="s">
        <v>88</v>
      </c>
    </row>
    <row r="17" spans="2:2" ht="12" customHeight="1">
      <c r="B17" s="28" t="s">
        <v>89</v>
      </c>
    </row>
    <row r="19" spans="2:2" ht="12" customHeight="1">
      <c r="B19" s="27" t="s">
        <v>151</v>
      </c>
    </row>
    <row r="20" spans="2:2" ht="12" customHeight="1">
      <c r="B20" s="28" t="s">
        <v>152</v>
      </c>
    </row>
    <row r="21" spans="2:2" ht="12" customHeight="1">
      <c r="B21" s="28" t="s">
        <v>153</v>
      </c>
    </row>
    <row r="22" spans="2:2" ht="12" customHeight="1">
      <c r="B22" s="28" t="s">
        <v>90</v>
      </c>
    </row>
    <row r="23" spans="2:2" ht="12" customHeight="1">
      <c r="B23" s="28" t="s">
        <v>91</v>
      </c>
    </row>
    <row r="24" spans="2:2" ht="12" customHeight="1">
      <c r="B24" s="28" t="s">
        <v>92</v>
      </c>
    </row>
    <row r="25" spans="2:2" ht="12" customHeight="1">
      <c r="B25" s="28" t="s">
        <v>93</v>
      </c>
    </row>
    <row r="26" spans="2:2" ht="12" customHeight="1">
      <c r="B26" s="28" t="s">
        <v>94</v>
      </c>
    </row>
    <row r="28" spans="2:2" ht="12" customHeight="1">
      <c r="B28" s="28" t="s">
        <v>112</v>
      </c>
    </row>
    <row r="30" spans="2:2" ht="12" customHeight="1">
      <c r="B30" s="27" t="s">
        <v>128</v>
      </c>
    </row>
    <row r="31" spans="2:2" ht="12" customHeight="1">
      <c r="B31" s="28" t="s">
        <v>95</v>
      </c>
    </row>
    <row r="32" spans="2:2" ht="12" customHeight="1">
      <c r="B32" s="28" t="s">
        <v>96</v>
      </c>
    </row>
    <row r="33" spans="2:13" ht="12" customHeight="1">
      <c r="B33" s="28" t="s">
        <v>97</v>
      </c>
    </row>
    <row r="34" spans="2:13" ht="12" customHeight="1">
      <c r="B34" s="28" t="s">
        <v>98</v>
      </c>
    </row>
    <row r="36" spans="2:13" ht="12" customHeight="1">
      <c r="B36" s="27" t="s">
        <v>129</v>
      </c>
    </row>
    <row r="37" spans="2:13" ht="12" customHeight="1">
      <c r="B37" s="28" t="s">
        <v>137</v>
      </c>
    </row>
    <row r="38" spans="2:13" ht="12" customHeight="1">
      <c r="B38" s="28" t="s">
        <v>99</v>
      </c>
      <c r="C38" s="240">
        <f ca="1">+tab!C34</f>
        <v>496.27</v>
      </c>
      <c r="D38" s="28" t="s">
        <v>100</v>
      </c>
      <c r="E38" s="240">
        <f ca="1">+tab!D34</f>
        <v>2.61</v>
      </c>
      <c r="F38" s="28" t="s">
        <v>101</v>
      </c>
      <c r="L38" s="40"/>
      <c r="M38" s="41"/>
    </row>
    <row r="40" spans="2:13" ht="12" customHeight="1">
      <c r="B40" s="27" t="s">
        <v>130</v>
      </c>
    </row>
    <row r="41" spans="2:13" ht="12" customHeight="1">
      <c r="B41" s="28" t="s">
        <v>138</v>
      </c>
    </row>
    <row r="42" spans="2:13" ht="12" customHeight="1">
      <c r="B42" s="28" t="s">
        <v>99</v>
      </c>
      <c r="C42" s="240">
        <v>0</v>
      </c>
      <c r="D42" s="28" t="s">
        <v>102</v>
      </c>
      <c r="E42" s="240">
        <f ca="1">+tab!D33</f>
        <v>24.34</v>
      </c>
      <c r="F42" s="28" t="s">
        <v>101</v>
      </c>
    </row>
    <row r="44" spans="2:13" ht="12" customHeight="1">
      <c r="B44" s="27" t="s">
        <v>131</v>
      </c>
    </row>
    <row r="45" spans="2:13" ht="12" customHeight="1">
      <c r="B45" s="28" t="s">
        <v>113</v>
      </c>
    </row>
    <row r="46" spans="2:13" ht="12" customHeight="1">
      <c r="B46" s="28" t="s">
        <v>103</v>
      </c>
    </row>
    <row r="47" spans="2:13" ht="12" customHeight="1">
      <c r="B47" s="28" t="s">
        <v>104</v>
      </c>
    </row>
    <row r="48" spans="2:13" ht="12" customHeight="1">
      <c r="B48" s="28" t="s">
        <v>117</v>
      </c>
    </row>
    <row r="49" spans="2:6" ht="12" customHeight="1">
      <c r="B49" s="28" t="s">
        <v>105</v>
      </c>
    </row>
    <row r="51" spans="2:6" ht="12" customHeight="1">
      <c r="B51" s="27" t="s">
        <v>139</v>
      </c>
    </row>
    <row r="52" spans="2:6" ht="12" customHeight="1">
      <c r="B52" s="28" t="s">
        <v>106</v>
      </c>
    </row>
    <row r="53" spans="2:6" ht="12" customHeight="1">
      <c r="B53" s="28" t="s">
        <v>107</v>
      </c>
    </row>
    <row r="55" spans="2:6" ht="12" customHeight="1">
      <c r="B55" s="27" t="s">
        <v>132</v>
      </c>
    </row>
    <row r="57" spans="2:6" ht="12" customHeight="1">
      <c r="B57" s="27" t="s">
        <v>147</v>
      </c>
    </row>
    <row r="58" spans="2:6" ht="12" customHeight="1">
      <c r="B58" s="28" t="s">
        <v>126</v>
      </c>
    </row>
    <row r="59" spans="2:6" ht="12" customHeight="1">
      <c r="B59" s="28" t="s">
        <v>141</v>
      </c>
    </row>
    <row r="61" spans="2:6" ht="12" customHeight="1">
      <c r="B61" s="28" t="s">
        <v>108</v>
      </c>
    </row>
    <row r="62" spans="2:6" ht="12" customHeight="1">
      <c r="B62" s="28" t="s">
        <v>109</v>
      </c>
    </row>
    <row r="63" spans="2:6" ht="12" customHeight="1">
      <c r="B63" s="47" t="s">
        <v>144</v>
      </c>
      <c r="C63" s="47"/>
      <c r="D63" s="47"/>
      <c r="E63" s="48" t="s">
        <v>140</v>
      </c>
      <c r="F63" s="47"/>
    </row>
    <row r="64" spans="2:6" ht="12" customHeight="1">
      <c r="B64" s="28" t="s">
        <v>145</v>
      </c>
      <c r="E64" s="28" t="s">
        <v>146</v>
      </c>
    </row>
  </sheetData>
  <sheetProtection password="DFB1" sheet="1" objects="1" scenarios="1"/>
  <phoneticPr fontId="4" type="noConversion"/>
  <hyperlinks>
    <hyperlink ref="E63" r:id="rId1"/>
  </hyperlinks>
  <pageMargins left="0.75" right="0.75" top="1" bottom="1" header="0.5" footer="0.5"/>
  <pageSetup paperSize="9" scale="85" orientation="portrait" r:id="rId2"/>
  <headerFooter alignWithMargins="0">
    <oddHeader>&amp;L&amp;"Arial,Vet"&amp;F&amp;R&amp;"Arial,Vet"&amp;A</oddHeader>
    <oddFooter>&amp;L&amp;"Arial,Vet"goedhart&amp;C&amp;"Arial,Vet"&amp;D&amp;R&amp;"Arial,Vet"Pagina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16"/>
  <dimension ref="B1:S85"/>
  <sheetViews>
    <sheetView showGridLines="0" tabSelected="1" zoomScale="85" zoomScaleNormal="85" workbookViewId="0">
      <selection activeCell="B2" sqref="B2"/>
    </sheetView>
  </sheetViews>
  <sheetFormatPr defaultRowHeight="12.75"/>
  <cols>
    <col min="1" max="1" width="3.7109375" style="49" customWidth="1"/>
    <col min="2" max="3" width="2.7109375" style="49" customWidth="1"/>
    <col min="4" max="4" width="20.7109375" style="49" customWidth="1"/>
    <col min="5" max="5" width="10.85546875" style="128" customWidth="1"/>
    <col min="6" max="6" width="1.7109375" style="49" customWidth="1"/>
    <col min="7" max="8" width="13" style="49" customWidth="1"/>
    <col min="9" max="11" width="1.7109375" style="49" customWidth="1"/>
    <col min="12" max="12" width="40.7109375" style="49" customWidth="1"/>
    <col min="13" max="13" width="1" style="49" customWidth="1"/>
    <col min="14" max="14" width="6.7109375" style="50" customWidth="1"/>
    <col min="15" max="15" width="1.7109375" style="49" customWidth="1"/>
    <col min="16" max="17" width="14.85546875" style="49" customWidth="1"/>
    <col min="18" max="18" width="2.7109375" style="49" customWidth="1"/>
    <col min="19" max="19" width="2.5703125" style="49" customWidth="1"/>
    <col min="20" max="35" width="8.85546875" style="49" customWidth="1"/>
    <col min="36" max="16384" width="9.140625" style="49"/>
  </cols>
  <sheetData>
    <row r="1" spans="2:19" ht="12.75" customHeight="1"/>
    <row r="2" spans="2:19" ht="12" customHeight="1">
      <c r="B2" s="67"/>
      <c r="C2" s="68"/>
      <c r="D2" s="69"/>
      <c r="E2" s="219"/>
      <c r="F2" s="69"/>
      <c r="G2" s="70"/>
      <c r="H2" s="70"/>
      <c r="I2" s="70"/>
      <c r="J2" s="70"/>
      <c r="K2" s="68"/>
      <c r="L2" s="68"/>
      <c r="M2" s="68"/>
      <c r="N2" s="71"/>
      <c r="O2" s="68"/>
      <c r="P2" s="72"/>
      <c r="Q2" s="72"/>
      <c r="R2" s="68"/>
      <c r="S2" s="73"/>
    </row>
    <row r="3" spans="2:19">
      <c r="B3" s="74"/>
      <c r="C3" s="75"/>
      <c r="D3" s="76"/>
      <c r="E3" s="126"/>
      <c r="F3" s="76"/>
      <c r="G3" s="77"/>
      <c r="H3" s="77"/>
      <c r="I3" s="77"/>
      <c r="J3" s="77"/>
      <c r="K3" s="75"/>
      <c r="L3" s="75"/>
      <c r="M3" s="75"/>
      <c r="N3" s="78"/>
      <c r="O3" s="75"/>
      <c r="P3" s="79"/>
      <c r="Q3" s="79"/>
      <c r="R3" s="75"/>
      <c r="S3" s="80"/>
    </row>
    <row r="4" spans="2:19" s="197" customFormat="1" ht="18.75">
      <c r="B4" s="192"/>
      <c r="C4" s="193" t="s">
        <v>79</v>
      </c>
      <c r="D4" s="193"/>
      <c r="E4" s="193"/>
      <c r="F4" s="193"/>
      <c r="G4" s="193">
        <f ca="1">tab!C4</f>
        <v>2012</v>
      </c>
      <c r="H4" s="193"/>
      <c r="I4" s="193"/>
      <c r="J4" s="193"/>
      <c r="K4" s="193"/>
      <c r="L4" s="193"/>
      <c r="M4" s="193"/>
      <c r="N4" s="194"/>
      <c r="O4" s="193"/>
      <c r="P4" s="195"/>
      <c r="Q4" s="195"/>
      <c r="R4" s="193"/>
      <c r="S4" s="196"/>
    </row>
    <row r="5" spans="2:19" s="51" customFormat="1" ht="18.75">
      <c r="B5" s="81"/>
      <c r="C5" s="86" t="str">
        <f ca="1">tab!C2</f>
        <v>Basisschool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82"/>
      <c r="P5" s="84"/>
      <c r="Q5" s="84"/>
      <c r="R5" s="82"/>
      <c r="S5" s="85"/>
    </row>
    <row r="6" spans="2:19">
      <c r="B6" s="74"/>
      <c r="C6" s="75"/>
      <c r="D6" s="87"/>
      <c r="E6" s="127"/>
      <c r="F6" s="87"/>
      <c r="G6" s="88"/>
      <c r="H6" s="89"/>
      <c r="I6" s="75"/>
      <c r="J6" s="75"/>
      <c r="K6" s="75"/>
      <c r="L6" s="75"/>
      <c r="M6" s="75"/>
      <c r="N6" s="78"/>
      <c r="O6" s="75"/>
      <c r="P6" s="79"/>
      <c r="Q6" s="79"/>
      <c r="R6" s="75"/>
      <c r="S6" s="80"/>
    </row>
    <row r="7" spans="2:19">
      <c r="B7" s="74"/>
      <c r="C7" s="75"/>
      <c r="D7" s="87"/>
      <c r="E7" s="127"/>
      <c r="F7" s="87"/>
      <c r="G7" s="88"/>
      <c r="H7" s="89"/>
      <c r="I7" s="75"/>
      <c r="J7" s="75"/>
      <c r="K7" s="75"/>
      <c r="L7" s="75"/>
      <c r="M7" s="75"/>
      <c r="N7" s="78"/>
      <c r="O7" s="75"/>
      <c r="P7" s="79"/>
      <c r="Q7" s="79"/>
      <c r="R7" s="75"/>
      <c r="S7" s="80"/>
    </row>
    <row r="8" spans="2:19">
      <c r="B8" s="74"/>
      <c r="C8" s="75"/>
      <c r="D8" s="76"/>
      <c r="E8" s="126"/>
      <c r="F8" s="76"/>
      <c r="G8" s="77"/>
      <c r="H8" s="77"/>
      <c r="I8" s="77"/>
      <c r="J8" s="77"/>
      <c r="K8" s="75"/>
      <c r="L8" s="76"/>
      <c r="M8" s="76"/>
      <c r="N8" s="90"/>
      <c r="O8" s="91"/>
      <c r="P8" s="92"/>
      <c r="Q8" s="92"/>
      <c r="R8" s="93"/>
      <c r="S8" s="94"/>
    </row>
    <row r="9" spans="2:19" ht="12" customHeight="1">
      <c r="B9" s="74"/>
      <c r="C9" s="129"/>
      <c r="D9" s="130"/>
      <c r="E9" s="134"/>
      <c r="F9" s="130"/>
      <c r="G9" s="131"/>
      <c r="H9" s="131"/>
      <c r="I9" s="182"/>
      <c r="J9" s="77"/>
      <c r="K9" s="189"/>
      <c r="L9" s="132"/>
      <c r="M9" s="132"/>
      <c r="N9" s="133"/>
      <c r="O9" s="134"/>
      <c r="P9" s="135"/>
      <c r="Q9" s="136"/>
      <c r="R9" s="137"/>
      <c r="S9" s="80"/>
    </row>
    <row r="10" spans="2:19" ht="12" customHeight="1">
      <c r="B10" s="74"/>
      <c r="C10" s="138"/>
      <c r="D10" s="202" t="s">
        <v>85</v>
      </c>
      <c r="E10" s="211"/>
      <c r="F10" s="203"/>
      <c r="G10" s="204">
        <f ca="1">tab!C5</f>
        <v>40817</v>
      </c>
      <c r="H10" s="204">
        <f ca="1">tab!C6</f>
        <v>40969</v>
      </c>
      <c r="I10" s="205"/>
      <c r="J10" s="206"/>
      <c r="K10" s="207"/>
      <c r="L10" s="202" t="s">
        <v>17</v>
      </c>
      <c r="M10" s="202"/>
      <c r="N10" s="208"/>
      <c r="O10" s="209"/>
      <c r="P10" s="244"/>
      <c r="Q10" s="245"/>
      <c r="R10" s="142"/>
      <c r="S10" s="80"/>
    </row>
    <row r="11" spans="2:19" ht="12" customHeight="1">
      <c r="B11" s="74"/>
      <c r="C11" s="138"/>
      <c r="D11" s="203"/>
      <c r="E11" s="209"/>
      <c r="F11" s="203"/>
      <c r="G11" s="210"/>
      <c r="H11" s="210"/>
      <c r="I11" s="205"/>
      <c r="J11" s="206"/>
      <c r="K11" s="207"/>
      <c r="L11" s="202"/>
      <c r="M11" s="202"/>
      <c r="N11" s="208"/>
      <c r="O11" s="209"/>
      <c r="P11" s="244">
        <f ca="1">tab!C4</f>
        <v>2012</v>
      </c>
      <c r="Q11" s="245"/>
      <c r="R11" s="142"/>
      <c r="S11" s="80"/>
    </row>
    <row r="12" spans="2:19" ht="12" customHeight="1">
      <c r="B12" s="74"/>
      <c r="C12" s="138"/>
      <c r="D12" s="141" t="s">
        <v>23</v>
      </c>
      <c r="E12" s="141"/>
      <c r="F12" s="141"/>
      <c r="G12" s="201">
        <v>0</v>
      </c>
      <c r="H12" s="201">
        <f>+G12</f>
        <v>0</v>
      </c>
      <c r="I12" s="183"/>
      <c r="J12" s="95"/>
      <c r="K12" s="138"/>
      <c r="L12" s="140" t="s">
        <v>25</v>
      </c>
      <c r="M12" s="140"/>
      <c r="N12" s="208" t="s">
        <v>121</v>
      </c>
      <c r="O12" s="139"/>
      <c r="P12" s="204">
        <f ca="1">G10</f>
        <v>40817</v>
      </c>
      <c r="Q12" s="204">
        <f ca="1">H10</f>
        <v>40969</v>
      </c>
      <c r="R12" s="142"/>
      <c r="S12" s="80"/>
    </row>
    <row r="13" spans="2:19" ht="12" customHeight="1">
      <c r="B13" s="74"/>
      <c r="C13" s="138"/>
      <c r="D13" s="141" t="s">
        <v>24</v>
      </c>
      <c r="E13" s="141"/>
      <c r="F13" s="141"/>
      <c r="G13" s="201">
        <v>0</v>
      </c>
      <c r="H13" s="201">
        <f>+G13</f>
        <v>0</v>
      </c>
      <c r="I13" s="183"/>
      <c r="J13" s="95"/>
      <c r="K13" s="138"/>
      <c r="L13" s="139" t="s">
        <v>27</v>
      </c>
      <c r="M13" s="139"/>
      <c r="N13" s="143"/>
      <c r="O13" s="139"/>
      <c r="P13" s="144"/>
      <c r="Q13" s="144"/>
      <c r="R13" s="142"/>
      <c r="S13" s="80"/>
    </row>
    <row r="14" spans="2:19" ht="12" customHeight="1">
      <c r="B14" s="74"/>
      <c r="C14" s="138"/>
      <c r="D14" s="145" t="s">
        <v>62</v>
      </c>
      <c r="E14" s="145"/>
      <c r="F14" s="145"/>
      <c r="G14" s="216">
        <f>G12+G13</f>
        <v>0</v>
      </c>
      <c r="H14" s="216">
        <f>H12+H13</f>
        <v>0</v>
      </c>
      <c r="I14" s="184"/>
      <c r="J14" s="96"/>
      <c r="K14" s="138"/>
      <c r="L14" s="139" t="s">
        <v>18</v>
      </c>
      <c r="M14" s="139"/>
      <c r="N14" s="232">
        <v>0</v>
      </c>
      <c r="O14" s="139"/>
      <c r="P14" s="221">
        <f ca="1">IF('bekostiging materieel'!G14=0,0,IF('bekostiging materieel'!G$47=0,tab!$C12+(tab!$D12*'bekostiging materieel'!G$36),(+tab!$C12*'bekostiging materieel'!G$85)+(tab!$D12*'bekostiging materieel'!G$37)+(tab!$D12*'bekostiging materieel'!G$38)+(tab!$D12*'bekostiging materieel'!G$39)+(tab!$D12*'bekostiging materieel'!G$40)))</f>
        <v>0</v>
      </c>
      <c r="Q14" s="221">
        <f ca="1">IF(H24="nee",P14,IF('bekostiging materieel'!H14=0,0,IF('bekostiging materieel'!H$47=0,tab!$C12+(tab!$D12*'bekostiging materieel'!H$36),(+tab!$C12*'bekostiging materieel'!H$85)+(tab!$D12*'bekostiging materieel'!H$37)+(tab!$D12*'bekostiging materieel'!H$38)+(tab!$D12*'bekostiging materieel'!H$39)+(tab!$D12*'bekostiging materieel'!H$40))))</f>
        <v>0</v>
      </c>
      <c r="R14" s="149"/>
      <c r="S14" s="97"/>
    </row>
    <row r="15" spans="2:19" ht="12" customHeight="1">
      <c r="B15" s="74"/>
      <c r="C15" s="138"/>
      <c r="D15" s="150" t="s">
        <v>58</v>
      </c>
      <c r="E15" s="220">
        <v>0.3</v>
      </c>
      <c r="F15" s="151"/>
      <c r="G15" s="201">
        <v>0</v>
      </c>
      <c r="H15" s="201">
        <f>G15</f>
        <v>0</v>
      </c>
      <c r="I15" s="183"/>
      <c r="J15" s="95"/>
      <c r="K15" s="138"/>
      <c r="L15" s="139" t="s">
        <v>19</v>
      </c>
      <c r="M15" s="139"/>
      <c r="N15" s="232">
        <v>0</v>
      </c>
      <c r="O15" s="139"/>
      <c r="P15" s="221">
        <f ca="1">IF('bekostiging materieel'!G14=0,0,IF('bekostiging materieel'!G$47=0,tab!$C13+(tab!$D13*'bekostiging materieel'!G$36),(+tab!$C13*'bekostiging materieel'!G$85)+(tab!$D13*'bekostiging materieel'!G$37)+(tab!$D13*'bekostiging materieel'!G$38)+(tab!$D13*'bekostiging materieel'!G$39)+(tab!$D13*'bekostiging materieel'!G$40)))</f>
        <v>0</v>
      </c>
      <c r="Q15" s="221">
        <f ca="1">IF(H24="nee",P15,IF('bekostiging materieel'!H14=0,0,IF('bekostiging materieel'!H$47=0,tab!$C13+(tab!$D13*'bekostiging materieel'!H$36),(+tab!$C13*'bekostiging materieel'!H$85)+(tab!$D13*'bekostiging materieel'!H$37)+(tab!$D13*'bekostiging materieel'!H$38)+(tab!$D13*'bekostiging materieel'!H$39)+(tab!$D13*'bekostiging materieel'!H$40))))</f>
        <v>0</v>
      </c>
      <c r="R15" s="149"/>
      <c r="S15" s="97"/>
    </row>
    <row r="16" spans="2:19" ht="12" customHeight="1">
      <c r="B16" s="74"/>
      <c r="C16" s="138"/>
      <c r="D16" s="150" t="s">
        <v>58</v>
      </c>
      <c r="E16" s="220">
        <v>1.2</v>
      </c>
      <c r="F16" s="151"/>
      <c r="G16" s="201">
        <v>0</v>
      </c>
      <c r="H16" s="201">
        <f>G16</f>
        <v>0</v>
      </c>
      <c r="I16" s="183"/>
      <c r="J16" s="95"/>
      <c r="K16" s="138"/>
      <c r="L16" s="139" t="s">
        <v>20</v>
      </c>
      <c r="M16" s="139"/>
      <c r="N16" s="232">
        <v>0</v>
      </c>
      <c r="O16" s="139"/>
      <c r="P16" s="221">
        <f ca="1">IF('bekostiging materieel'!G14=0,0,IF('bekostiging materieel'!G$47=0,tab!$C14+(tab!$D14*'bekostiging materieel'!G$36),(+tab!$C14*'bekostiging materieel'!G$85)+(tab!$D14*'bekostiging materieel'!G$37)+(tab!$D14*'bekostiging materieel'!G$38)+(tab!$D14*'bekostiging materieel'!G$39)+(tab!$D14*'bekostiging materieel'!G$40)))</f>
        <v>0</v>
      </c>
      <c r="Q16" s="221">
        <f ca="1">IF(H24="nee",P16,IF('bekostiging materieel'!H14=0,0,IF('bekostiging materieel'!H$47=0,tab!$C14+(tab!$D14*'bekostiging materieel'!H$36),(+tab!$C14*'bekostiging materieel'!H$85)+(tab!$D14*'bekostiging materieel'!H$37)+(tab!$D14*'bekostiging materieel'!H$38)+(tab!$D14*'bekostiging materieel'!H$39)+(tab!$D14*'bekostiging materieel'!H$40))))</f>
        <v>0</v>
      </c>
      <c r="R16" s="149"/>
      <c r="S16" s="97"/>
    </row>
    <row r="17" spans="2:19" ht="12" customHeight="1">
      <c r="B17" s="74"/>
      <c r="C17" s="138"/>
      <c r="D17" s="141" t="s">
        <v>56</v>
      </c>
      <c r="E17" s="141"/>
      <c r="F17" s="141"/>
      <c r="G17" s="213">
        <f>($E$15*G15)+($E$16*G16)</f>
        <v>0</v>
      </c>
      <c r="H17" s="213">
        <f>($E$15*H15)+($E$16*H16)</f>
        <v>0</v>
      </c>
      <c r="I17" s="183"/>
      <c r="J17" s="95"/>
      <c r="K17" s="138"/>
      <c r="L17" s="152"/>
      <c r="M17" s="152"/>
      <c r="N17" s="147"/>
      <c r="O17" s="139"/>
      <c r="P17" s="230">
        <f ca="1">SUM(P14:P16)</f>
        <v>0</v>
      </c>
      <c r="Q17" s="230">
        <f ca="1">SUM(Q14:Q16)</f>
        <v>0</v>
      </c>
      <c r="R17" s="154"/>
      <c r="S17" s="98"/>
    </row>
    <row r="18" spans="2:19" ht="12" customHeight="1">
      <c r="B18" s="74"/>
      <c r="C18" s="138"/>
      <c r="D18" s="145" t="s">
        <v>72</v>
      </c>
      <c r="E18" s="145"/>
      <c r="F18" s="141"/>
      <c r="G18" s="215">
        <f>ROUND(IF(G19&lt;(G14*0.8),G19,(0.8*G14)),0)</f>
        <v>0</v>
      </c>
      <c r="H18" s="215">
        <f>ROUND(IF(H19&lt;(H14*0.8),H19,(0.8*H14)),0)</f>
        <v>0</v>
      </c>
      <c r="I18" s="185"/>
      <c r="J18" s="99"/>
      <c r="K18" s="138"/>
      <c r="L18" s="139" t="s">
        <v>57</v>
      </c>
      <c r="M18" s="139"/>
      <c r="N18" s="147"/>
      <c r="O18" s="139"/>
      <c r="P18" s="153"/>
      <c r="Q18" s="153"/>
      <c r="R18" s="155"/>
      <c r="S18" s="100"/>
    </row>
    <row r="19" spans="2:19" ht="12" customHeight="1">
      <c r="B19" s="74"/>
      <c r="C19" s="138"/>
      <c r="D19" s="141"/>
      <c r="E19" s="141"/>
      <c r="F19" s="141"/>
      <c r="G19" s="217">
        <f ca="1">IF((ROUND(IF(G17-(tab!$C$7*G14)&lt;0,0,(G17-(tab!$C$7*G14))),0))&lt;(G51+G60+G69+G83),(G51+G60+G69+G83),((ROUND(IF(G17-(tab!$C$7*G14)&lt;0,0,(G17-(tab!$C$7*G14))),0))))</f>
        <v>0</v>
      </c>
      <c r="H19" s="217">
        <f ca="1">IF((ROUND(IF(H17-(tab!$C$7*H14)&lt;0,0,(H17-(tab!$C$7*H14))),0))&lt;(H51+H60+H69+H83),(H51+H60+H69+H83),((ROUND(IF(H17-(tab!$C$7*H14)&lt;0,0,(H17-(tab!$C$7*H14))),0))))</f>
        <v>0</v>
      </c>
      <c r="I19" s="185"/>
      <c r="J19" s="99"/>
      <c r="K19" s="138"/>
      <c r="L19" s="139" t="s">
        <v>32</v>
      </c>
      <c r="M19" s="139"/>
      <c r="N19" s="232">
        <v>0</v>
      </c>
      <c r="O19" s="139"/>
      <c r="P19" s="221">
        <f ca="1">IF('bekostiging materieel'!G14=0,0,IF('bekostiging materieel'!G$47=0,tab!$C17+(tab!$D17*'bekostiging materieel'!G$36),(+tab!$C17*'bekostiging materieel'!G$85)+(tab!$D17*'bekostiging materieel'!G$37)+(tab!$D17*'bekostiging materieel'!G$38)+(tab!$D17*'bekostiging materieel'!G$39)+(tab!$D17*'bekostiging materieel'!G$40)))</f>
        <v>0</v>
      </c>
      <c r="Q19" s="221">
        <f ca="1">IF(H24="nee",P19,IF('bekostiging materieel'!H14=0,0,IF('bekostiging materieel'!H$47=0,tab!$C17+(tab!$D17*'bekostiging materieel'!H$36),(+tab!$C17*'bekostiging materieel'!H$85)+(tab!$D17*'bekostiging materieel'!H$37)+(tab!$D17*'bekostiging materieel'!H$38)+(tab!$D17*'bekostiging materieel'!H$39)+(tab!$D17*'bekostiging materieel'!H$40))))</f>
        <v>0</v>
      </c>
      <c r="R19" s="156"/>
      <c r="S19" s="101"/>
    </row>
    <row r="20" spans="2:19" ht="12" customHeight="1">
      <c r="B20" s="74"/>
      <c r="C20" s="138"/>
      <c r="D20" s="140" t="s">
        <v>22</v>
      </c>
      <c r="E20" s="145"/>
      <c r="F20" s="140"/>
      <c r="G20" s="216">
        <f>IF(G56=0,FLOOR(G14*1.03,1),FLOOR(G47*1.03,1)+FLOOR(G56*1.03,1)+FLOOR(G65*1.03,1)+FLOOR(G79*1.03,1))</f>
        <v>0</v>
      </c>
      <c r="H20" s="216" t="s">
        <v>76</v>
      </c>
      <c r="I20" s="185"/>
      <c r="J20" s="99"/>
      <c r="K20" s="138"/>
      <c r="L20" s="139" t="s">
        <v>33</v>
      </c>
      <c r="M20" s="139"/>
      <c r="N20" s="232">
        <v>0</v>
      </c>
      <c r="O20" s="139"/>
      <c r="P20" s="221">
        <f ca="1">IF('bekostiging materieel'!G14=0,0,IF('bekostiging materieel'!G$47=0,tab!$C18+(tab!$D18*'bekostiging materieel'!G$36),(+tab!$C18*'bekostiging materieel'!G$85)+(tab!$D18*'bekostiging materieel'!G$37)+(tab!$D18*'bekostiging materieel'!G$38)+(tab!$D18*'bekostiging materieel'!G$39)+(tab!$D18*'bekostiging materieel'!G$40)))</f>
        <v>0</v>
      </c>
      <c r="Q20" s="221">
        <f ca="1">IF(H24="nee",P20,IF('bekostiging materieel'!H14=0,0,IF('bekostiging materieel'!H$47=0,tab!$C18+(tab!$D18*'bekostiging materieel'!H$36),(+tab!$C18*'bekostiging materieel'!H$85)+(tab!$D18*'bekostiging materieel'!H$37)+(tab!$D18*'bekostiging materieel'!H$38)+(tab!$D18*'bekostiging materieel'!H$39)+(tab!$D18*'bekostiging materieel'!H$40))))</f>
        <v>0</v>
      </c>
      <c r="R20" s="149"/>
      <c r="S20" s="97"/>
    </row>
    <row r="21" spans="2:19" ht="12" customHeight="1">
      <c r="B21" s="102"/>
      <c r="C21" s="157"/>
      <c r="D21" s="140"/>
      <c r="E21" s="145"/>
      <c r="F21" s="140"/>
      <c r="G21" s="146"/>
      <c r="H21" s="146"/>
      <c r="I21" s="184"/>
      <c r="J21" s="96"/>
      <c r="K21" s="190"/>
      <c r="L21" s="139" t="s">
        <v>34</v>
      </c>
      <c r="M21" s="139"/>
      <c r="N21" s="232">
        <v>0</v>
      </c>
      <c r="O21" s="139"/>
      <c r="P21" s="221">
        <f ca="1">IF('bekostiging materieel'!G14=0,0,IF('bekostiging materieel'!G$47=0,tab!$C19+(tab!$D19*'bekostiging materieel'!G$36),(+tab!$C19*'bekostiging materieel'!G$85)+(tab!$D19*'bekostiging materieel'!G$37)+(tab!$D19*'bekostiging materieel'!G$38)+(tab!$D19*'bekostiging materieel'!G$39)+(tab!$D19*'bekostiging materieel'!G$40)))</f>
        <v>0</v>
      </c>
      <c r="Q21" s="221">
        <f ca="1">IF(H24="nee",P21,IF('bekostiging materieel'!H14=0,0,IF('bekostiging materieel'!H$47=0,tab!$C19+(tab!$D19*'bekostiging materieel'!H$36),(+tab!$C19*'bekostiging materieel'!H$85)+(tab!$D19*'bekostiging materieel'!H$37)+(tab!$D19*'bekostiging materieel'!H$38)+(tab!$D19*'bekostiging materieel'!H$39)+(tab!$D19*'bekostiging materieel'!H$40))))</f>
        <v>0</v>
      </c>
      <c r="R21" s="149"/>
      <c r="S21" s="97"/>
    </row>
    <row r="22" spans="2:19" ht="12" customHeight="1">
      <c r="B22" s="102"/>
      <c r="C22" s="157"/>
      <c r="D22" s="141" t="s">
        <v>11</v>
      </c>
      <c r="E22" s="141"/>
      <c r="F22" s="141"/>
      <c r="G22" s="201">
        <v>0</v>
      </c>
      <c r="H22" s="201">
        <f>+G22</f>
        <v>0</v>
      </c>
      <c r="I22" s="184"/>
      <c r="J22" s="96"/>
      <c r="K22" s="138"/>
      <c r="L22" s="152"/>
      <c r="M22" s="152"/>
      <c r="N22" s="147"/>
      <c r="O22" s="139"/>
      <c r="P22" s="230">
        <f ca="1">SUM(P19:P21)</f>
        <v>0</v>
      </c>
      <c r="Q22" s="230">
        <f ca="1">SUM(Q19:Q21)</f>
        <v>0</v>
      </c>
      <c r="R22" s="149"/>
      <c r="S22" s="97"/>
    </row>
    <row r="23" spans="2:19" ht="12" customHeight="1">
      <c r="B23" s="74"/>
      <c r="C23" s="138"/>
      <c r="D23" s="141" t="s">
        <v>80</v>
      </c>
      <c r="E23" s="141"/>
      <c r="F23" s="141"/>
      <c r="G23" s="223" t="s">
        <v>73</v>
      </c>
      <c r="H23" s="239" t="str">
        <f>G23</f>
        <v>nee</v>
      </c>
      <c r="I23" s="142"/>
      <c r="J23" s="75"/>
      <c r="K23" s="138"/>
      <c r="L23" s="158"/>
      <c r="M23" s="158"/>
      <c r="N23" s="147"/>
      <c r="O23" s="140"/>
      <c r="P23" s="159"/>
      <c r="Q23" s="159"/>
      <c r="R23" s="154"/>
      <c r="S23" s="98"/>
    </row>
    <row r="24" spans="2:19" ht="12" customHeight="1">
      <c r="B24" s="74"/>
      <c r="C24" s="157"/>
      <c r="D24" s="139" t="s">
        <v>125</v>
      </c>
      <c r="E24" s="141"/>
      <c r="F24" s="139"/>
      <c r="G24" s="139"/>
      <c r="H24" s="216" t="str">
        <f>IF(H14&gt;G20+12,"ja","nee")</f>
        <v>nee</v>
      </c>
      <c r="I24" s="184"/>
      <c r="J24" s="75"/>
      <c r="K24" s="138"/>
      <c r="L24" s="139" t="s">
        <v>35</v>
      </c>
      <c r="M24" s="139"/>
      <c r="N24" s="232">
        <v>0</v>
      </c>
      <c r="O24" s="152"/>
      <c r="P24" s="230">
        <f ca="1">IF('bekostiging materieel'!G14=0,0,IF('bekostiging materieel'!G$47=0,tab!$C22+(tab!$D22*'bekostiging materieel'!G$36),(+tab!$C22*'bekostiging materieel'!G$85)+(tab!$D22*'bekostiging materieel'!G$37)+(tab!$D22*'bekostiging materieel'!G$38)+(tab!$D22*'bekostiging materieel'!G$39)+(tab!$D22*'bekostiging materieel'!G$40)))</f>
        <v>0</v>
      </c>
      <c r="Q24" s="230">
        <f ca="1">IF(H24="nee",P24,IF('bekostiging materieel'!H14=0,0,IF('bekostiging materieel'!H$47=0,tab!$C22+(tab!$D22*'bekostiging materieel'!H$36),(+tab!$C22*'bekostiging materieel'!H$85)+(tab!$D22*'bekostiging materieel'!H$37)+(tab!$D22*'bekostiging materieel'!H$38)+(tab!$D22*'bekostiging materieel'!H$39)+(tab!$D22*'bekostiging materieel'!H$40))))</f>
        <v>0</v>
      </c>
      <c r="R24" s="155"/>
      <c r="S24" s="100"/>
    </row>
    <row r="25" spans="2:19" ht="12" customHeight="1">
      <c r="B25" s="74"/>
      <c r="C25" s="177"/>
      <c r="D25" s="179"/>
      <c r="E25" s="212"/>
      <c r="F25" s="179"/>
      <c r="G25" s="179"/>
      <c r="H25" s="179"/>
      <c r="I25" s="200"/>
      <c r="J25" s="75"/>
      <c r="K25" s="157"/>
      <c r="L25" s="160"/>
      <c r="M25" s="160"/>
      <c r="N25" s="161"/>
      <c r="O25" s="140"/>
      <c r="P25" s="159"/>
      <c r="Q25" s="159"/>
      <c r="R25" s="154"/>
      <c r="S25" s="98"/>
    </row>
    <row r="26" spans="2:19" ht="12" customHeight="1">
      <c r="B26" s="74"/>
      <c r="C26" s="75"/>
      <c r="D26" s="75"/>
      <c r="E26" s="126"/>
      <c r="F26" s="75"/>
      <c r="G26" s="75"/>
      <c r="H26" s="75"/>
      <c r="I26" s="75"/>
      <c r="J26" s="75"/>
      <c r="K26" s="138"/>
      <c r="L26" s="162" t="s">
        <v>0</v>
      </c>
      <c r="M26" s="162"/>
      <c r="N26" s="163"/>
      <c r="O26" s="162"/>
      <c r="P26" s="229">
        <f ca="1">IF('bekostiging materieel'!G14=0,0,IF('bekostiging materieel'!G47=0,(VLOOKUP('bekostiging materieel'!G29,tab!E56:F105,2,FALSE)),(VLOOKUP('bekostiging materieel'!G30,tab!E56:F105,2,FALSE)+(VLOOKUP('bekostiging materieel'!G31,tab!E56:F105,2,FALSE)+(VLOOKUP('bekostiging materieel'!G32,tab!E56:F105,2,FALSE)+(VLOOKUP('bekostiging materieel'!G33,tab!E56:F105,2,FALSE)))))))</f>
        <v>0</v>
      </c>
      <c r="Q26" s="229">
        <f ca="1">IF(H24="nee",P26,IF('bekostiging materieel'!H14=0,0,IF('bekostiging materieel'!H47=0,(VLOOKUP('bekostiging materieel'!H29,tab!E56:F105,2,FALSE)),(VLOOKUP('bekostiging materieel'!H30,tab!E56:F105,2,FALSE)+(VLOOKUP('bekostiging materieel'!H31,tab!E56:F105,2,FALSE)+(VLOOKUP('bekostiging materieel'!H32,tab!E56:F105,2,FALSE)+(VLOOKUP('bekostiging materieel'!H33,tab!E56:F105,2,FALSE))))))))</f>
        <v>0</v>
      </c>
      <c r="R26" s="155"/>
      <c r="S26" s="100"/>
    </row>
    <row r="27" spans="2:19" ht="12" customHeight="1">
      <c r="B27" s="102"/>
      <c r="C27" s="129"/>
      <c r="D27" s="130"/>
      <c r="E27" s="134"/>
      <c r="F27" s="130"/>
      <c r="G27" s="130"/>
      <c r="H27" s="130"/>
      <c r="I27" s="137"/>
      <c r="J27" s="96"/>
      <c r="K27" s="138"/>
      <c r="L27" s="160"/>
      <c r="M27" s="160"/>
      <c r="N27" s="161"/>
      <c r="O27" s="140"/>
      <c r="P27" s="159"/>
      <c r="Q27" s="159"/>
      <c r="R27" s="155"/>
      <c r="S27" s="100"/>
    </row>
    <row r="28" spans="2:19" ht="12" customHeight="1">
      <c r="B28" s="74"/>
      <c r="C28" s="138"/>
      <c r="D28" s="211" t="s">
        <v>81</v>
      </c>
      <c r="E28" s="211"/>
      <c r="F28" s="141"/>
      <c r="G28" s="141"/>
      <c r="H28" s="141"/>
      <c r="I28" s="142"/>
      <c r="J28" s="75"/>
      <c r="K28" s="191"/>
      <c r="L28" s="140" t="s">
        <v>36</v>
      </c>
      <c r="M28" s="140"/>
      <c r="N28" s="161"/>
      <c r="O28" s="139"/>
      <c r="P28" s="148"/>
      <c r="Q28" s="148"/>
      <c r="R28" s="156"/>
      <c r="S28" s="101"/>
    </row>
    <row r="29" spans="2:19" ht="12" customHeight="1">
      <c r="B29" s="74"/>
      <c r="C29" s="138"/>
      <c r="D29" s="139" t="s">
        <v>21</v>
      </c>
      <c r="E29" s="141"/>
      <c r="F29" s="139"/>
      <c r="G29" s="213">
        <f ca="1">ROUND(((tab!$C$55*G12)+(tab!$C$56*G13)+(IF(tab!$C$58-(G14*tab!$C$59)&lt;0,0,(tab!$C$58-(G14*tab!$C$59))))+(tab!$C$57*G18)),0)</f>
        <v>2</v>
      </c>
      <c r="H29" s="213">
        <f ca="1">ROUND(((tab!$C$55*H12)+(tab!$C$56*H13)+(IF(tab!$C$58-(H14*tab!$C$59)&lt;0,0,(tab!$C$58-(H14*tab!$C$59))))+(tab!$C$57*H18)),0)</f>
        <v>2</v>
      </c>
      <c r="I29" s="142"/>
      <c r="J29" s="75"/>
      <c r="K29" s="138"/>
      <c r="L29" s="139" t="s">
        <v>54</v>
      </c>
      <c r="M29" s="139"/>
      <c r="N29" s="147"/>
      <c r="O29" s="139"/>
      <c r="P29" s="148"/>
      <c r="Q29" s="148"/>
      <c r="R29" s="155"/>
      <c r="S29" s="100"/>
    </row>
    <row r="30" spans="2:19" ht="12" customHeight="1">
      <c r="B30" s="74"/>
      <c r="C30" s="138"/>
      <c r="D30" s="141" t="str">
        <f>D44</f>
        <v>Hoofdvestiging</v>
      </c>
      <c r="E30" s="141"/>
      <c r="F30" s="141"/>
      <c r="G30" s="214">
        <f ca="1">IF(G47=0,0,(ROUND(((tab!$C$55*G45)+(tab!$C$56*G46)+(IF(tab!$C$58-(G47*tab!$C$59)&lt;0,0,(tab!$C$58-(G47*tab!$C$59))))+(tab!$C$57*G51)),0)))</f>
        <v>0</v>
      </c>
      <c r="H30" s="214">
        <f ca="1">IF(H47=0,0,(ROUND(((tab!$C$55*H45)+(tab!$C$56*H46)+(IF(tab!$C$58-(H47*tab!$C$59)&lt;0,0,(tab!$C$58-(H47*tab!$C$59))))+(tab!$C$57*H51)),0)))</f>
        <v>0</v>
      </c>
      <c r="I30" s="142"/>
      <c r="J30" s="75"/>
      <c r="K30" s="138"/>
      <c r="L30" s="139" t="s">
        <v>38</v>
      </c>
      <c r="M30" s="139"/>
      <c r="N30" s="232">
        <v>0</v>
      </c>
      <c r="O30" s="139"/>
      <c r="P30" s="221">
        <f ca="1">IF('bekostiging materieel'!G20=0,0,(tab!$C$28+(tab!$D$28*'bekostiging materieel'!G20)))</f>
        <v>0</v>
      </c>
      <c r="Q30" s="221">
        <f ca="1">IF(H24="nee",P30,IF('bekostiging materieel'!H14=0,0,(tab!$C$28+(tab!$D$28*'bekostiging materieel'!H14))))</f>
        <v>0</v>
      </c>
      <c r="R30" s="149"/>
      <c r="S30" s="97"/>
    </row>
    <row r="31" spans="2:19" ht="12" customHeight="1">
      <c r="B31" s="74"/>
      <c r="C31" s="138"/>
      <c r="D31" s="141" t="str">
        <f>D53</f>
        <v xml:space="preserve">Nevenvestiging </v>
      </c>
      <c r="E31" s="141"/>
      <c r="F31" s="141"/>
      <c r="G31" s="214">
        <f ca="1">IF(G56=0,0,(ROUND(((tab!$C$55*G54)+(tab!$C$56*G55)+(IF(tab!$C$58-(G56*tab!$C$59)&lt;0,0,(tab!$C$58-(G56*tab!$C$59))))+(tab!$C$57*G60)),0)))</f>
        <v>0</v>
      </c>
      <c r="H31" s="214">
        <f ca="1">IF(H56=0,0,(ROUND(((tab!$C$55*H54)+(tab!$C$56*H55)+(IF(tab!$C$58-(H56*tab!$C$59)&lt;0,0,(tab!$C$58-(H56*tab!$C$59))))+(tab!$C$57*H60)),0)))</f>
        <v>0</v>
      </c>
      <c r="I31" s="142"/>
      <c r="J31" s="75"/>
      <c r="K31" s="138"/>
      <c r="L31" s="139" t="s">
        <v>51</v>
      </c>
      <c r="M31" s="139"/>
      <c r="N31" s="232">
        <v>0</v>
      </c>
      <c r="O31" s="139"/>
      <c r="P31" s="221">
        <f ca="1">IF('bekostiging materieel'!G20=0,0,(tab!$C29+(tab!$D29*'bekostiging materieel'!G20)))</f>
        <v>0</v>
      </c>
      <c r="Q31" s="221">
        <f ca="1">IF(H24="nee",P31,IF('bekostiging materieel'!H14=0,0,(tab!$C29+(tab!$D29*'bekostiging materieel'!H14))))</f>
        <v>0</v>
      </c>
      <c r="R31" s="149"/>
      <c r="S31" s="97"/>
    </row>
    <row r="32" spans="2:19" ht="12" customHeight="1">
      <c r="B32" s="74"/>
      <c r="C32" s="138"/>
      <c r="D32" s="141" t="str">
        <f>D62</f>
        <v>Nevenvestiging 2</v>
      </c>
      <c r="E32" s="141"/>
      <c r="F32" s="141"/>
      <c r="G32" s="214">
        <f ca="1">IF(G65=0,0,(ROUND(((tab!$C$55*G63)+(tab!$C$56*G64)+(IF(tab!$C$58-(G65*tab!$C$59)&lt;0,0,(tab!$C$58-(G65*tab!$C$59))))+(tab!$C$57*G69)),0)))</f>
        <v>0</v>
      </c>
      <c r="H32" s="214">
        <f ca="1">IF(H65=0,0,(ROUND(((tab!$C$55*H63)+(tab!$C$56*H64)+(IF(tab!$C$58-(H65*tab!$C$59)&lt;0,0,(tab!$C$58-(H65*tab!$C$59))))+(tab!$C$57*H69)),0)))</f>
        <v>0</v>
      </c>
      <c r="I32" s="142"/>
      <c r="J32" s="75"/>
      <c r="K32" s="138"/>
      <c r="L32" s="139" t="s">
        <v>39</v>
      </c>
      <c r="M32" s="139"/>
      <c r="N32" s="232">
        <v>0</v>
      </c>
      <c r="O32" s="139"/>
      <c r="P32" s="221">
        <f ca="1">IF('bekostiging materieel'!G20=0,0,(tab!$C30+(tab!$D30*'bekostiging materieel'!G20)))</f>
        <v>0</v>
      </c>
      <c r="Q32" s="221">
        <f ca="1">IF(H24="nee",P32,IF('bekostiging materieel'!H14=0,0,(tab!$C30+(tab!$D30*'bekostiging materieel'!H14))))</f>
        <v>0</v>
      </c>
      <c r="R32" s="149"/>
      <c r="S32" s="97"/>
    </row>
    <row r="33" spans="2:19" ht="12" customHeight="1">
      <c r="B33" s="74"/>
      <c r="C33" s="138"/>
      <c r="D33" s="141" t="str">
        <f>D76</f>
        <v>Nevenvestiging 3</v>
      </c>
      <c r="E33" s="141"/>
      <c r="F33" s="141"/>
      <c r="G33" s="214">
        <f ca="1">IF(G79=0,0,(ROUND(((tab!$C$55*G77)+(tab!$C$56*G78)+(IF(tab!$C$58-(G79*tab!$C$59)&lt;0,0,(tab!$C$58-(G79*tab!$C$59))))+(tab!$C$57*G83)),0)))</f>
        <v>0</v>
      </c>
      <c r="H33" s="214">
        <f ca="1">IF(H79=0,0,(ROUND(((tab!$C$55*H77)+(tab!$C$56*H78)+(IF(tab!$C$58-(H79*tab!$C$59)&lt;0,0,(tab!$C$58-(H79*tab!$C$59))))+(tab!$C$57*H83)),0)))</f>
        <v>0</v>
      </c>
      <c r="I33" s="142"/>
      <c r="J33" s="75"/>
      <c r="K33" s="138"/>
      <c r="L33" s="139" t="s">
        <v>40</v>
      </c>
      <c r="M33" s="139"/>
      <c r="N33" s="232">
        <v>0</v>
      </c>
      <c r="O33" s="139"/>
      <c r="P33" s="221">
        <f ca="1">IF('bekostiging materieel'!G20=0,0,(tab!$C31+(tab!$D31*'bekostiging materieel'!G20)))</f>
        <v>0</v>
      </c>
      <c r="Q33" s="221">
        <f ca="1">IF(H24="nee",P33,IF('bekostiging materieel'!H14=0,0,(tab!$C31+(tab!$D31*'bekostiging materieel'!H14))))</f>
        <v>0</v>
      </c>
      <c r="R33" s="149"/>
      <c r="S33" s="97"/>
    </row>
    <row r="34" spans="2:19" ht="12" customHeight="1">
      <c r="B34" s="74"/>
      <c r="C34" s="138"/>
      <c r="D34" s="141"/>
      <c r="E34" s="141"/>
      <c r="F34" s="141"/>
      <c r="G34" s="141"/>
      <c r="H34" s="141"/>
      <c r="I34" s="142"/>
      <c r="J34" s="75"/>
      <c r="K34" s="138"/>
      <c r="L34" s="139" t="s">
        <v>9</v>
      </c>
      <c r="M34" s="139"/>
      <c r="N34" s="232">
        <v>0</v>
      </c>
      <c r="O34" s="139"/>
      <c r="P34" s="221">
        <f ca="1">IF('bekostiging materieel'!G20=0,0,(tab!$C32+(tab!$D32*'bekostiging materieel'!G20)))</f>
        <v>0</v>
      </c>
      <c r="Q34" s="221">
        <f ca="1">IF(H24="nee",P34,IF('bekostiging materieel'!H14=0,0,(tab!$C32+(tab!$D32*'bekostiging materieel'!H14))))</f>
        <v>0</v>
      </c>
      <c r="R34" s="149"/>
      <c r="S34" s="97"/>
    </row>
    <row r="35" spans="2:19" ht="12" customHeight="1">
      <c r="B35" s="74"/>
      <c r="C35" s="138"/>
      <c r="D35" s="211" t="s">
        <v>82</v>
      </c>
      <c r="E35" s="211"/>
      <c r="F35" s="141"/>
      <c r="G35" s="141"/>
      <c r="H35" s="141"/>
      <c r="I35" s="142"/>
      <c r="J35" s="75"/>
      <c r="K35" s="138"/>
      <c r="L35" s="139" t="s">
        <v>10</v>
      </c>
      <c r="M35" s="139"/>
      <c r="N35" s="232">
        <v>0</v>
      </c>
      <c r="O35" s="139"/>
      <c r="P35" s="221">
        <f ca="1">IF('bekostiging materieel'!G20=0,0,(tab!$C33+(tab!$D33*'bekostiging materieel'!G20)))</f>
        <v>0</v>
      </c>
      <c r="Q35" s="221">
        <f ca="1">IF(H24="nee",P35,IF('bekostiging materieel'!H14=0,0,(tab!$C33+(tab!$D33*'bekostiging materieel'!H14))))</f>
        <v>0</v>
      </c>
      <c r="R35" s="149"/>
      <c r="S35" s="97"/>
    </row>
    <row r="36" spans="2:19" ht="12" customHeight="1">
      <c r="B36" s="74"/>
      <c r="C36" s="138"/>
      <c r="D36" s="141" t="str">
        <f>D29</f>
        <v>School zonder nevenvestiging</v>
      </c>
      <c r="E36" s="141"/>
      <c r="F36" s="139"/>
      <c r="G36" s="214">
        <f t="shared" ref="G36:H40" ca="1" si="0">LOOKUP(G29,groepenleerlingennu,vloeroppervlaknu)</f>
        <v>375</v>
      </c>
      <c r="H36" s="214">
        <f t="shared" ca="1" si="0"/>
        <v>375</v>
      </c>
      <c r="I36" s="142"/>
      <c r="J36" s="75"/>
      <c r="K36" s="138"/>
      <c r="L36" s="139" t="s">
        <v>77</v>
      </c>
      <c r="M36" s="139"/>
      <c r="N36" s="232">
        <v>0</v>
      </c>
      <c r="O36" s="139"/>
      <c r="P36" s="221">
        <f ca="1">IF('bekostiging materieel'!G20=0,0,(tab!$C34+(tab!$D34*'bekostiging materieel'!G20)))</f>
        <v>0</v>
      </c>
      <c r="Q36" s="221">
        <f ca="1">IF(H24="nee",P36,IF('bekostiging materieel'!H14=0,0,(tab!$C34+(tab!$D34*'bekostiging materieel'!H14))))</f>
        <v>0</v>
      </c>
      <c r="R36" s="149"/>
      <c r="S36" s="97"/>
    </row>
    <row r="37" spans="2:19" ht="12" customHeight="1">
      <c r="B37" s="74"/>
      <c r="C37" s="138"/>
      <c r="D37" s="141" t="str">
        <f>D30</f>
        <v>Hoofdvestiging</v>
      </c>
      <c r="E37" s="141"/>
      <c r="F37" s="141"/>
      <c r="G37" s="214">
        <f t="shared" ca="1" si="0"/>
        <v>0</v>
      </c>
      <c r="H37" s="214">
        <f t="shared" ca="1" si="0"/>
        <v>0</v>
      </c>
      <c r="I37" s="142"/>
      <c r="J37" s="75"/>
      <c r="K37" s="138"/>
      <c r="L37" s="139" t="s">
        <v>41</v>
      </c>
      <c r="M37" s="139"/>
      <c r="N37" s="232">
        <v>0</v>
      </c>
      <c r="O37" s="139"/>
      <c r="P37" s="221">
        <f ca="1">IF('bekostiging materieel'!G20=0,0,(tab!$C35+(tab!$D35*'bekostiging materieel'!G20)))</f>
        <v>0</v>
      </c>
      <c r="Q37" s="221">
        <f ca="1">IF(H24="nee",P37,IF('bekostiging materieel'!H14=0,0,(tab!$C35+(tab!$D35*'bekostiging materieel'!H14))))</f>
        <v>0</v>
      </c>
      <c r="R37" s="149"/>
      <c r="S37" s="97"/>
    </row>
    <row r="38" spans="2:19" ht="12" customHeight="1">
      <c r="B38" s="74"/>
      <c r="C38" s="138"/>
      <c r="D38" s="141" t="str">
        <f>D31</f>
        <v xml:space="preserve">Nevenvestiging </v>
      </c>
      <c r="E38" s="141"/>
      <c r="F38" s="141"/>
      <c r="G38" s="214">
        <f t="shared" ca="1" si="0"/>
        <v>0</v>
      </c>
      <c r="H38" s="214">
        <f t="shared" ca="1" si="0"/>
        <v>0</v>
      </c>
      <c r="I38" s="142"/>
      <c r="J38" s="75"/>
      <c r="K38" s="138"/>
      <c r="L38" s="139" t="s">
        <v>6</v>
      </c>
      <c r="M38" s="139"/>
      <c r="N38" s="232">
        <v>0</v>
      </c>
      <c r="O38" s="164"/>
      <c r="P38" s="221">
        <f ca="1">IF('bekostiging materieel'!G20=0,0,(tab!$C36+(tab!$D36*'bekostiging materieel'!G20)))</f>
        <v>0</v>
      </c>
      <c r="Q38" s="221">
        <f ca="1">IF(H24="nee",P38,IF('bekostiging materieel'!H14=0,0,(tab!$C36+(tab!$D36*'bekostiging materieel'!H14))))</f>
        <v>0</v>
      </c>
      <c r="R38" s="149"/>
      <c r="S38" s="97"/>
    </row>
    <row r="39" spans="2:19" ht="12" customHeight="1">
      <c r="B39" s="74"/>
      <c r="C39" s="138"/>
      <c r="D39" s="141" t="str">
        <f>D32</f>
        <v>Nevenvestiging 2</v>
      </c>
      <c r="E39" s="141"/>
      <c r="F39" s="141"/>
      <c r="G39" s="214">
        <f ca="1">LOOKUP(G32,groepenleerlingennu,vloeroppervlaknu)</f>
        <v>0</v>
      </c>
      <c r="H39" s="214">
        <f ca="1">LOOKUP(H32,groepenleerlingennu,vloeroppervlaknu)</f>
        <v>0</v>
      </c>
      <c r="I39" s="142"/>
      <c r="J39" s="75"/>
      <c r="K39" s="138"/>
      <c r="L39" s="139" t="s">
        <v>8</v>
      </c>
      <c r="M39" s="139"/>
      <c r="N39" s="232">
        <v>0</v>
      </c>
      <c r="O39" s="165"/>
      <c r="P39" s="221">
        <f ca="1">IF('bekostiging materieel'!G20=0,0,(tab!$C37+(tab!$D37*'bekostiging materieel'!G20)))</f>
        <v>0</v>
      </c>
      <c r="Q39" s="221">
        <f ca="1">IF(H24="nee",P39,IF('bekostiging materieel'!H14=0,0,(tab!$C37+(tab!$D37*'bekostiging materieel'!H14))))</f>
        <v>0</v>
      </c>
      <c r="R39" s="149"/>
      <c r="S39" s="97"/>
    </row>
    <row r="40" spans="2:19" ht="12" customHeight="1">
      <c r="B40" s="74"/>
      <c r="C40" s="138"/>
      <c r="D40" s="141" t="str">
        <f>D33</f>
        <v>Nevenvestiging 3</v>
      </c>
      <c r="E40" s="141"/>
      <c r="F40" s="141"/>
      <c r="G40" s="214">
        <f t="shared" ca="1" si="0"/>
        <v>0</v>
      </c>
      <c r="H40" s="214">
        <f ca="1">LOOKUP(H33,groepenleerlingennu,vloeroppervlaknu)</f>
        <v>0</v>
      </c>
      <c r="I40" s="142"/>
      <c r="J40" s="75"/>
      <c r="K40" s="138"/>
      <c r="L40" s="139" t="s">
        <v>7</v>
      </c>
      <c r="M40" s="139"/>
      <c r="N40" s="232">
        <v>0</v>
      </c>
      <c r="O40" s="165"/>
      <c r="P40" s="221">
        <f ca="1">IF('bekostiging materieel'!G20=0,0,(tab!$C38+(tab!$D38*'bekostiging materieel'!G20)))</f>
        <v>0</v>
      </c>
      <c r="Q40" s="221">
        <f ca="1">IF(H24="nee",P40,IF('bekostiging materieel'!H14=0,0,(tab!$C38+(tab!$D38*'bekostiging materieel'!H14))))</f>
        <v>0</v>
      </c>
      <c r="R40" s="166"/>
      <c r="S40" s="97"/>
    </row>
    <row r="41" spans="2:19" ht="12" customHeight="1">
      <c r="B41" s="74"/>
      <c r="C41" s="177"/>
      <c r="D41" s="212"/>
      <c r="E41" s="212"/>
      <c r="F41" s="212"/>
      <c r="G41" s="212"/>
      <c r="H41" s="212"/>
      <c r="I41" s="200"/>
      <c r="J41" s="75"/>
      <c r="K41" s="138"/>
      <c r="L41" s="139" t="s">
        <v>42</v>
      </c>
      <c r="M41" s="139"/>
      <c r="N41" s="232">
        <v>0</v>
      </c>
      <c r="O41" s="139"/>
      <c r="P41" s="221">
        <f ca="1">IF('bekostiging materieel'!G20=0,0,(tab!$C39+(tab!$D39*'bekostiging materieel'!G20)))</f>
        <v>0</v>
      </c>
      <c r="Q41" s="221">
        <f ca="1">IF(H24="nee",P41,IF('bekostiging materieel'!H14=0,0,(tab!$C39+(tab!$D39*'bekostiging materieel'!H14))))</f>
        <v>0</v>
      </c>
      <c r="R41" s="167"/>
      <c r="S41" s="97"/>
    </row>
    <row r="42" spans="2:19" ht="12" customHeight="1">
      <c r="B42" s="74"/>
      <c r="C42" s="75"/>
      <c r="D42" s="75"/>
      <c r="E42" s="126"/>
      <c r="F42" s="75"/>
      <c r="G42" s="75"/>
      <c r="H42" s="75"/>
      <c r="I42" s="75"/>
      <c r="J42" s="75"/>
      <c r="K42" s="138"/>
      <c r="L42" s="152" t="s">
        <v>60</v>
      </c>
      <c r="M42" s="152"/>
      <c r="N42" s="147"/>
      <c r="O42" s="139"/>
      <c r="P42" s="230">
        <f>SUM(P30:P41)</f>
        <v>0</v>
      </c>
      <c r="Q42" s="230">
        <f>SUM(Q30:Q41)</f>
        <v>0</v>
      </c>
      <c r="R42" s="167"/>
      <c r="S42" s="97"/>
    </row>
    <row r="43" spans="2:19" ht="12" customHeight="1">
      <c r="B43" s="102"/>
      <c r="C43" s="129"/>
      <c r="D43" s="130"/>
      <c r="E43" s="134"/>
      <c r="F43" s="130"/>
      <c r="G43" s="130"/>
      <c r="H43" s="130"/>
      <c r="I43" s="137"/>
      <c r="J43" s="103"/>
      <c r="K43" s="138"/>
      <c r="L43" s="160"/>
      <c r="M43" s="160"/>
      <c r="N43" s="161"/>
      <c r="O43" s="140"/>
      <c r="P43" s="159"/>
      <c r="Q43" s="159"/>
      <c r="R43" s="149"/>
      <c r="S43" s="97"/>
    </row>
    <row r="44" spans="2:19" ht="12" customHeight="1">
      <c r="B44" s="102"/>
      <c r="C44" s="138"/>
      <c r="D44" s="235" t="s">
        <v>71</v>
      </c>
      <c r="E44" s="218"/>
      <c r="F44" s="139"/>
      <c r="G44" s="139"/>
      <c r="H44" s="139"/>
      <c r="I44" s="142"/>
      <c r="J44" s="103"/>
      <c r="K44" s="157"/>
      <c r="L44" s="139" t="s">
        <v>55</v>
      </c>
      <c r="M44" s="139"/>
      <c r="N44" s="147"/>
      <c r="O44" s="139"/>
      <c r="P44" s="148"/>
      <c r="Q44" s="148"/>
      <c r="R44" s="154"/>
      <c r="S44" s="98"/>
    </row>
    <row r="45" spans="2:19" ht="12" customHeight="1">
      <c r="B45" s="74"/>
      <c r="C45" s="138"/>
      <c r="D45" s="141" t="s">
        <v>23</v>
      </c>
      <c r="E45" s="141"/>
      <c r="F45" s="139"/>
      <c r="G45" s="222">
        <f>IF(G56=0,0,G12-(G54+G63+G77))</f>
        <v>0</v>
      </c>
      <c r="H45" s="222">
        <f>IF(H56=0,0,H12-(H54+H63+H77))</f>
        <v>0</v>
      </c>
      <c r="I45" s="186"/>
      <c r="J45" s="77"/>
      <c r="K45" s="138"/>
      <c r="L45" s="139" t="s">
        <v>44</v>
      </c>
      <c r="M45" s="139"/>
      <c r="N45" s="232">
        <v>0</v>
      </c>
      <c r="O45" s="139"/>
      <c r="P45" s="221">
        <f ca="1">IF('bekostiging materieel'!G20=0,0,(tab!$C42+(tab!$D42*'bekostiging materieel'!G20)))</f>
        <v>0</v>
      </c>
      <c r="Q45" s="221">
        <f ca="1">IF(H24="nee",P45,IF('bekostiging materieel'!H14=0,0,(tab!$C42+(tab!$D42*'bekostiging materieel'!H14))))</f>
        <v>0</v>
      </c>
      <c r="R45" s="155"/>
      <c r="S45" s="100"/>
    </row>
    <row r="46" spans="2:19" ht="12" customHeight="1">
      <c r="B46" s="74"/>
      <c r="C46" s="138"/>
      <c r="D46" s="141" t="s">
        <v>24</v>
      </c>
      <c r="E46" s="141"/>
      <c r="F46" s="139"/>
      <c r="G46" s="222">
        <f>IF(G56=0,0,G13-(G55+G64+G78))</f>
        <v>0</v>
      </c>
      <c r="H46" s="222">
        <f>IF(H56=0,0,H13-(H55+H64+H78))</f>
        <v>0</v>
      </c>
      <c r="I46" s="142"/>
      <c r="J46" s="77"/>
      <c r="K46" s="138"/>
      <c r="L46" s="139" t="s">
        <v>45</v>
      </c>
      <c r="M46" s="139"/>
      <c r="N46" s="232">
        <v>0</v>
      </c>
      <c r="O46" s="139"/>
      <c r="P46" s="221">
        <f ca="1">IF('bekostiging materieel'!G20=0,0,(tab!$C43+(tab!$D43*'bekostiging materieel'!G20)))</f>
        <v>0</v>
      </c>
      <c r="Q46" s="221">
        <f ca="1">IF(H24="nee",P46,IF('bekostiging materieel'!H14=0,0,(tab!$C43+(tab!$D43*'bekostiging materieel'!H14))))</f>
        <v>0</v>
      </c>
      <c r="R46" s="149"/>
      <c r="S46" s="97"/>
    </row>
    <row r="47" spans="2:19" ht="12" customHeight="1">
      <c r="B47" s="104"/>
      <c r="C47" s="168"/>
      <c r="D47" s="145" t="s">
        <v>62</v>
      </c>
      <c r="E47" s="145"/>
      <c r="F47" s="145"/>
      <c r="G47" s="216">
        <f>G45+G46</f>
        <v>0</v>
      </c>
      <c r="H47" s="216">
        <f>H45+H46</f>
        <v>0</v>
      </c>
      <c r="I47" s="142"/>
      <c r="J47" s="105"/>
      <c r="K47" s="190"/>
      <c r="L47" s="139" t="s">
        <v>46</v>
      </c>
      <c r="M47" s="139"/>
      <c r="N47" s="232">
        <v>0</v>
      </c>
      <c r="O47" s="139"/>
      <c r="P47" s="221">
        <f ca="1">IF('bekostiging materieel'!G20=0,0,(tab!$C44+(tab!$D44*'bekostiging materieel'!G20)))</f>
        <v>0</v>
      </c>
      <c r="Q47" s="221">
        <f ca="1">IF(H24="nee",P47,IF('bekostiging materieel'!H14=0,0,(tab!$C44+(tab!$D44*'bekostiging materieel'!H14))))</f>
        <v>0</v>
      </c>
      <c r="R47" s="149"/>
      <c r="S47" s="97"/>
    </row>
    <row r="48" spans="2:19" ht="12" customHeight="1">
      <c r="B48" s="74"/>
      <c r="C48" s="138"/>
      <c r="D48" s="150" t="s">
        <v>58</v>
      </c>
      <c r="E48" s="220">
        <v>0.3</v>
      </c>
      <c r="F48" s="139"/>
      <c r="G48" s="222">
        <f>IF(G$56=0,0,(G15-(G57+G66+G80)))</f>
        <v>0</v>
      </c>
      <c r="H48" s="222">
        <f>IF(H$56=0,0,(H15-(H57+H66+H80)))</f>
        <v>0</v>
      </c>
      <c r="I48" s="142"/>
      <c r="J48" s="75"/>
      <c r="K48" s="138"/>
      <c r="L48" s="152" t="s">
        <v>143</v>
      </c>
      <c r="M48" s="152"/>
      <c r="N48" s="169"/>
      <c r="O48" s="139"/>
      <c r="P48" s="230">
        <f>+SUM(P45:P47)</f>
        <v>0</v>
      </c>
      <c r="Q48" s="230">
        <f>+SUM(Q45:Q47)</f>
        <v>0</v>
      </c>
      <c r="R48" s="149"/>
      <c r="S48" s="97"/>
    </row>
    <row r="49" spans="2:19" ht="12" customHeight="1">
      <c r="B49" s="74"/>
      <c r="C49" s="138"/>
      <c r="D49" s="150" t="s">
        <v>58</v>
      </c>
      <c r="E49" s="220">
        <v>1.2</v>
      </c>
      <c r="F49" s="139"/>
      <c r="G49" s="222">
        <f>IF(G$56=0,0,(G16-(G58+G67+G81)))</f>
        <v>0</v>
      </c>
      <c r="H49" s="222">
        <f>IF(H$56=0,0,(H16-(H58+H67+H81)))</f>
        <v>0</v>
      </c>
      <c r="I49" s="142"/>
      <c r="J49" s="75"/>
      <c r="K49" s="138"/>
      <c r="L49" s="139"/>
      <c r="M49" s="139"/>
      <c r="N49" s="147"/>
      <c r="O49" s="139"/>
      <c r="P49" s="139"/>
      <c r="Q49" s="139"/>
      <c r="R49" s="149"/>
      <c r="S49" s="97"/>
    </row>
    <row r="50" spans="2:19" ht="12" customHeight="1">
      <c r="B50" s="74"/>
      <c r="C50" s="138"/>
      <c r="D50" s="141" t="s">
        <v>56</v>
      </c>
      <c r="E50" s="141"/>
      <c r="F50" s="139"/>
      <c r="G50" s="213">
        <f>($E$15*G48)+($E$16*G49)</f>
        <v>0</v>
      </c>
      <c r="H50" s="213">
        <f>($E$15*H48)+($E$16*H49)</f>
        <v>0</v>
      </c>
      <c r="I50" s="142"/>
      <c r="J50" s="75"/>
      <c r="K50" s="138"/>
      <c r="L50" s="170" t="s">
        <v>1</v>
      </c>
      <c r="M50" s="170"/>
      <c r="N50" s="163"/>
      <c r="O50" s="162"/>
      <c r="P50" s="229">
        <f>P42+P48</f>
        <v>0</v>
      </c>
      <c r="Q50" s="229">
        <f>Q42+Q48</f>
        <v>0</v>
      </c>
      <c r="R50" s="154"/>
      <c r="S50" s="98"/>
    </row>
    <row r="51" spans="2:19" s="60" customFormat="1" ht="12" customHeight="1">
      <c r="B51" s="74"/>
      <c r="C51" s="138"/>
      <c r="D51" s="145" t="s">
        <v>72</v>
      </c>
      <c r="E51" s="145"/>
      <c r="F51" s="139"/>
      <c r="G51" s="215">
        <f>ROUND(IF(G52&lt;(G47*0.8),G52,(0.8*G47)),0)</f>
        <v>0</v>
      </c>
      <c r="H51" s="215">
        <f>ROUND(IF(H52&lt;(H47*0.8),H52,(0.8*H47)),0)</f>
        <v>0</v>
      </c>
      <c r="I51" s="142"/>
      <c r="J51" s="75"/>
      <c r="K51" s="138"/>
      <c r="L51" s="139"/>
      <c r="M51" s="139"/>
      <c r="N51" s="147"/>
      <c r="O51" s="139"/>
      <c r="P51" s="139"/>
      <c r="Q51" s="139"/>
      <c r="R51" s="155"/>
      <c r="S51" s="100"/>
    </row>
    <row r="52" spans="2:19" ht="12" customHeight="1">
      <c r="B52" s="74"/>
      <c r="C52" s="138"/>
      <c r="D52" s="171"/>
      <c r="E52" s="171"/>
      <c r="F52" s="140"/>
      <c r="G52" s="224">
        <f ca="1">ROUND(IF(G50-(tab!$C$7*G47)&lt;0,0,(G50-(tab!$C$7*G47))),0)</f>
        <v>0</v>
      </c>
      <c r="H52" s="224">
        <f ca="1">ROUND(IF(H50-(tab!$C$7*H47)&lt;0,0,(H50-(tab!$C$7*H47))),0)</f>
        <v>0</v>
      </c>
      <c r="I52" s="142"/>
      <c r="J52" s="75"/>
      <c r="K52" s="157"/>
      <c r="L52" s="140" t="s">
        <v>120</v>
      </c>
      <c r="M52" s="139"/>
      <c r="N52" s="147"/>
      <c r="O52" s="140"/>
      <c r="P52" s="159"/>
      <c r="Q52" s="159"/>
      <c r="R52" s="156"/>
      <c r="S52" s="101"/>
    </row>
    <row r="53" spans="2:19" ht="12" customHeight="1">
      <c r="B53" s="74"/>
      <c r="C53" s="138"/>
      <c r="D53" s="235" t="s">
        <v>122</v>
      </c>
      <c r="E53" s="218"/>
      <c r="F53" s="139"/>
      <c r="G53" s="139"/>
      <c r="H53" s="139"/>
      <c r="I53" s="142"/>
      <c r="J53" s="75"/>
      <c r="K53" s="138"/>
      <c r="L53" s="139" t="s">
        <v>12</v>
      </c>
      <c r="M53" s="139"/>
      <c r="N53" s="232">
        <v>0</v>
      </c>
      <c r="O53" s="152"/>
      <c r="P53" s="221">
        <f ca="1">IF(G22=0,0,(+tab!$C50+(tab!$D50*(FLOOR(+G22*1.03,1)))))</f>
        <v>0</v>
      </c>
      <c r="Q53" s="221">
        <f ca="1">IF(H24="nee",P53,IF(H14=0,0,+tab!C50+(tab!D50*(FLOOR(+H22*1.03,1)))))</f>
        <v>0</v>
      </c>
      <c r="R53" s="155"/>
      <c r="S53" s="100"/>
    </row>
    <row r="54" spans="2:19" ht="12" customHeight="1">
      <c r="B54" s="74"/>
      <c r="C54" s="138"/>
      <c r="D54" s="141" t="s">
        <v>23</v>
      </c>
      <c r="E54" s="141"/>
      <c r="F54" s="139"/>
      <c r="G54" s="201">
        <v>0</v>
      </c>
      <c r="H54" s="201">
        <f>+G54</f>
        <v>0</v>
      </c>
      <c r="I54" s="142"/>
      <c r="J54" s="75"/>
      <c r="K54" s="157"/>
      <c r="L54" s="139" t="s">
        <v>61</v>
      </c>
      <c r="M54" s="139"/>
      <c r="N54" s="232">
        <v>0</v>
      </c>
      <c r="O54" s="162"/>
      <c r="P54" s="221">
        <f ca="1">IF('bekostiging materieel'!G20=0,0,+tab!$C$51+(tab!$D$51*P55))</f>
        <v>0</v>
      </c>
      <c r="Q54" s="221">
        <f ca="1">IF(H24="nee",P54,IF('bekostiging materieel'!H14=0,0,+tab!$C$51+(tab!$D$51*Q55)))</f>
        <v>0</v>
      </c>
      <c r="R54" s="154"/>
      <c r="S54" s="98"/>
    </row>
    <row r="55" spans="2:19" ht="12" customHeight="1">
      <c r="B55" s="74"/>
      <c r="C55" s="138"/>
      <c r="D55" s="141" t="s">
        <v>24</v>
      </c>
      <c r="E55" s="141"/>
      <c r="F55" s="139"/>
      <c r="G55" s="201">
        <v>0</v>
      </c>
      <c r="H55" s="201">
        <f>+G55</f>
        <v>0</v>
      </c>
      <c r="I55" s="142"/>
      <c r="J55" s="75"/>
      <c r="K55" s="138"/>
      <c r="L55" s="236" t="s">
        <v>47</v>
      </c>
      <c r="M55" s="236"/>
      <c r="N55" s="237"/>
      <c r="O55" s="236"/>
      <c r="P55" s="238">
        <f ca="1">IF('bekostiging materieel'!G$23="ja",(ROUND('bekostiging materieel'!G20*2%,0)),0)</f>
        <v>0</v>
      </c>
      <c r="Q55" s="238">
        <f ca="1">IF(H24="nee",P55,IF('bekostiging materieel'!H$23="ja",(ROUND('bekostiging materieel'!H14*2%,0)),0))</f>
        <v>0</v>
      </c>
      <c r="R55" s="155"/>
      <c r="S55" s="100"/>
    </row>
    <row r="56" spans="2:19" ht="12" customHeight="1">
      <c r="B56" s="74"/>
      <c r="C56" s="138"/>
      <c r="D56" s="145" t="s">
        <v>62</v>
      </c>
      <c r="E56" s="145"/>
      <c r="F56" s="139"/>
      <c r="G56" s="216">
        <f>G54+G55</f>
        <v>0</v>
      </c>
      <c r="H56" s="216">
        <f>H54+H55</f>
        <v>0</v>
      </c>
      <c r="I56" s="142"/>
      <c r="J56" s="75"/>
      <c r="K56" s="138"/>
      <c r="L56" s="162" t="s">
        <v>119</v>
      </c>
      <c r="M56" s="162"/>
      <c r="N56" s="172"/>
      <c r="O56" s="162"/>
      <c r="P56" s="228">
        <f>SUM(P53:P54)</f>
        <v>0</v>
      </c>
      <c r="Q56" s="228">
        <f>SUM(Q53:Q54)</f>
        <v>0</v>
      </c>
      <c r="R56" s="149"/>
      <c r="S56" s="97"/>
    </row>
    <row r="57" spans="2:19" ht="12" customHeight="1">
      <c r="B57" s="74"/>
      <c r="C57" s="138"/>
      <c r="D57" s="150" t="s">
        <v>58</v>
      </c>
      <c r="E57" s="220">
        <v>0.3</v>
      </c>
      <c r="F57" s="139"/>
      <c r="G57" s="201">
        <v>0</v>
      </c>
      <c r="H57" s="201">
        <f>+G57</f>
        <v>0</v>
      </c>
      <c r="I57" s="142"/>
      <c r="J57" s="75"/>
      <c r="K57" s="157"/>
      <c r="L57" s="139"/>
      <c r="M57" s="139"/>
      <c r="N57" s="143"/>
      <c r="O57" s="139"/>
      <c r="P57" s="139"/>
      <c r="Q57" s="139"/>
      <c r="R57" s="156"/>
      <c r="S57" s="101"/>
    </row>
    <row r="58" spans="2:19" ht="12" customHeight="1">
      <c r="B58" s="102"/>
      <c r="C58" s="138"/>
      <c r="D58" s="150" t="s">
        <v>58</v>
      </c>
      <c r="E58" s="220">
        <v>1.2</v>
      </c>
      <c r="F58" s="139"/>
      <c r="G58" s="201">
        <v>0</v>
      </c>
      <c r="H58" s="201">
        <f>+G58</f>
        <v>0</v>
      </c>
      <c r="I58" s="142"/>
      <c r="J58" s="75"/>
      <c r="K58" s="157"/>
      <c r="L58" s="139"/>
      <c r="M58" s="139"/>
      <c r="N58" s="143"/>
      <c r="O58" s="139"/>
      <c r="P58" s="139"/>
      <c r="Q58" s="139"/>
      <c r="R58" s="156"/>
      <c r="S58" s="98"/>
    </row>
    <row r="59" spans="2:19" ht="12" customHeight="1">
      <c r="B59" s="74"/>
      <c r="C59" s="138"/>
      <c r="D59" s="141" t="s">
        <v>56</v>
      </c>
      <c r="E59" s="141"/>
      <c r="F59" s="139"/>
      <c r="G59" s="213">
        <f>($E$15*G57)+($E$16*G58)</f>
        <v>0</v>
      </c>
      <c r="H59" s="213">
        <f>($E$15*H57)+($E$16*H58)</f>
        <v>0</v>
      </c>
      <c r="I59" s="142"/>
      <c r="J59" s="75"/>
      <c r="K59" s="157"/>
      <c r="L59" s="140" t="s">
        <v>74</v>
      </c>
      <c r="M59" s="140"/>
      <c r="N59" s="231" t="e">
        <f>ROUND(((N14*P14+N15*P15+N16*P16+N19*P19+N20*P20+N21*P21+N24*P24+N30*P30+N31*P31+N32*P32+N33*P33+N34*P34+N35*P35+N36*P36+N37*P37+N38*P38+N39*P39+N40*P40+N41*P41+N45*P45+N46*P46+N47*P47+N53*P53+N54*P54)/P59),2)</f>
        <v>#DIV/0!</v>
      </c>
      <c r="O59" s="139"/>
      <c r="P59" s="227">
        <f>P26+P50+P56</f>
        <v>0</v>
      </c>
      <c r="Q59" s="227">
        <f>Q26+Q50+Q56</f>
        <v>0</v>
      </c>
      <c r="R59" s="154"/>
      <c r="S59" s="98"/>
    </row>
    <row r="60" spans="2:19" ht="12" customHeight="1">
      <c r="B60" s="74"/>
      <c r="C60" s="138"/>
      <c r="D60" s="145" t="s">
        <v>72</v>
      </c>
      <c r="E60" s="145"/>
      <c r="F60" s="139"/>
      <c r="G60" s="215">
        <f>ROUND(IF(G61&lt;(G56*0.8),G61,(0.8*G56)),0)</f>
        <v>0</v>
      </c>
      <c r="H60" s="215">
        <f>ROUND(IF(H61&lt;(H56*0.8),H61,(0.8*H56)),0)</f>
        <v>0</v>
      </c>
      <c r="I60" s="142"/>
      <c r="J60" s="75"/>
      <c r="K60" s="157"/>
      <c r="L60" s="139"/>
      <c r="M60" s="139"/>
      <c r="N60" s="143"/>
      <c r="O60" s="139"/>
      <c r="P60" s="139"/>
      <c r="Q60" s="139"/>
      <c r="R60" s="154"/>
      <c r="S60" s="98"/>
    </row>
    <row r="61" spans="2:19" ht="12" customHeight="1">
      <c r="B61" s="74"/>
      <c r="C61" s="138"/>
      <c r="D61" s="171"/>
      <c r="E61" s="171"/>
      <c r="F61" s="139"/>
      <c r="G61" s="224">
        <f ca="1">ROUND(IF(G59-(tab!$C$7*G56)&lt;0,0,(G59-(tab!$C$7*G56))),0)</f>
        <v>0</v>
      </c>
      <c r="H61" s="224">
        <f ca="1">ROUND(IF(H59-(tab!$C$7*H56)&lt;0,0,(H59-(tab!$C$7*H56))),0)</f>
        <v>0</v>
      </c>
      <c r="I61" s="142"/>
      <c r="J61" s="75"/>
      <c r="K61" s="157"/>
      <c r="N61" s="49"/>
      <c r="Q61" s="139"/>
      <c r="R61" s="154"/>
      <c r="S61" s="98"/>
    </row>
    <row r="62" spans="2:19" ht="12" customHeight="1">
      <c r="B62" s="74"/>
      <c r="C62" s="138"/>
      <c r="D62" s="235" t="s">
        <v>13</v>
      </c>
      <c r="E62" s="218"/>
      <c r="F62" s="139"/>
      <c r="G62" s="139"/>
      <c r="H62" s="139"/>
      <c r="I62" s="142"/>
      <c r="J62" s="75"/>
      <c r="K62" s="157"/>
      <c r="L62" s="139" t="s">
        <v>133</v>
      </c>
      <c r="M62" s="152"/>
      <c r="N62" s="152"/>
      <c r="O62" s="152"/>
      <c r="P62" s="233" t="e">
        <f>N59*P59</f>
        <v>#DIV/0!</v>
      </c>
      <c r="Q62" s="139"/>
      <c r="R62" s="154"/>
      <c r="S62" s="98"/>
    </row>
    <row r="63" spans="2:19" ht="12" customHeight="1">
      <c r="B63" s="74"/>
      <c r="C63" s="138"/>
      <c r="D63" s="141" t="s">
        <v>23</v>
      </c>
      <c r="E63" s="141"/>
      <c r="F63" s="139"/>
      <c r="G63" s="201">
        <v>0</v>
      </c>
      <c r="H63" s="201">
        <f>+G63</f>
        <v>0</v>
      </c>
      <c r="I63" s="142"/>
      <c r="J63" s="75"/>
      <c r="K63" s="138"/>
      <c r="L63" s="139" t="s">
        <v>136</v>
      </c>
      <c r="M63" s="139"/>
      <c r="N63" s="143"/>
      <c r="O63" s="173"/>
      <c r="P63" s="234">
        <f>Q59-P59</f>
        <v>0</v>
      </c>
      <c r="Q63" s="139"/>
      <c r="R63" s="174"/>
      <c r="S63" s="107"/>
    </row>
    <row r="64" spans="2:19" ht="12" customHeight="1">
      <c r="B64" s="74"/>
      <c r="C64" s="138"/>
      <c r="D64" s="141" t="s">
        <v>24</v>
      </c>
      <c r="E64" s="141"/>
      <c r="F64" s="139"/>
      <c r="G64" s="201">
        <v>0</v>
      </c>
      <c r="H64" s="201">
        <f>+G64</f>
        <v>0</v>
      </c>
      <c r="I64" s="187"/>
      <c r="J64" s="75"/>
      <c r="K64" s="138"/>
      <c r="L64" s="139"/>
      <c r="M64" s="139"/>
      <c r="N64" s="139"/>
      <c r="O64" s="139"/>
      <c r="P64" s="139"/>
      <c r="Q64" s="176"/>
      <c r="R64" s="174"/>
      <c r="S64" s="107"/>
    </row>
    <row r="65" spans="2:19" ht="12" customHeight="1">
      <c r="B65" s="74"/>
      <c r="C65" s="177"/>
      <c r="D65" s="145" t="s">
        <v>62</v>
      </c>
      <c r="E65" s="145"/>
      <c r="F65" s="139"/>
      <c r="G65" s="216">
        <f>G63+G64</f>
        <v>0</v>
      </c>
      <c r="H65" s="216">
        <f>H63+H64</f>
        <v>0</v>
      </c>
      <c r="I65" s="188"/>
      <c r="J65" s="75"/>
      <c r="K65" s="177"/>
      <c r="L65" s="145" t="s">
        <v>135</v>
      </c>
      <c r="M65" s="162"/>
      <c r="N65" s="172"/>
      <c r="O65" s="175"/>
      <c r="P65" s="226" t="e">
        <f>P59-P62+P63</f>
        <v>#DIV/0!</v>
      </c>
      <c r="Q65" s="180"/>
      <c r="R65" s="181"/>
      <c r="S65" s="107"/>
    </row>
    <row r="66" spans="2:19" ht="12" customHeight="1">
      <c r="B66" s="74"/>
      <c r="D66" s="150" t="s">
        <v>58</v>
      </c>
      <c r="E66" s="151">
        <v>0.3</v>
      </c>
      <c r="F66" s="139"/>
      <c r="G66" s="201">
        <v>0</v>
      </c>
      <c r="H66" s="201">
        <f>+G66</f>
        <v>0</v>
      </c>
      <c r="I66" s="62"/>
      <c r="J66" s="75"/>
      <c r="L66" s="52"/>
      <c r="M66" s="52"/>
      <c r="N66" s="61"/>
      <c r="O66" s="63"/>
      <c r="P66" s="64"/>
      <c r="Q66" s="65"/>
      <c r="R66" s="66"/>
      <c r="S66" s="107"/>
    </row>
    <row r="67" spans="2:19" ht="12" customHeight="1">
      <c r="B67" s="74"/>
      <c r="D67" s="150" t="s">
        <v>58</v>
      </c>
      <c r="E67" s="151">
        <v>1.2</v>
      </c>
      <c r="F67" s="139"/>
      <c r="G67" s="201">
        <v>0</v>
      </c>
      <c r="H67" s="201">
        <f>+G67</f>
        <v>0</v>
      </c>
      <c r="I67" s="62"/>
      <c r="J67" s="75"/>
      <c r="L67" s="52"/>
      <c r="M67" s="52"/>
      <c r="N67" s="61"/>
      <c r="O67" s="63"/>
      <c r="P67" s="64"/>
      <c r="Q67" s="65"/>
      <c r="R67" s="66"/>
      <c r="S67" s="107"/>
    </row>
    <row r="68" spans="2:19" ht="12" customHeight="1">
      <c r="B68" s="74"/>
      <c r="D68" s="141" t="s">
        <v>56</v>
      </c>
      <c r="E68" s="141"/>
      <c r="F68" s="139"/>
      <c r="G68" s="213">
        <f>($E$15*G66)+($E$16*G67)</f>
        <v>0</v>
      </c>
      <c r="H68" s="213">
        <f>($E$15*H66)+($E$16*H67)</f>
        <v>0</v>
      </c>
      <c r="I68" s="62"/>
      <c r="J68" s="75"/>
      <c r="L68" s="52"/>
      <c r="M68" s="52"/>
      <c r="N68" s="61"/>
      <c r="O68" s="63"/>
      <c r="P68" s="64"/>
      <c r="Q68" s="65"/>
      <c r="R68" s="66"/>
      <c r="S68" s="107"/>
    </row>
    <row r="69" spans="2:19" ht="12" customHeight="1">
      <c r="B69" s="74"/>
      <c r="D69" s="141" t="s">
        <v>72</v>
      </c>
      <c r="E69" s="141"/>
      <c r="F69" s="139"/>
      <c r="G69" s="215">
        <f>ROUND(IF(G70&lt;(G65*0.8),G70,(0.8*G65)),0)</f>
        <v>0</v>
      </c>
      <c r="H69" s="215">
        <f>ROUND(IF(H70&lt;(H65*0.8),H70,(0.8*H65)),0)</f>
        <v>0</v>
      </c>
      <c r="I69" s="62"/>
      <c r="J69" s="75"/>
      <c r="L69" s="52"/>
      <c r="M69" s="52"/>
      <c r="N69" s="61"/>
      <c r="O69" s="63"/>
      <c r="P69" s="64"/>
      <c r="Q69" s="65"/>
      <c r="R69" s="66"/>
      <c r="S69" s="107"/>
    </row>
    <row r="70" spans="2:19" ht="12" customHeight="1">
      <c r="B70" s="74"/>
      <c r="D70" s="171"/>
      <c r="E70" s="171"/>
      <c r="F70" s="139"/>
      <c r="G70" s="224">
        <f ca="1">ROUND(IF(G68-(tab!$C$7*G65)&lt;0,0,(G68-(tab!$C$7*G65))),0)</f>
        <v>0</v>
      </c>
      <c r="H70" s="224">
        <f ca="1">ROUND(IF(H68-(tab!$C$7*H65)&lt;0,0,(H68-(tab!$C$7*H65))),0)</f>
        <v>0</v>
      </c>
      <c r="I70" s="62"/>
      <c r="J70" s="75"/>
      <c r="L70" s="52"/>
      <c r="M70" s="52"/>
      <c r="N70" s="61"/>
      <c r="O70" s="63"/>
      <c r="P70" s="64"/>
      <c r="Q70" s="65"/>
      <c r="R70" s="66"/>
      <c r="S70" s="107"/>
    </row>
    <row r="71" spans="2:19" ht="12" customHeight="1">
      <c r="B71" s="74"/>
      <c r="C71" s="75"/>
      <c r="D71" s="108"/>
      <c r="E71" s="108"/>
      <c r="F71" s="75"/>
      <c r="G71" s="113"/>
      <c r="H71" s="113"/>
      <c r="I71" s="75"/>
      <c r="J71" s="75"/>
      <c r="K71" s="75"/>
      <c r="L71" s="91"/>
      <c r="M71" s="91"/>
      <c r="N71" s="106"/>
      <c r="O71" s="109"/>
      <c r="P71" s="110"/>
      <c r="Q71" s="111"/>
      <c r="R71" s="112"/>
      <c r="S71" s="107"/>
    </row>
    <row r="72" spans="2:19" ht="12" customHeight="1">
      <c r="B72" s="114"/>
      <c r="C72" s="115"/>
      <c r="D72" s="116"/>
      <c r="E72" s="116"/>
      <c r="F72" s="115"/>
      <c r="G72" s="117"/>
      <c r="H72" s="115"/>
      <c r="I72" s="118"/>
      <c r="J72" s="115"/>
      <c r="K72" s="115"/>
      <c r="L72" s="119"/>
      <c r="M72" s="119"/>
      <c r="N72" s="120"/>
      <c r="O72" s="121"/>
      <c r="P72" s="122"/>
      <c r="Q72" s="123"/>
      <c r="R72" s="124" t="s">
        <v>118</v>
      </c>
      <c r="S72" s="125"/>
    </row>
    <row r="76" spans="2:19" hidden="1">
      <c r="C76" s="138"/>
      <c r="D76" s="235" t="s">
        <v>14</v>
      </c>
      <c r="E76" s="218"/>
      <c r="F76" s="139"/>
      <c r="G76" s="139"/>
      <c r="H76" s="139"/>
      <c r="I76" s="142"/>
    </row>
    <row r="77" spans="2:19" hidden="1">
      <c r="C77" s="138"/>
      <c r="D77" s="141" t="s">
        <v>23</v>
      </c>
      <c r="E77" s="141"/>
      <c r="F77" s="139"/>
      <c r="G77" s="201">
        <v>0</v>
      </c>
      <c r="H77" s="201">
        <f>+G77</f>
        <v>0</v>
      </c>
      <c r="I77" s="183"/>
      <c r="J77" s="57"/>
    </row>
    <row r="78" spans="2:19" hidden="1">
      <c r="C78" s="138"/>
      <c r="D78" s="141" t="s">
        <v>24</v>
      </c>
      <c r="E78" s="141"/>
      <c r="F78" s="139"/>
      <c r="G78" s="201">
        <v>0</v>
      </c>
      <c r="H78" s="201">
        <f>+G78</f>
        <v>0</v>
      </c>
      <c r="I78" s="183"/>
      <c r="J78" s="57"/>
    </row>
    <row r="79" spans="2:19" hidden="1">
      <c r="C79" s="138"/>
      <c r="D79" s="145" t="s">
        <v>62</v>
      </c>
      <c r="E79" s="145"/>
      <c r="F79" s="139"/>
      <c r="G79" s="216">
        <f>G77+G78</f>
        <v>0</v>
      </c>
      <c r="H79" s="216">
        <f>H77+H78</f>
        <v>0</v>
      </c>
      <c r="I79" s="184"/>
      <c r="J79" s="58"/>
    </row>
    <row r="80" spans="2:19" hidden="1">
      <c r="C80" s="138"/>
      <c r="D80" s="150" t="s">
        <v>58</v>
      </c>
      <c r="E80" s="151">
        <v>0.3</v>
      </c>
      <c r="F80" s="139"/>
      <c r="G80" s="201">
        <v>0</v>
      </c>
      <c r="H80" s="201">
        <f>+G80</f>
        <v>0</v>
      </c>
      <c r="I80" s="183"/>
      <c r="J80" s="57"/>
    </row>
    <row r="81" spans="3:10" hidden="1">
      <c r="C81" s="138"/>
      <c r="D81" s="150" t="s">
        <v>58</v>
      </c>
      <c r="E81" s="151">
        <v>1.2</v>
      </c>
      <c r="F81" s="139"/>
      <c r="G81" s="201">
        <v>0</v>
      </c>
      <c r="H81" s="201">
        <f>+G81</f>
        <v>0</v>
      </c>
      <c r="I81" s="183"/>
      <c r="J81" s="57"/>
    </row>
    <row r="82" spans="3:10" hidden="1">
      <c r="C82" s="138"/>
      <c r="D82" s="141" t="s">
        <v>56</v>
      </c>
      <c r="E82" s="141"/>
      <c r="F82" s="139"/>
      <c r="G82" s="213">
        <f>($E$15*G80)+($E$16*G81)</f>
        <v>0</v>
      </c>
      <c r="H82" s="213">
        <f>($E$15*H80)+($E$16*H81)</f>
        <v>0</v>
      </c>
      <c r="I82" s="185"/>
      <c r="J82" s="59"/>
    </row>
    <row r="83" spans="3:10" hidden="1">
      <c r="C83" s="138"/>
      <c r="D83" s="141" t="s">
        <v>72</v>
      </c>
      <c r="E83" s="141"/>
      <c r="F83" s="139"/>
      <c r="G83" s="215">
        <f>ROUND(IF(G84&lt;(G79*0.8),G84,(0.8*G79)),0)</f>
        <v>0</v>
      </c>
      <c r="H83" s="215">
        <f>ROUND(IF(H84&lt;(H79*0.8),H84,(0.8*H79)),0)</f>
        <v>0</v>
      </c>
      <c r="I83" s="185"/>
      <c r="J83" s="59"/>
    </row>
    <row r="84" spans="3:10" hidden="1">
      <c r="C84" s="177"/>
      <c r="D84" s="178"/>
      <c r="E84" s="178"/>
      <c r="F84" s="179"/>
      <c r="G84" s="225">
        <f ca="1">ROUND(IF(G82-(tab!$C$7*G79)&lt;0,0,(G82-(tab!$C$7*G79))),0)</f>
        <v>0</v>
      </c>
      <c r="H84" s="225">
        <f ca="1">ROUND(IF(H82-(tab!$C$7*H79)&lt;0,0,(H82-(tab!$C$7*H79))),0)</f>
        <v>0</v>
      </c>
      <c r="I84" s="200"/>
    </row>
    <row r="85" spans="3:10" hidden="1">
      <c r="C85" s="53"/>
      <c r="D85" s="198" t="s">
        <v>15</v>
      </c>
      <c r="E85" s="55"/>
      <c r="F85" s="54"/>
      <c r="G85" s="199">
        <f>IF(G30=0,0,1)+IF(G31=0,0,1)+IF(G32=0,0,1)+IF(G33=0,0,1)</f>
        <v>0</v>
      </c>
      <c r="H85" s="199">
        <f>IF(H30=0,0,1)+IF(H31=0,0,1)+IF(H32=0,0,1)+IF(H33=0,0,1)</f>
        <v>0</v>
      </c>
      <c r="I85" s="56"/>
    </row>
  </sheetData>
  <sheetProtection password="DFB1" sheet="1" objects="1" scenarios="1"/>
  <mergeCells count="2">
    <mergeCell ref="P10:Q10"/>
    <mergeCell ref="P11:Q11"/>
  </mergeCells>
  <phoneticPr fontId="0" type="noConversion"/>
  <dataValidations count="1">
    <dataValidation type="list" allowBlank="1" showInputMessage="1" showErrorMessage="1" sqref="G23:H23">
      <formula1>"ja,nee"</formula1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&amp;L&amp;"Arial,Vet"&amp;F&amp;R&amp;"Arial,Vet"&amp;A</oddHeader>
    <oddFooter>&amp;L&amp;"Arial,Vet"goedhart&amp;C&amp;"Arial,Vet"&amp;D&amp;R&amp;"Arial,Vet"pagina &amp;P</oddFooter>
  </headerFooter>
  <colBreaks count="1" manualBreakCount="1">
    <brk id="19" min="1" max="137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A4:F12"/>
  <sheetViews>
    <sheetView workbookViewId="0">
      <selection activeCell="F12" sqref="F12"/>
    </sheetView>
  </sheetViews>
  <sheetFormatPr defaultRowHeight="12.75"/>
  <cols>
    <col min="6" max="6" width="9.28515625" bestFit="1" customWidth="1"/>
  </cols>
  <sheetData>
    <row r="4" spans="1:6">
      <c r="D4" t="s">
        <v>114</v>
      </c>
      <c r="E4" t="s">
        <v>115</v>
      </c>
      <c r="F4" t="s">
        <v>116</v>
      </c>
    </row>
    <row r="5" spans="1:6">
      <c r="D5">
        <f ca="1">+tab!C24</f>
        <v>1921.8000000000002</v>
      </c>
      <c r="E5">
        <f ca="1">+tab!D24</f>
        <v>44.03</v>
      </c>
    </row>
    <row r="6" spans="1:6">
      <c r="A6" t="s">
        <v>2</v>
      </c>
      <c r="B6">
        <v>2</v>
      </c>
      <c r="C6">
        <f ca="1">+tab!D57</f>
        <v>375</v>
      </c>
      <c r="F6" s="1">
        <f>ROUND(+D$5+C6*E$5,0)</f>
        <v>18433</v>
      </c>
    </row>
    <row r="7" spans="1:6">
      <c r="B7">
        <v>3</v>
      </c>
      <c r="C7">
        <f ca="1">+tab!D58</f>
        <v>495</v>
      </c>
      <c r="F7" s="1">
        <f>ROUND(+D$5+C7*E$5,0)</f>
        <v>23717</v>
      </c>
    </row>
    <row r="8" spans="1:6">
      <c r="B8">
        <v>4</v>
      </c>
      <c r="C8">
        <f ca="1">+tab!D59</f>
        <v>650</v>
      </c>
      <c r="F8" s="1">
        <f>ROUND(+D$5+C8*E$5,0)</f>
        <v>30541</v>
      </c>
    </row>
    <row r="9" spans="1:6">
      <c r="B9">
        <v>5</v>
      </c>
      <c r="C9">
        <f ca="1">+tab!D60</f>
        <v>785</v>
      </c>
      <c r="F9" s="1">
        <f>ROUND(+D$5+C9*E$5,0)</f>
        <v>36485</v>
      </c>
    </row>
    <row r="10" spans="1:6">
      <c r="B10">
        <v>6</v>
      </c>
      <c r="C10">
        <f ca="1">+tab!D61</f>
        <v>875</v>
      </c>
      <c r="F10" s="1">
        <f>ROUND(+D$5+C10*E$5,0)</f>
        <v>40448</v>
      </c>
    </row>
    <row r="11" spans="1:6">
      <c r="C11">
        <v>105</v>
      </c>
      <c r="F11" s="1">
        <f>ROUND(C11*E$5,0)</f>
        <v>4623</v>
      </c>
    </row>
    <row r="12" spans="1:6">
      <c r="C12">
        <v>40</v>
      </c>
      <c r="F12" s="1">
        <f>ROUND(C12*E$5,0)</f>
        <v>1761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9"/>
  <dimension ref="A2:BK330"/>
  <sheetViews>
    <sheetView zoomScale="85" zoomScaleNormal="85" zoomScaleSheetLayoutView="50" workbookViewId="0"/>
  </sheetViews>
  <sheetFormatPr defaultRowHeight="12.75" customHeight="1"/>
  <cols>
    <col min="1" max="1" width="45.85546875" style="4" customWidth="1"/>
    <col min="2" max="2" width="2.85546875" style="4" customWidth="1"/>
    <col min="3" max="27" width="12.7109375" style="5" customWidth="1"/>
    <col min="28" max="30" width="10.7109375" style="5" customWidth="1"/>
    <col min="31" max="60" width="9.7109375" style="5" customWidth="1"/>
    <col min="61" max="62" width="9.7109375" style="8" customWidth="1"/>
    <col min="63" max="63" width="9.7109375" style="9" customWidth="1"/>
    <col min="64" max="140" width="9.7109375" style="5" customWidth="1"/>
    <col min="141" max="16384" width="9.140625" style="5"/>
  </cols>
  <sheetData>
    <row r="2" spans="1:63" s="33" customFormat="1" ht="12.75" customHeight="1">
      <c r="A2" s="31" t="s">
        <v>134</v>
      </c>
      <c r="B2" s="31"/>
      <c r="C2" s="32" t="s">
        <v>148</v>
      </c>
      <c r="AA2" s="34"/>
      <c r="AB2" s="34"/>
      <c r="AC2" s="34"/>
      <c r="AF2" s="35"/>
      <c r="AG2" s="35"/>
      <c r="BI2" s="36"/>
      <c r="BJ2" s="36"/>
      <c r="BK2" s="37"/>
    </row>
    <row r="3" spans="1:63" ht="12.75" customHeight="1">
      <c r="AA3" s="6"/>
      <c r="AB3" s="6"/>
      <c r="AC3" s="6"/>
      <c r="AF3" s="7"/>
      <c r="AG3" s="7"/>
    </row>
    <row r="4" spans="1:63" ht="12.75" customHeight="1">
      <c r="A4" s="4" t="s">
        <v>78</v>
      </c>
      <c r="C4" s="43">
        <v>2012</v>
      </c>
      <c r="D4" s="10"/>
      <c r="E4" s="10"/>
      <c r="G4" s="10"/>
      <c r="AA4" s="6"/>
      <c r="AB4" s="6"/>
      <c r="AC4" s="6"/>
      <c r="AF4" s="7"/>
      <c r="AG4" s="7"/>
    </row>
    <row r="5" spans="1:63" ht="12.75" customHeight="1">
      <c r="A5" s="4" t="s">
        <v>83</v>
      </c>
      <c r="C5" s="44">
        <v>40817</v>
      </c>
      <c r="D5" s="10"/>
      <c r="E5" s="10"/>
      <c r="G5" s="10"/>
      <c r="AA5" s="6"/>
      <c r="AB5" s="6"/>
      <c r="AC5" s="6"/>
      <c r="AF5" s="7"/>
      <c r="AG5" s="7"/>
    </row>
    <row r="6" spans="1:63" ht="12.75" customHeight="1">
      <c r="A6" s="4" t="s">
        <v>84</v>
      </c>
      <c r="C6" s="44">
        <v>40969</v>
      </c>
      <c r="D6" s="10"/>
      <c r="E6" s="10"/>
      <c r="G6" s="10"/>
      <c r="AA6" s="6"/>
      <c r="AB6" s="6"/>
      <c r="AC6" s="6"/>
      <c r="AF6" s="7"/>
      <c r="AG6" s="7"/>
    </row>
    <row r="7" spans="1:63" ht="12.75" customHeight="1">
      <c r="A7" s="5" t="s">
        <v>16</v>
      </c>
      <c r="B7" s="5"/>
      <c r="C7" s="45">
        <v>0.06</v>
      </c>
      <c r="D7" s="11"/>
      <c r="E7" s="11"/>
      <c r="G7" s="11"/>
      <c r="AA7" s="6"/>
      <c r="AB7" s="6"/>
      <c r="AC7" s="6"/>
      <c r="AF7" s="7"/>
      <c r="AG7" s="7"/>
    </row>
    <row r="8" spans="1:63" ht="12.75" customHeight="1">
      <c r="A8" s="12"/>
      <c r="B8" s="13"/>
      <c r="C8" s="10"/>
      <c r="F8" s="10"/>
      <c r="AA8" s="6"/>
      <c r="AB8" s="6"/>
      <c r="AC8" s="6"/>
      <c r="AF8" s="7"/>
      <c r="AG8" s="7"/>
    </row>
    <row r="9" spans="1:63" ht="12.75" customHeight="1">
      <c r="A9" s="14"/>
      <c r="B9" s="5"/>
      <c r="AA9" s="6"/>
      <c r="AB9" s="6"/>
      <c r="AC9" s="6"/>
      <c r="AF9" s="7"/>
      <c r="AG9" s="7"/>
    </row>
    <row r="10" spans="1:63" ht="12.75" customHeight="1">
      <c r="A10" s="14" t="s">
        <v>25</v>
      </c>
      <c r="B10" s="5"/>
      <c r="C10" s="15"/>
      <c r="E10" s="16"/>
      <c r="F10" s="15"/>
      <c r="H10" s="16"/>
      <c r="I10" s="16"/>
      <c r="AA10" s="6"/>
      <c r="AB10" s="6"/>
      <c r="AC10" s="6"/>
      <c r="AF10" s="7"/>
      <c r="AG10" s="7"/>
    </row>
    <row r="11" spans="1:63" ht="12.75" customHeight="1">
      <c r="A11" s="12" t="s">
        <v>27</v>
      </c>
      <c r="B11" s="5"/>
      <c r="C11" s="17" t="s">
        <v>53</v>
      </c>
      <c r="D11" s="17" t="s">
        <v>52</v>
      </c>
      <c r="F11" s="17"/>
      <c r="G11" s="17"/>
      <c r="AA11" s="6"/>
      <c r="AB11" s="6"/>
      <c r="AC11" s="6"/>
      <c r="AF11" s="7"/>
      <c r="AG11" s="7"/>
    </row>
    <row r="12" spans="1:63" ht="12.75" customHeight="1">
      <c r="A12" s="5" t="s">
        <v>28</v>
      </c>
      <c r="B12" s="5"/>
      <c r="C12" s="26">
        <v>1354.64</v>
      </c>
      <c r="D12" s="26">
        <v>14.27</v>
      </c>
      <c r="F12" s="2"/>
      <c r="G12" s="2"/>
      <c r="AA12" s="6"/>
      <c r="AB12" s="6"/>
      <c r="AC12" s="6"/>
      <c r="AF12" s="7"/>
      <c r="AG12" s="7"/>
    </row>
    <row r="13" spans="1:63" ht="12.75" customHeight="1">
      <c r="A13" s="5" t="s">
        <v>29</v>
      </c>
      <c r="B13" s="5"/>
      <c r="C13" s="26">
        <v>45.64</v>
      </c>
      <c r="D13" s="26">
        <v>0.44</v>
      </c>
      <c r="F13" s="2"/>
      <c r="G13" s="2"/>
      <c r="AA13" s="6"/>
      <c r="AB13" s="6"/>
      <c r="AC13" s="6"/>
      <c r="AF13" s="7"/>
      <c r="AG13" s="7"/>
    </row>
    <row r="14" spans="1:63" ht="12.75" customHeight="1">
      <c r="A14" s="5" t="s">
        <v>30</v>
      </c>
      <c r="B14" s="5"/>
      <c r="C14" s="26">
        <v>0</v>
      </c>
      <c r="D14" s="26">
        <v>19</v>
      </c>
      <c r="F14" s="2"/>
      <c r="G14" s="2"/>
      <c r="AA14" s="6"/>
      <c r="AB14" s="6"/>
      <c r="AC14" s="6"/>
      <c r="AF14" s="7"/>
      <c r="AG14" s="7"/>
    </row>
    <row r="15" spans="1:63" ht="12.75" customHeight="1">
      <c r="A15" s="12"/>
      <c r="B15" s="6"/>
      <c r="C15" s="18">
        <f>SUM(C12:C14)</f>
        <v>1400.2800000000002</v>
      </c>
      <c r="D15" s="18">
        <f>SUM(D12:D14)</f>
        <v>33.71</v>
      </c>
      <c r="F15" s="18"/>
      <c r="G15" s="18"/>
      <c r="AA15" s="6"/>
      <c r="AB15" s="6"/>
      <c r="AC15" s="6"/>
      <c r="AF15" s="7"/>
      <c r="AG15" s="7"/>
    </row>
    <row r="16" spans="1:63" ht="12.75" customHeight="1">
      <c r="A16" s="12" t="s">
        <v>31</v>
      </c>
      <c r="B16" s="6"/>
      <c r="C16" s="18"/>
      <c r="D16" s="18"/>
      <c r="F16" s="18"/>
      <c r="G16" s="18"/>
      <c r="AA16" s="6"/>
      <c r="AB16" s="6"/>
      <c r="AC16" s="6"/>
      <c r="AF16" s="7"/>
      <c r="AG16" s="7"/>
    </row>
    <row r="17" spans="1:33" ht="12.75" customHeight="1">
      <c r="A17" s="5" t="s">
        <v>32</v>
      </c>
      <c r="B17" s="5"/>
      <c r="C17" s="26">
        <v>87.64</v>
      </c>
      <c r="D17" s="26">
        <v>1.53</v>
      </c>
      <c r="F17" s="2"/>
      <c r="G17" s="2"/>
      <c r="AA17" s="6"/>
      <c r="AB17" s="6"/>
      <c r="AC17" s="6"/>
      <c r="AF17" s="7"/>
      <c r="AG17" s="7"/>
    </row>
    <row r="18" spans="1:33" ht="12.75" customHeight="1">
      <c r="A18" s="5" t="s">
        <v>33</v>
      </c>
      <c r="B18" s="5"/>
      <c r="C18" s="26">
        <v>30.74</v>
      </c>
      <c r="D18" s="26">
        <v>6.38</v>
      </c>
      <c r="F18" s="2"/>
      <c r="G18" s="2"/>
      <c r="AA18" s="6"/>
      <c r="AB18" s="6"/>
      <c r="AC18" s="6"/>
      <c r="AF18" s="7"/>
      <c r="AG18" s="7"/>
    </row>
    <row r="19" spans="1:33" ht="12.75" customHeight="1">
      <c r="A19" s="5" t="s">
        <v>48</v>
      </c>
      <c r="B19" s="5"/>
      <c r="C19" s="26">
        <v>40.11</v>
      </c>
      <c r="D19" s="26">
        <v>0.44</v>
      </c>
      <c r="F19" s="2"/>
      <c r="G19" s="2"/>
      <c r="AA19" s="6"/>
      <c r="AB19" s="6"/>
      <c r="AC19" s="6"/>
      <c r="AF19" s="7"/>
      <c r="AG19" s="7"/>
    </row>
    <row r="20" spans="1:33" ht="12.75" customHeight="1">
      <c r="A20" s="12"/>
      <c r="B20" s="6"/>
      <c r="C20" s="19">
        <f>SUM(C17:C19)</f>
        <v>158.49</v>
      </c>
      <c r="D20" s="19">
        <f>SUM(D17:D19)</f>
        <v>8.35</v>
      </c>
      <c r="F20" s="19"/>
      <c r="G20" s="19"/>
      <c r="AA20" s="6"/>
      <c r="AB20" s="6"/>
      <c r="AC20" s="6"/>
      <c r="AF20" s="7"/>
      <c r="AG20" s="7"/>
    </row>
    <row r="21" spans="1:33" ht="12.75" customHeight="1">
      <c r="A21" s="12"/>
      <c r="B21" s="6"/>
      <c r="C21" s="19"/>
      <c r="D21" s="19"/>
      <c r="F21" s="19"/>
      <c r="G21" s="19"/>
      <c r="AA21" s="6"/>
      <c r="AB21" s="6"/>
      <c r="AC21" s="6"/>
      <c r="AF21" s="7"/>
      <c r="AG21" s="7"/>
    </row>
    <row r="22" spans="1:33" ht="12.75" customHeight="1">
      <c r="A22" s="12" t="s">
        <v>49</v>
      </c>
      <c r="B22" s="5"/>
      <c r="C22" s="26">
        <v>363.03</v>
      </c>
      <c r="D22" s="26">
        <v>1.97</v>
      </c>
      <c r="F22" s="2"/>
      <c r="G22" s="2"/>
      <c r="AA22" s="6"/>
      <c r="AB22" s="6"/>
      <c r="AC22" s="6"/>
      <c r="AF22" s="7"/>
      <c r="AG22" s="7"/>
    </row>
    <row r="23" spans="1:33" ht="12.75" customHeight="1">
      <c r="A23" s="12"/>
      <c r="B23" s="5"/>
      <c r="C23" s="2"/>
      <c r="D23" s="2"/>
      <c r="F23" s="2"/>
      <c r="G23" s="2"/>
      <c r="AA23" s="6"/>
      <c r="AB23" s="6"/>
      <c r="AC23" s="6"/>
      <c r="AF23" s="7"/>
      <c r="AG23" s="7"/>
    </row>
    <row r="24" spans="1:33" ht="12.75" customHeight="1">
      <c r="A24" s="6" t="s">
        <v>50</v>
      </c>
      <c r="B24" s="6"/>
      <c r="C24" s="19">
        <f>+C15+C20+C22</f>
        <v>1921.8000000000002</v>
      </c>
      <c r="D24" s="19">
        <f>+D15+D20+D22</f>
        <v>44.03</v>
      </c>
      <c r="F24" s="19"/>
      <c r="G24" s="19"/>
      <c r="AA24" s="6"/>
      <c r="AB24" s="6"/>
      <c r="AC24" s="6"/>
      <c r="AF24" s="7"/>
      <c r="AG24" s="7"/>
    </row>
    <row r="25" spans="1:33" ht="12.75" customHeight="1">
      <c r="A25" s="12"/>
      <c r="B25" s="5"/>
      <c r="C25" s="2"/>
      <c r="D25" s="2"/>
      <c r="F25" s="2"/>
      <c r="G25" s="2"/>
      <c r="AA25" s="6"/>
      <c r="AB25" s="6"/>
      <c r="AC25" s="6"/>
      <c r="AF25" s="7"/>
      <c r="AG25" s="7"/>
    </row>
    <row r="26" spans="1:33" ht="12.75" customHeight="1">
      <c r="A26" s="14" t="s">
        <v>36</v>
      </c>
      <c r="B26" s="5"/>
      <c r="C26" s="20" t="s">
        <v>53</v>
      </c>
      <c r="D26" s="20" t="s">
        <v>52</v>
      </c>
      <c r="F26" s="20"/>
      <c r="G26" s="20"/>
      <c r="AA26" s="6"/>
      <c r="AB26" s="6"/>
      <c r="AC26" s="6"/>
      <c r="AF26" s="7"/>
      <c r="AG26" s="7"/>
    </row>
    <row r="27" spans="1:33" ht="12.75" customHeight="1">
      <c r="A27" s="12" t="s">
        <v>37</v>
      </c>
      <c r="B27" s="5"/>
      <c r="C27" s="20"/>
      <c r="D27" s="20"/>
      <c r="F27" s="20"/>
      <c r="G27" s="20"/>
      <c r="AA27" s="6"/>
      <c r="AB27" s="6"/>
      <c r="AC27" s="6"/>
      <c r="AF27" s="7"/>
      <c r="AG27" s="7"/>
    </row>
    <row r="28" spans="1:33" ht="12.75" customHeight="1">
      <c r="A28" s="5" t="s">
        <v>38</v>
      </c>
      <c r="B28" s="5"/>
      <c r="C28" s="26">
        <v>9.58</v>
      </c>
      <c r="D28" s="26">
        <v>1.8</v>
      </c>
      <c r="F28" s="2"/>
      <c r="G28" s="2"/>
      <c r="AA28" s="6"/>
      <c r="AB28" s="6"/>
      <c r="AC28" s="6"/>
      <c r="AF28" s="7"/>
      <c r="AG28" s="7"/>
    </row>
    <row r="29" spans="1:33" ht="12.75" customHeight="1">
      <c r="A29" s="5" t="s">
        <v>51</v>
      </c>
      <c r="B29" s="5"/>
      <c r="C29" s="26">
        <v>9.58</v>
      </c>
      <c r="D29" s="26">
        <v>1.01</v>
      </c>
      <c r="F29" s="2"/>
      <c r="G29" s="2"/>
      <c r="AA29" s="6"/>
      <c r="AB29" s="6"/>
      <c r="AC29" s="6"/>
      <c r="AF29" s="7"/>
      <c r="AG29" s="7"/>
    </row>
    <row r="30" spans="1:33" ht="12.75" customHeight="1">
      <c r="A30" s="5" t="s">
        <v>39</v>
      </c>
      <c r="B30" s="5"/>
      <c r="C30" s="26">
        <v>26.71</v>
      </c>
      <c r="D30" s="26">
        <v>0.14000000000000001</v>
      </c>
      <c r="F30" s="2"/>
      <c r="G30" s="2"/>
      <c r="AA30" s="6"/>
      <c r="AB30" s="6"/>
      <c r="AC30" s="6"/>
      <c r="AF30" s="7"/>
      <c r="AG30" s="7"/>
    </row>
    <row r="31" spans="1:33" ht="12.75" customHeight="1">
      <c r="A31" s="5" t="s">
        <v>40</v>
      </c>
      <c r="B31" s="5"/>
      <c r="C31" s="26">
        <v>98.56</v>
      </c>
      <c r="D31" s="26">
        <v>4.12</v>
      </c>
      <c r="F31" s="2"/>
      <c r="G31" s="2"/>
      <c r="AA31" s="6"/>
      <c r="AB31" s="6"/>
      <c r="AC31" s="6"/>
      <c r="AF31" s="7"/>
      <c r="AG31" s="7"/>
    </row>
    <row r="32" spans="1:33" ht="12.75" customHeight="1">
      <c r="A32" s="5" t="s">
        <v>9</v>
      </c>
      <c r="B32" s="5"/>
      <c r="C32" s="26">
        <f>ROUND((281.93*1.0199),2)</f>
        <v>287.54000000000002</v>
      </c>
      <c r="D32" s="26">
        <f>ROUND((10.18*1.0199),2)</f>
        <v>10.38</v>
      </c>
      <c r="F32" s="2"/>
      <c r="G32" s="2"/>
      <c r="AA32" s="6"/>
      <c r="AB32" s="6"/>
      <c r="AC32" s="6"/>
      <c r="AF32" s="7"/>
      <c r="AG32" s="7"/>
    </row>
    <row r="33" spans="1:33" ht="12.75" customHeight="1">
      <c r="A33" s="5" t="s">
        <v>10</v>
      </c>
      <c r="B33" s="5"/>
      <c r="C33" s="26">
        <v>0</v>
      </c>
      <c r="D33" s="26">
        <f>ROUND((23.87*1.0199),2)-0.01</f>
        <v>24.34</v>
      </c>
      <c r="F33" s="2"/>
      <c r="G33" s="2"/>
      <c r="AA33" s="6"/>
      <c r="AB33" s="6"/>
      <c r="AC33" s="6"/>
      <c r="AF33" s="7"/>
      <c r="AG33" s="7"/>
    </row>
    <row r="34" spans="1:33" ht="12.75" customHeight="1">
      <c r="A34" s="5" t="s">
        <v>77</v>
      </c>
      <c r="B34" s="5"/>
      <c r="C34" s="26">
        <f>ROUND((486.58*1.0199),2)+0.01</f>
        <v>496.27</v>
      </c>
      <c r="D34" s="26">
        <f>ROUND((2.56*1.0199),2)</f>
        <v>2.61</v>
      </c>
      <c r="F34" s="2">
        <f>SUM(C32:C34)</f>
        <v>783.81</v>
      </c>
      <c r="G34" s="2">
        <f>SUM(D32:D34)</f>
        <v>37.33</v>
      </c>
      <c r="AA34" s="6"/>
      <c r="AB34" s="6"/>
      <c r="AC34" s="6"/>
      <c r="AF34" s="7"/>
      <c r="AG34" s="7"/>
    </row>
    <row r="35" spans="1:33" ht="12.75" customHeight="1">
      <c r="A35" s="5" t="s">
        <v>41</v>
      </c>
      <c r="B35" s="5"/>
      <c r="C35" s="26">
        <v>115.12</v>
      </c>
      <c r="D35" s="26">
        <v>0.22</v>
      </c>
      <c r="F35" s="2"/>
      <c r="G35" s="2"/>
      <c r="AA35" s="6"/>
      <c r="AB35" s="6"/>
      <c r="AC35" s="6"/>
      <c r="AF35" s="7"/>
      <c r="AG35" s="7"/>
    </row>
    <row r="36" spans="1:33" ht="12.75" customHeight="1">
      <c r="A36" s="5" t="s">
        <v>6</v>
      </c>
      <c r="B36" s="5"/>
      <c r="C36" s="26">
        <v>1741.74</v>
      </c>
      <c r="D36" s="26">
        <v>44.45</v>
      </c>
      <c r="F36" s="2"/>
      <c r="G36" s="2"/>
      <c r="AA36" s="6"/>
      <c r="AB36" s="6"/>
      <c r="AC36" s="6"/>
      <c r="AF36" s="7"/>
      <c r="AG36" s="7"/>
    </row>
    <row r="37" spans="1:33" ht="12.75" customHeight="1">
      <c r="A37" s="5" t="s">
        <v>8</v>
      </c>
      <c r="B37" s="5"/>
      <c r="C37" s="26">
        <v>1813.97</v>
      </c>
      <c r="D37" s="26">
        <v>59.22</v>
      </c>
      <c r="F37" s="2"/>
      <c r="G37" s="2"/>
      <c r="AA37" s="6"/>
      <c r="AB37" s="6"/>
      <c r="AC37" s="6"/>
      <c r="AF37" s="7"/>
      <c r="AG37" s="7"/>
    </row>
    <row r="38" spans="1:33" ht="12.75" customHeight="1">
      <c r="A38" s="5" t="s">
        <v>7</v>
      </c>
      <c r="B38" s="5"/>
      <c r="C38" s="26">
        <v>1768.34</v>
      </c>
      <c r="D38" s="26">
        <v>89.34</v>
      </c>
      <c r="F38" s="2">
        <f>SUM(C36:C38)</f>
        <v>5324.05</v>
      </c>
      <c r="G38" s="2">
        <f>SUM(D36:D38)</f>
        <v>193.01</v>
      </c>
      <c r="AA38" s="6"/>
      <c r="AB38" s="6"/>
      <c r="AC38" s="6"/>
      <c r="AF38" s="7"/>
      <c r="AG38" s="7"/>
    </row>
    <row r="39" spans="1:33" ht="12.75" customHeight="1">
      <c r="A39" s="5" t="s">
        <v>42</v>
      </c>
      <c r="B39" s="5"/>
      <c r="C39" s="26">
        <v>873.1</v>
      </c>
      <c r="D39" s="26">
        <v>15.26</v>
      </c>
      <c r="F39" s="2"/>
      <c r="G39" s="2"/>
      <c r="AA39" s="6"/>
      <c r="AB39" s="6"/>
      <c r="AC39" s="6"/>
      <c r="AF39" s="7"/>
      <c r="AG39" s="7"/>
    </row>
    <row r="40" spans="1:33" ht="12.75" customHeight="1">
      <c r="A40" s="12" t="s">
        <v>26</v>
      </c>
      <c r="B40" s="6"/>
      <c r="C40" s="19">
        <f>SUM(C28:C39)</f>
        <v>7240.5100000000011</v>
      </c>
      <c r="D40" s="19">
        <f>SUM(D28:D39)</f>
        <v>252.89000000000001</v>
      </c>
      <c r="F40" s="19"/>
      <c r="G40" s="19"/>
      <c r="AA40" s="6"/>
      <c r="AB40" s="6"/>
      <c r="AC40" s="6"/>
      <c r="AF40" s="7"/>
      <c r="AG40" s="7"/>
    </row>
    <row r="41" spans="1:33" ht="12.75" customHeight="1">
      <c r="A41" s="12" t="s">
        <v>43</v>
      </c>
      <c r="B41" s="5"/>
      <c r="C41" s="2"/>
      <c r="D41" s="2"/>
      <c r="F41" s="2"/>
      <c r="G41" s="2"/>
      <c r="AA41" s="6"/>
      <c r="AB41" s="6"/>
      <c r="AC41" s="6"/>
      <c r="AF41" s="7"/>
      <c r="AG41" s="7"/>
    </row>
    <row r="42" spans="1:33" ht="12.75" customHeight="1">
      <c r="A42" s="5" t="s">
        <v>44</v>
      </c>
      <c r="B42" s="5"/>
      <c r="C42" s="26">
        <v>3419.89</v>
      </c>
      <c r="D42" s="26">
        <v>19.989999999999998</v>
      </c>
      <c r="F42" s="2"/>
      <c r="G42" s="2"/>
      <c r="AA42" s="6"/>
      <c r="AB42" s="6"/>
      <c r="AC42" s="6"/>
      <c r="AF42" s="7"/>
      <c r="AG42" s="7"/>
    </row>
    <row r="43" spans="1:33" ht="12.75" customHeight="1">
      <c r="A43" s="5" t="s">
        <v>45</v>
      </c>
      <c r="B43" s="5"/>
      <c r="C43" s="26">
        <v>507.01</v>
      </c>
      <c r="D43" s="26">
        <v>3.52</v>
      </c>
      <c r="F43" s="2"/>
      <c r="G43" s="2"/>
      <c r="AA43" s="6"/>
      <c r="AB43" s="6"/>
      <c r="AC43" s="6"/>
      <c r="AF43" s="7"/>
      <c r="AG43" s="7"/>
    </row>
    <row r="44" spans="1:33" ht="12.75" customHeight="1">
      <c r="A44" s="5" t="s">
        <v>46</v>
      </c>
      <c r="B44" s="5"/>
      <c r="C44" s="26">
        <v>1888.39</v>
      </c>
      <c r="D44" s="26">
        <v>20.170000000000002</v>
      </c>
      <c r="F44" s="2"/>
      <c r="G44" s="2"/>
      <c r="AA44" s="6"/>
      <c r="AB44" s="6"/>
      <c r="AC44" s="6"/>
      <c r="AF44" s="7"/>
      <c r="AG44" s="7"/>
    </row>
    <row r="45" spans="1:33" ht="12.75" customHeight="1">
      <c r="A45" s="12" t="s">
        <v>26</v>
      </c>
      <c r="B45" s="6"/>
      <c r="C45" s="19">
        <f>SUM(C42:C44)</f>
        <v>5815.29</v>
      </c>
      <c r="D45" s="19">
        <f>SUM(D42:D44)</f>
        <v>43.68</v>
      </c>
      <c r="F45" s="19"/>
      <c r="G45" s="19"/>
      <c r="AA45" s="6"/>
      <c r="AB45" s="6"/>
      <c r="AC45" s="6"/>
      <c r="AF45" s="7"/>
      <c r="AG45" s="7"/>
    </row>
    <row r="46" spans="1:33" ht="12.75" customHeight="1">
      <c r="A46" s="12"/>
      <c r="B46" s="6"/>
      <c r="C46" s="19"/>
      <c r="D46" s="19"/>
      <c r="F46" s="19"/>
      <c r="G46" s="19"/>
      <c r="AA46" s="6"/>
      <c r="AB46" s="6"/>
      <c r="AC46" s="6"/>
      <c r="AF46" s="7"/>
      <c r="AG46" s="7"/>
    </row>
    <row r="47" spans="1:33" ht="12.75" customHeight="1">
      <c r="A47" s="14" t="s">
        <v>62</v>
      </c>
      <c r="B47" s="6"/>
      <c r="C47" s="19">
        <f>+C40+C45</f>
        <v>13055.800000000001</v>
      </c>
      <c r="D47" s="19">
        <f>+D40+D45</f>
        <v>296.57</v>
      </c>
      <c r="F47" s="241">
        <v>13055.8</v>
      </c>
      <c r="G47" s="241">
        <v>296.57</v>
      </c>
      <c r="I47" s="38"/>
      <c r="J47" s="38"/>
      <c r="L47" s="39"/>
      <c r="AA47" s="6"/>
      <c r="AB47" s="6"/>
      <c r="AC47" s="6"/>
      <c r="AF47" s="7"/>
      <c r="AG47" s="7"/>
    </row>
    <row r="48" spans="1:33" ht="12.75" customHeight="1">
      <c r="A48" s="12"/>
      <c r="B48" s="5"/>
      <c r="C48" s="2"/>
      <c r="D48" s="2"/>
      <c r="F48" s="2"/>
      <c r="G48" s="2"/>
      <c r="AA48" s="6"/>
      <c r="AB48" s="6"/>
      <c r="AC48" s="6"/>
      <c r="AF48" s="7"/>
      <c r="AG48" s="7"/>
    </row>
    <row r="49" spans="1:33" ht="12.75" customHeight="1">
      <c r="A49" s="14" t="s">
        <v>123</v>
      </c>
      <c r="B49" s="6"/>
      <c r="C49" s="19"/>
      <c r="D49" s="19"/>
      <c r="F49" s="19"/>
      <c r="G49" s="19"/>
      <c r="AA49" s="6"/>
      <c r="AB49" s="6"/>
      <c r="AC49" s="6"/>
      <c r="AF49" s="7"/>
      <c r="AG49" s="7"/>
    </row>
    <row r="50" spans="1:33" ht="12.75" customHeight="1">
      <c r="A50" s="12" t="s">
        <v>59</v>
      </c>
      <c r="B50" s="5"/>
      <c r="C50" s="26">
        <v>108.17</v>
      </c>
      <c r="D50" s="26">
        <v>19.37</v>
      </c>
      <c r="F50" s="2"/>
      <c r="G50" s="2"/>
      <c r="I50" s="38"/>
      <c r="J50" s="38"/>
      <c r="AA50" s="6"/>
      <c r="AB50" s="6"/>
      <c r="AC50" s="6"/>
      <c r="AF50" s="7"/>
      <c r="AG50" s="7"/>
    </row>
    <row r="51" spans="1:33" ht="12.75" customHeight="1">
      <c r="A51" s="12" t="s">
        <v>124</v>
      </c>
      <c r="B51" s="5"/>
      <c r="C51" s="26">
        <v>0</v>
      </c>
      <c r="D51" s="26">
        <v>217.67</v>
      </c>
      <c r="F51" s="2"/>
      <c r="G51" s="2"/>
      <c r="I51" s="38"/>
      <c r="J51" s="38"/>
      <c r="AA51" s="6"/>
      <c r="AB51" s="6"/>
      <c r="AC51" s="6"/>
      <c r="AF51" s="7"/>
      <c r="AG51" s="7"/>
    </row>
    <row r="52" spans="1:33" ht="12.75" customHeight="1">
      <c r="A52" s="12"/>
      <c r="B52" s="5"/>
      <c r="AA52" s="6"/>
      <c r="AB52" s="6"/>
      <c r="AC52" s="6"/>
      <c r="AF52" s="7"/>
      <c r="AG52" s="7"/>
    </row>
    <row r="53" spans="1:33" ht="12.75" customHeight="1">
      <c r="C53" s="10"/>
      <c r="D53" s="10"/>
      <c r="AF53" s="21"/>
      <c r="AG53" s="21"/>
    </row>
    <row r="54" spans="1:33" ht="12.75" customHeight="1">
      <c r="A54" s="22" t="s">
        <v>75</v>
      </c>
      <c r="B54" s="5"/>
      <c r="C54" s="16"/>
      <c r="D54" s="4" t="s">
        <v>67</v>
      </c>
      <c r="E54" s="5" t="s">
        <v>2</v>
      </c>
      <c r="F54" s="5" t="s">
        <v>66</v>
      </c>
      <c r="G54" s="5" t="s">
        <v>3</v>
      </c>
      <c r="H54" s="23" t="s">
        <v>4</v>
      </c>
      <c r="I54" s="23" t="s">
        <v>5</v>
      </c>
    </row>
    <row r="55" spans="1:33" ht="12.75" customHeight="1">
      <c r="A55" s="24" t="s">
        <v>63</v>
      </c>
      <c r="B55" s="5"/>
      <c r="C55" s="4">
        <v>0.05</v>
      </c>
      <c r="D55" s="10" t="s">
        <v>68</v>
      </c>
    </row>
    <row r="56" spans="1:33" ht="12.75" customHeight="1">
      <c r="A56" s="4" t="s">
        <v>64</v>
      </c>
      <c r="B56" s="5"/>
      <c r="C56" s="4">
        <v>3.4299999999999997E-2</v>
      </c>
      <c r="D56" s="10">
        <v>0</v>
      </c>
      <c r="E56" s="10">
        <v>0</v>
      </c>
      <c r="F56" s="3">
        <v>0</v>
      </c>
    </row>
    <row r="57" spans="1:33" ht="12.75" customHeight="1">
      <c r="A57" s="4" t="s">
        <v>65</v>
      </c>
      <c r="B57" s="5"/>
      <c r="C57" s="4">
        <v>1.7899999999999999E-2</v>
      </c>
      <c r="D57" s="10">
        <v>375</v>
      </c>
      <c r="E57" s="25">
        <v>2</v>
      </c>
      <c r="F57" s="46">
        <v>18433</v>
      </c>
    </row>
    <row r="58" spans="1:33" ht="12.75" customHeight="1">
      <c r="A58" s="4" t="s">
        <v>69</v>
      </c>
      <c r="B58" s="5"/>
      <c r="C58" s="4">
        <v>1.5642</v>
      </c>
      <c r="D58" s="10">
        <v>495</v>
      </c>
      <c r="E58" s="25">
        <v>3</v>
      </c>
      <c r="F58" s="46">
        <v>23717</v>
      </c>
      <c r="G58" s="2">
        <f t="shared" ref="G58:G100" si="0">+F58-F57</f>
        <v>5284</v>
      </c>
    </row>
    <row r="59" spans="1:33" ht="12.75" customHeight="1">
      <c r="A59" s="4" t="s">
        <v>70</v>
      </c>
      <c r="B59" s="5"/>
      <c r="C59" s="4">
        <v>1.15E-2</v>
      </c>
      <c r="D59" s="10">
        <v>650</v>
      </c>
      <c r="E59" s="25">
        <v>4</v>
      </c>
      <c r="F59" s="46">
        <v>30541</v>
      </c>
      <c r="G59" s="2">
        <f t="shared" si="0"/>
        <v>6824</v>
      </c>
    </row>
    <row r="60" spans="1:33" ht="12.75" customHeight="1">
      <c r="A60" s="5"/>
      <c r="B60" s="5"/>
      <c r="D60" s="10">
        <v>785</v>
      </c>
      <c r="E60" s="25">
        <v>5</v>
      </c>
      <c r="F60" s="46">
        <v>36485</v>
      </c>
      <c r="G60" s="2">
        <f t="shared" si="0"/>
        <v>5944</v>
      </c>
    </row>
    <row r="61" spans="1:33" ht="12.75" customHeight="1">
      <c r="A61" s="5"/>
      <c r="B61" s="5"/>
      <c r="D61" s="10">
        <v>875</v>
      </c>
      <c r="E61" s="25">
        <v>6</v>
      </c>
      <c r="F61" s="46">
        <v>40448</v>
      </c>
      <c r="G61" s="2">
        <f t="shared" si="0"/>
        <v>3963</v>
      </c>
    </row>
    <row r="62" spans="1:33" ht="12.75" customHeight="1">
      <c r="A62" s="5"/>
      <c r="B62" s="5"/>
      <c r="D62" s="10">
        <v>980</v>
      </c>
      <c r="E62" s="25">
        <v>7</v>
      </c>
      <c r="F62" s="3">
        <f t="shared" ref="F62:F68" si="1">+F61+H62</f>
        <v>45071</v>
      </c>
      <c r="G62" s="2">
        <f t="shared" si="0"/>
        <v>4623</v>
      </c>
      <c r="H62" s="26">
        <v>4623</v>
      </c>
    </row>
    <row r="63" spans="1:33" ht="12.75" customHeight="1">
      <c r="A63" s="5"/>
      <c r="B63" s="5"/>
      <c r="D63" s="10">
        <v>1085</v>
      </c>
      <c r="E63" s="25">
        <v>8</v>
      </c>
      <c r="F63" s="3">
        <f t="shared" si="1"/>
        <v>49694</v>
      </c>
      <c r="G63" s="2">
        <f t="shared" si="0"/>
        <v>4623</v>
      </c>
      <c r="H63" s="2">
        <f t="shared" ref="H63:H100" si="2">H62</f>
        <v>4623</v>
      </c>
    </row>
    <row r="64" spans="1:33" ht="12.75" customHeight="1">
      <c r="A64" s="5"/>
      <c r="B64" s="5"/>
      <c r="D64" s="10">
        <v>1190</v>
      </c>
      <c r="E64" s="25">
        <v>9</v>
      </c>
      <c r="F64" s="3">
        <f t="shared" si="1"/>
        <v>54317</v>
      </c>
      <c r="G64" s="2">
        <f t="shared" si="0"/>
        <v>4623</v>
      </c>
      <c r="H64" s="2">
        <f t="shared" si="2"/>
        <v>4623</v>
      </c>
    </row>
    <row r="65" spans="1:33" ht="12.75" customHeight="1">
      <c r="A65" s="5"/>
      <c r="B65" s="5"/>
      <c r="D65" s="10">
        <v>1295</v>
      </c>
      <c r="E65" s="25">
        <v>10</v>
      </c>
      <c r="F65" s="3">
        <f t="shared" si="1"/>
        <v>58940</v>
      </c>
      <c r="G65" s="2">
        <f t="shared" si="0"/>
        <v>4623</v>
      </c>
      <c r="H65" s="2">
        <f t="shared" si="2"/>
        <v>4623</v>
      </c>
    </row>
    <row r="66" spans="1:33" ht="12.75" customHeight="1">
      <c r="A66" s="5"/>
      <c r="B66" s="5"/>
      <c r="D66" s="10">
        <v>1400</v>
      </c>
      <c r="E66" s="25">
        <v>11</v>
      </c>
      <c r="F66" s="3">
        <f t="shared" si="1"/>
        <v>63563</v>
      </c>
      <c r="G66" s="2">
        <f t="shared" si="0"/>
        <v>4623</v>
      </c>
      <c r="H66" s="2">
        <f t="shared" si="2"/>
        <v>4623</v>
      </c>
    </row>
    <row r="67" spans="1:33" ht="12.75" customHeight="1">
      <c r="A67" s="5"/>
      <c r="B67" s="5"/>
      <c r="D67" s="10">
        <v>1505</v>
      </c>
      <c r="E67" s="25">
        <v>12</v>
      </c>
      <c r="F67" s="3">
        <f t="shared" si="1"/>
        <v>68186</v>
      </c>
      <c r="G67" s="2">
        <f t="shared" si="0"/>
        <v>4623</v>
      </c>
      <c r="H67" s="2">
        <f t="shared" si="2"/>
        <v>4623</v>
      </c>
    </row>
    <row r="68" spans="1:33" ht="12.75" customHeight="1">
      <c r="D68" s="10">
        <v>1610</v>
      </c>
      <c r="E68" s="25">
        <v>13</v>
      </c>
      <c r="F68" s="3">
        <f t="shared" si="1"/>
        <v>72809</v>
      </c>
      <c r="G68" s="2">
        <f t="shared" si="0"/>
        <v>4623</v>
      </c>
      <c r="H68" s="2">
        <f t="shared" si="2"/>
        <v>4623</v>
      </c>
      <c r="AF68" s="21"/>
      <c r="AG68" s="21"/>
    </row>
    <row r="69" spans="1:33" ht="12.75" customHeight="1">
      <c r="D69" s="10">
        <v>1755</v>
      </c>
      <c r="E69" s="25">
        <v>14</v>
      </c>
      <c r="F69" s="3">
        <f>+F68+H69+I69</f>
        <v>79193</v>
      </c>
      <c r="G69" s="2">
        <f>+F69-F68</f>
        <v>6384</v>
      </c>
      <c r="H69" s="2">
        <f t="shared" si="2"/>
        <v>4623</v>
      </c>
      <c r="I69" s="26">
        <v>1761</v>
      </c>
    </row>
    <row r="70" spans="1:33" ht="12.75" customHeight="1">
      <c r="D70" s="10">
        <v>1860</v>
      </c>
      <c r="E70" s="25">
        <v>15</v>
      </c>
      <c r="F70" s="3">
        <f t="shared" ref="F70:F100" si="3">+F69+H70</f>
        <v>83816</v>
      </c>
      <c r="G70" s="2">
        <f t="shared" si="0"/>
        <v>4623</v>
      </c>
      <c r="H70" s="2">
        <f t="shared" si="2"/>
        <v>4623</v>
      </c>
    </row>
    <row r="71" spans="1:33" ht="12.75" customHeight="1">
      <c r="D71" s="10">
        <v>1965</v>
      </c>
      <c r="E71" s="25">
        <v>16</v>
      </c>
      <c r="F71" s="3">
        <f t="shared" si="3"/>
        <v>88439</v>
      </c>
      <c r="G71" s="2">
        <f t="shared" si="0"/>
        <v>4623</v>
      </c>
      <c r="H71" s="2">
        <f t="shared" si="2"/>
        <v>4623</v>
      </c>
    </row>
    <row r="72" spans="1:33" ht="12.75" customHeight="1">
      <c r="D72" s="10">
        <v>2070</v>
      </c>
      <c r="E72" s="25">
        <v>17</v>
      </c>
      <c r="F72" s="3">
        <f t="shared" si="3"/>
        <v>93062</v>
      </c>
      <c r="G72" s="2">
        <f t="shared" si="0"/>
        <v>4623</v>
      </c>
      <c r="H72" s="2">
        <f t="shared" si="2"/>
        <v>4623</v>
      </c>
    </row>
    <row r="73" spans="1:33" ht="12.75" customHeight="1">
      <c r="D73" s="10">
        <v>2175</v>
      </c>
      <c r="E73" s="25">
        <v>18</v>
      </c>
      <c r="F73" s="3">
        <f t="shared" si="3"/>
        <v>97685</v>
      </c>
      <c r="G73" s="2">
        <f t="shared" si="0"/>
        <v>4623</v>
      </c>
      <c r="H73" s="2">
        <f t="shared" si="2"/>
        <v>4623</v>
      </c>
    </row>
    <row r="74" spans="1:33" ht="12.75" customHeight="1">
      <c r="D74" s="10">
        <v>2280</v>
      </c>
      <c r="E74" s="25">
        <v>19</v>
      </c>
      <c r="F74" s="3">
        <f t="shared" si="3"/>
        <v>102308</v>
      </c>
      <c r="G74" s="2">
        <f t="shared" si="0"/>
        <v>4623</v>
      </c>
      <c r="H74" s="2">
        <f t="shared" si="2"/>
        <v>4623</v>
      </c>
    </row>
    <row r="75" spans="1:33" ht="12.75" customHeight="1">
      <c r="D75" s="10">
        <v>2385</v>
      </c>
      <c r="E75" s="25">
        <v>20</v>
      </c>
      <c r="F75" s="3">
        <f t="shared" si="3"/>
        <v>106931</v>
      </c>
      <c r="G75" s="2">
        <f t="shared" si="0"/>
        <v>4623</v>
      </c>
      <c r="H75" s="2">
        <f t="shared" si="2"/>
        <v>4623</v>
      </c>
    </row>
    <row r="76" spans="1:33" ht="12.75" customHeight="1">
      <c r="D76" s="10">
        <v>2490</v>
      </c>
      <c r="E76" s="25">
        <v>21</v>
      </c>
      <c r="F76" s="3">
        <f t="shared" si="3"/>
        <v>111554</v>
      </c>
      <c r="G76" s="2">
        <f t="shared" si="0"/>
        <v>4623</v>
      </c>
      <c r="H76" s="2">
        <f t="shared" si="2"/>
        <v>4623</v>
      </c>
    </row>
    <row r="77" spans="1:33" ht="12.75" customHeight="1">
      <c r="D77" s="10">
        <v>2595</v>
      </c>
      <c r="E77" s="25">
        <v>22</v>
      </c>
      <c r="F77" s="3">
        <f t="shared" si="3"/>
        <v>116177</v>
      </c>
      <c r="G77" s="2">
        <f t="shared" si="0"/>
        <v>4623</v>
      </c>
      <c r="H77" s="2">
        <f t="shared" si="2"/>
        <v>4623</v>
      </c>
    </row>
    <row r="78" spans="1:33" ht="12.75" customHeight="1">
      <c r="D78" s="10">
        <v>2700</v>
      </c>
      <c r="E78" s="25">
        <v>23</v>
      </c>
      <c r="F78" s="3">
        <f t="shared" si="3"/>
        <v>120800</v>
      </c>
      <c r="G78" s="2">
        <f t="shared" si="0"/>
        <v>4623</v>
      </c>
      <c r="H78" s="2">
        <f t="shared" si="2"/>
        <v>4623</v>
      </c>
    </row>
    <row r="79" spans="1:33" ht="12.75" customHeight="1">
      <c r="D79" s="10">
        <v>2805</v>
      </c>
      <c r="E79" s="25">
        <v>24</v>
      </c>
      <c r="F79" s="3">
        <f t="shared" si="3"/>
        <v>125423</v>
      </c>
      <c r="G79" s="2">
        <f t="shared" si="0"/>
        <v>4623</v>
      </c>
      <c r="H79" s="2">
        <f t="shared" si="2"/>
        <v>4623</v>
      </c>
    </row>
    <row r="80" spans="1:33" ht="12.75" customHeight="1">
      <c r="D80" s="10">
        <v>2910</v>
      </c>
      <c r="E80" s="25">
        <v>25</v>
      </c>
      <c r="F80" s="3">
        <f t="shared" si="3"/>
        <v>130046</v>
      </c>
      <c r="G80" s="2">
        <f t="shared" si="0"/>
        <v>4623</v>
      </c>
      <c r="H80" s="2">
        <f t="shared" si="2"/>
        <v>4623</v>
      </c>
    </row>
    <row r="81" spans="4:8" ht="12.75" customHeight="1">
      <c r="D81" s="10">
        <v>3015</v>
      </c>
      <c r="E81" s="25">
        <v>26</v>
      </c>
      <c r="F81" s="3">
        <f t="shared" si="3"/>
        <v>134669</v>
      </c>
      <c r="G81" s="2">
        <f t="shared" si="0"/>
        <v>4623</v>
      </c>
      <c r="H81" s="2">
        <f t="shared" si="2"/>
        <v>4623</v>
      </c>
    </row>
    <row r="82" spans="4:8" ht="12.75" customHeight="1">
      <c r="D82" s="10">
        <v>3120</v>
      </c>
      <c r="E82" s="25">
        <v>27</v>
      </c>
      <c r="F82" s="3">
        <f t="shared" si="3"/>
        <v>139292</v>
      </c>
      <c r="G82" s="2">
        <f t="shared" si="0"/>
        <v>4623</v>
      </c>
      <c r="H82" s="2">
        <f t="shared" si="2"/>
        <v>4623</v>
      </c>
    </row>
    <row r="83" spans="4:8" ht="12.75" customHeight="1">
      <c r="D83" s="10">
        <v>3225</v>
      </c>
      <c r="E83" s="25">
        <v>28</v>
      </c>
      <c r="F83" s="3">
        <f t="shared" si="3"/>
        <v>143915</v>
      </c>
      <c r="G83" s="2">
        <f t="shared" si="0"/>
        <v>4623</v>
      </c>
      <c r="H83" s="2">
        <f t="shared" si="2"/>
        <v>4623</v>
      </c>
    </row>
    <row r="84" spans="4:8" ht="12.75" customHeight="1">
      <c r="D84" s="10">
        <v>3330</v>
      </c>
      <c r="E84" s="25">
        <v>29</v>
      </c>
      <c r="F84" s="3">
        <f t="shared" si="3"/>
        <v>148538</v>
      </c>
      <c r="G84" s="2">
        <f t="shared" si="0"/>
        <v>4623</v>
      </c>
      <c r="H84" s="2">
        <f t="shared" si="2"/>
        <v>4623</v>
      </c>
    </row>
    <row r="85" spans="4:8" ht="12.75" customHeight="1">
      <c r="D85" s="10">
        <v>3435</v>
      </c>
      <c r="E85" s="25">
        <v>30</v>
      </c>
      <c r="F85" s="3">
        <f t="shared" si="3"/>
        <v>153161</v>
      </c>
      <c r="G85" s="2">
        <f t="shared" si="0"/>
        <v>4623</v>
      </c>
      <c r="H85" s="2">
        <f t="shared" si="2"/>
        <v>4623</v>
      </c>
    </row>
    <row r="86" spans="4:8" ht="12.75" customHeight="1">
      <c r="D86" s="10">
        <v>3540</v>
      </c>
      <c r="E86" s="25">
        <v>31</v>
      </c>
      <c r="F86" s="3">
        <f t="shared" si="3"/>
        <v>157784</v>
      </c>
      <c r="G86" s="2">
        <f t="shared" si="0"/>
        <v>4623</v>
      </c>
      <c r="H86" s="2">
        <f t="shared" si="2"/>
        <v>4623</v>
      </c>
    </row>
    <row r="87" spans="4:8" ht="12.75" customHeight="1">
      <c r="D87" s="10">
        <v>3645</v>
      </c>
      <c r="E87" s="25">
        <v>32</v>
      </c>
      <c r="F87" s="3">
        <f t="shared" si="3"/>
        <v>162407</v>
      </c>
      <c r="G87" s="2">
        <f t="shared" si="0"/>
        <v>4623</v>
      </c>
      <c r="H87" s="2">
        <f t="shared" si="2"/>
        <v>4623</v>
      </c>
    </row>
    <row r="88" spans="4:8" ht="12.75" customHeight="1">
      <c r="D88" s="10">
        <v>3750</v>
      </c>
      <c r="E88" s="25">
        <v>33</v>
      </c>
      <c r="F88" s="3">
        <f t="shared" si="3"/>
        <v>167030</v>
      </c>
      <c r="G88" s="2">
        <f t="shared" si="0"/>
        <v>4623</v>
      </c>
      <c r="H88" s="2">
        <f t="shared" si="2"/>
        <v>4623</v>
      </c>
    </row>
    <row r="89" spans="4:8" ht="12.75" customHeight="1">
      <c r="D89" s="10">
        <v>3855</v>
      </c>
      <c r="E89" s="25">
        <v>34</v>
      </c>
      <c r="F89" s="3">
        <f t="shared" si="3"/>
        <v>171653</v>
      </c>
      <c r="G89" s="2">
        <f t="shared" si="0"/>
        <v>4623</v>
      </c>
      <c r="H89" s="2">
        <f t="shared" si="2"/>
        <v>4623</v>
      </c>
    </row>
    <row r="90" spans="4:8" ht="12.75" customHeight="1">
      <c r="D90" s="10">
        <v>3960</v>
      </c>
      <c r="E90" s="25">
        <v>35</v>
      </c>
      <c r="F90" s="3">
        <f t="shared" si="3"/>
        <v>176276</v>
      </c>
      <c r="G90" s="2">
        <f t="shared" si="0"/>
        <v>4623</v>
      </c>
      <c r="H90" s="2">
        <f t="shared" si="2"/>
        <v>4623</v>
      </c>
    </row>
    <row r="91" spans="4:8" ht="12.75" customHeight="1">
      <c r="D91" s="10">
        <v>4065</v>
      </c>
      <c r="E91" s="10">
        <v>36</v>
      </c>
      <c r="F91" s="3">
        <f t="shared" si="3"/>
        <v>180899</v>
      </c>
      <c r="G91" s="2">
        <f t="shared" si="0"/>
        <v>4623</v>
      </c>
      <c r="H91" s="2">
        <f t="shared" si="2"/>
        <v>4623</v>
      </c>
    </row>
    <row r="92" spans="4:8" ht="12.75" customHeight="1">
      <c r="D92" s="10">
        <v>4170</v>
      </c>
      <c r="E92" s="10">
        <v>37</v>
      </c>
      <c r="F92" s="3">
        <f>+F91+H92</f>
        <v>185522</v>
      </c>
      <c r="G92" s="2">
        <f t="shared" si="0"/>
        <v>4623</v>
      </c>
      <c r="H92" s="2">
        <f t="shared" si="2"/>
        <v>4623</v>
      </c>
    </row>
    <row r="93" spans="4:8" ht="12.75" customHeight="1">
      <c r="D93" s="10">
        <v>4275</v>
      </c>
      <c r="E93" s="10">
        <v>38</v>
      </c>
      <c r="F93" s="3">
        <f t="shared" si="3"/>
        <v>190145</v>
      </c>
      <c r="G93" s="2">
        <f t="shared" si="0"/>
        <v>4623</v>
      </c>
      <c r="H93" s="2">
        <f t="shared" si="2"/>
        <v>4623</v>
      </c>
    </row>
    <row r="94" spans="4:8" ht="12.75" customHeight="1">
      <c r="D94" s="10">
        <v>4380</v>
      </c>
      <c r="E94" s="10">
        <v>39</v>
      </c>
      <c r="F94" s="3">
        <f t="shared" si="3"/>
        <v>194768</v>
      </c>
      <c r="G94" s="2">
        <f t="shared" si="0"/>
        <v>4623</v>
      </c>
      <c r="H94" s="2">
        <f t="shared" si="2"/>
        <v>4623</v>
      </c>
    </row>
    <row r="95" spans="4:8" ht="12.75" customHeight="1">
      <c r="D95" s="10">
        <v>4485</v>
      </c>
      <c r="E95" s="10">
        <v>40</v>
      </c>
      <c r="F95" s="3">
        <f t="shared" si="3"/>
        <v>199391</v>
      </c>
      <c r="G95" s="2">
        <f t="shared" si="0"/>
        <v>4623</v>
      </c>
      <c r="H95" s="2">
        <f t="shared" si="2"/>
        <v>4623</v>
      </c>
    </row>
    <row r="96" spans="4:8" ht="12.75" customHeight="1">
      <c r="D96" s="10">
        <v>4590</v>
      </c>
      <c r="E96" s="10">
        <v>41</v>
      </c>
      <c r="F96" s="3">
        <f t="shared" si="3"/>
        <v>204014</v>
      </c>
      <c r="G96" s="2">
        <f t="shared" si="0"/>
        <v>4623</v>
      </c>
      <c r="H96" s="2">
        <f t="shared" si="2"/>
        <v>4623</v>
      </c>
    </row>
    <row r="97" spans="3:8" ht="12.75" customHeight="1">
      <c r="D97" s="10">
        <v>4695</v>
      </c>
      <c r="E97" s="10">
        <v>42</v>
      </c>
      <c r="F97" s="3">
        <f t="shared" si="3"/>
        <v>208637</v>
      </c>
      <c r="G97" s="2">
        <f t="shared" si="0"/>
        <v>4623</v>
      </c>
      <c r="H97" s="2">
        <f t="shared" si="2"/>
        <v>4623</v>
      </c>
    </row>
    <row r="98" spans="3:8" ht="12.75" customHeight="1">
      <c r="D98" s="10">
        <v>4800</v>
      </c>
      <c r="E98" s="10">
        <v>43</v>
      </c>
      <c r="F98" s="3">
        <f t="shared" si="3"/>
        <v>213260</v>
      </c>
      <c r="G98" s="2">
        <f t="shared" si="0"/>
        <v>4623</v>
      </c>
      <c r="H98" s="2">
        <f t="shared" si="2"/>
        <v>4623</v>
      </c>
    </row>
    <row r="99" spans="3:8" ht="12.75" customHeight="1">
      <c r="D99" s="10">
        <v>4905</v>
      </c>
      <c r="E99" s="10">
        <v>44</v>
      </c>
      <c r="F99" s="3">
        <f t="shared" si="3"/>
        <v>217883</v>
      </c>
      <c r="G99" s="2">
        <f t="shared" si="0"/>
        <v>4623</v>
      </c>
      <c r="H99" s="2">
        <f t="shared" si="2"/>
        <v>4623</v>
      </c>
    </row>
    <row r="100" spans="3:8" ht="12.75" customHeight="1">
      <c r="D100" s="10">
        <v>5010</v>
      </c>
      <c r="E100" s="10">
        <v>45</v>
      </c>
      <c r="F100" s="3">
        <f t="shared" si="3"/>
        <v>222506</v>
      </c>
      <c r="G100" s="2">
        <f t="shared" si="0"/>
        <v>4623</v>
      </c>
      <c r="H100" s="2">
        <f t="shared" si="2"/>
        <v>4623</v>
      </c>
    </row>
    <row r="101" spans="3:8" ht="12.75" customHeight="1">
      <c r="D101" s="10">
        <v>5115</v>
      </c>
      <c r="E101" s="10">
        <v>46</v>
      </c>
      <c r="F101" s="3">
        <f>+F100+H101</f>
        <v>227129</v>
      </c>
      <c r="G101" s="2">
        <f>+F101-F100</f>
        <v>4623</v>
      </c>
      <c r="H101" s="2">
        <f>H100</f>
        <v>4623</v>
      </c>
    </row>
    <row r="102" spans="3:8" ht="12.75" customHeight="1">
      <c r="D102" s="10">
        <v>5220</v>
      </c>
      <c r="E102" s="10">
        <v>47</v>
      </c>
      <c r="F102" s="3">
        <f>+F101+H102</f>
        <v>231752</v>
      </c>
      <c r="G102" s="2">
        <f>+F102-F101</f>
        <v>4623</v>
      </c>
      <c r="H102" s="2">
        <f>H101</f>
        <v>4623</v>
      </c>
    </row>
    <row r="103" spans="3:8" ht="12.75" customHeight="1">
      <c r="D103" s="10">
        <v>5325</v>
      </c>
      <c r="E103" s="10">
        <v>48</v>
      </c>
      <c r="F103" s="3">
        <f>+F102+H103</f>
        <v>236375</v>
      </c>
      <c r="G103" s="2">
        <f>+F103-F102</f>
        <v>4623</v>
      </c>
      <c r="H103" s="2">
        <f>H102</f>
        <v>4623</v>
      </c>
    </row>
    <row r="104" spans="3:8" ht="12.75" customHeight="1">
      <c r="D104" s="10">
        <v>5430</v>
      </c>
      <c r="E104" s="10">
        <v>49</v>
      </c>
      <c r="F104" s="3">
        <f>+F103+H104</f>
        <v>240998</v>
      </c>
      <c r="G104" s="2">
        <f>+F104-F103</f>
        <v>4623</v>
      </c>
      <c r="H104" s="2">
        <f>H103</f>
        <v>4623</v>
      </c>
    </row>
    <row r="105" spans="3:8" ht="12.75" customHeight="1">
      <c r="D105" s="10">
        <v>5535</v>
      </c>
      <c r="E105" s="10">
        <v>50</v>
      </c>
      <c r="F105" s="3">
        <f>+F104+H105</f>
        <v>245621</v>
      </c>
      <c r="G105" s="2">
        <f>+F105-F104</f>
        <v>4623</v>
      </c>
      <c r="H105" s="2">
        <f>H104</f>
        <v>4623</v>
      </c>
    </row>
    <row r="107" spans="3:8" ht="12.75" customHeight="1">
      <c r="C107" s="10"/>
      <c r="D107" s="10"/>
    </row>
    <row r="108" spans="3:8" ht="12.75" customHeight="1">
      <c r="C108" s="10"/>
      <c r="D108" s="10"/>
    </row>
    <row r="109" spans="3:8" ht="12.75" customHeight="1">
      <c r="C109" s="10"/>
      <c r="D109" s="10"/>
    </row>
    <row r="110" spans="3:8" ht="12.75" customHeight="1">
      <c r="C110" s="10"/>
      <c r="D110" s="10"/>
    </row>
    <row r="111" spans="3:8" ht="12.75" customHeight="1">
      <c r="C111" s="10"/>
      <c r="D111" s="10"/>
    </row>
    <row r="112" spans="3:8" ht="12.75" customHeight="1">
      <c r="C112" s="10"/>
      <c r="D112" s="10"/>
    </row>
    <row r="113" spans="3:4" ht="12.75" customHeight="1">
      <c r="C113" s="10"/>
      <c r="D113" s="10"/>
    </row>
    <row r="114" spans="3:4" ht="12.75" customHeight="1">
      <c r="C114" s="10"/>
      <c r="D114" s="10"/>
    </row>
    <row r="115" spans="3:4" ht="12.75" customHeight="1">
      <c r="C115" s="10"/>
      <c r="D115" s="10"/>
    </row>
    <row r="116" spans="3:4" ht="12.75" customHeight="1">
      <c r="C116" s="10"/>
      <c r="D116" s="10"/>
    </row>
    <row r="117" spans="3:4" ht="12.75" customHeight="1">
      <c r="C117" s="10"/>
      <c r="D117" s="10"/>
    </row>
    <row r="118" spans="3:4" ht="12.75" customHeight="1">
      <c r="C118" s="10"/>
      <c r="D118" s="10"/>
    </row>
    <row r="119" spans="3:4" ht="12.75" customHeight="1">
      <c r="C119" s="10"/>
      <c r="D119" s="10"/>
    </row>
    <row r="120" spans="3:4" ht="12.75" customHeight="1">
      <c r="C120" s="10"/>
      <c r="D120" s="10"/>
    </row>
    <row r="121" spans="3:4" ht="12.75" customHeight="1">
      <c r="C121" s="10"/>
      <c r="D121" s="10"/>
    </row>
    <row r="122" spans="3:4" ht="12.75" customHeight="1">
      <c r="C122" s="10"/>
      <c r="D122" s="10"/>
    </row>
    <row r="123" spans="3:4" ht="12.75" customHeight="1">
      <c r="C123" s="10"/>
      <c r="D123" s="10"/>
    </row>
    <row r="124" spans="3:4" ht="12.75" customHeight="1">
      <c r="C124" s="10"/>
      <c r="D124" s="10"/>
    </row>
    <row r="125" spans="3:4" ht="12.75" customHeight="1">
      <c r="C125" s="10"/>
      <c r="D125" s="10"/>
    </row>
    <row r="126" spans="3:4" ht="12.75" customHeight="1">
      <c r="C126" s="10"/>
      <c r="D126" s="10"/>
    </row>
    <row r="127" spans="3:4" ht="12.75" customHeight="1">
      <c r="C127" s="10"/>
      <c r="D127" s="10"/>
    </row>
    <row r="128" spans="3:4" ht="12.75" customHeight="1">
      <c r="C128" s="10"/>
      <c r="D128" s="10"/>
    </row>
    <row r="129" spans="3:4" ht="12.75" customHeight="1">
      <c r="C129" s="10"/>
      <c r="D129" s="10"/>
    </row>
    <row r="130" spans="3:4" ht="12.75" customHeight="1">
      <c r="C130" s="10"/>
      <c r="D130" s="10"/>
    </row>
    <row r="131" spans="3:4" ht="12.75" customHeight="1">
      <c r="C131" s="10"/>
      <c r="D131" s="10"/>
    </row>
    <row r="132" spans="3:4" ht="12.75" customHeight="1">
      <c r="C132" s="10"/>
      <c r="D132" s="10"/>
    </row>
    <row r="133" spans="3:4" ht="12.75" customHeight="1">
      <c r="C133" s="10"/>
      <c r="D133" s="10"/>
    </row>
    <row r="134" spans="3:4" ht="12.75" customHeight="1">
      <c r="C134" s="10"/>
      <c r="D134" s="10"/>
    </row>
    <row r="135" spans="3:4" ht="12.75" customHeight="1">
      <c r="C135" s="10"/>
      <c r="D135" s="10"/>
    </row>
    <row r="136" spans="3:4" ht="12.75" customHeight="1">
      <c r="C136" s="10"/>
      <c r="D136" s="10"/>
    </row>
    <row r="137" spans="3:4" ht="12.75" customHeight="1">
      <c r="C137" s="10"/>
      <c r="D137" s="10"/>
    </row>
    <row r="138" spans="3:4" ht="12.75" customHeight="1">
      <c r="C138" s="10"/>
      <c r="D138" s="10"/>
    </row>
    <row r="139" spans="3:4" ht="12.75" customHeight="1">
      <c r="C139" s="10"/>
      <c r="D139" s="10"/>
    </row>
    <row r="140" spans="3:4" ht="12.75" customHeight="1">
      <c r="C140" s="10"/>
      <c r="D140" s="10"/>
    </row>
    <row r="141" spans="3:4" ht="12.75" customHeight="1">
      <c r="C141" s="10"/>
      <c r="D141" s="10"/>
    </row>
    <row r="142" spans="3:4" ht="12.75" customHeight="1">
      <c r="C142" s="10"/>
      <c r="D142" s="10"/>
    </row>
    <row r="143" spans="3:4" ht="12.75" customHeight="1">
      <c r="C143" s="10"/>
      <c r="D143" s="10"/>
    </row>
    <row r="144" spans="3:4" ht="12.75" customHeight="1">
      <c r="C144" s="10"/>
      <c r="D144" s="10"/>
    </row>
    <row r="145" spans="3:4" ht="12.75" customHeight="1">
      <c r="C145" s="10"/>
      <c r="D145" s="10"/>
    </row>
    <row r="146" spans="3:4" ht="12.75" customHeight="1">
      <c r="C146" s="10"/>
      <c r="D146" s="10"/>
    </row>
    <row r="147" spans="3:4" ht="12.75" customHeight="1">
      <c r="C147" s="10"/>
      <c r="D147" s="10"/>
    </row>
    <row r="148" spans="3:4" ht="12.75" customHeight="1">
      <c r="C148" s="10"/>
      <c r="D148" s="10"/>
    </row>
    <row r="149" spans="3:4" ht="12.75" customHeight="1">
      <c r="C149" s="10"/>
      <c r="D149" s="10"/>
    </row>
    <row r="150" spans="3:4" ht="12.75" customHeight="1">
      <c r="C150" s="10"/>
      <c r="D150" s="10"/>
    </row>
    <row r="151" spans="3:4" ht="12.75" customHeight="1">
      <c r="C151" s="10"/>
      <c r="D151" s="10"/>
    </row>
    <row r="152" spans="3:4" ht="12.75" customHeight="1">
      <c r="C152" s="10"/>
      <c r="D152" s="10"/>
    </row>
    <row r="153" spans="3:4" ht="12.75" customHeight="1">
      <c r="C153" s="10"/>
      <c r="D153" s="10"/>
    </row>
    <row r="154" spans="3:4" ht="12.75" customHeight="1">
      <c r="C154" s="10"/>
      <c r="D154" s="10"/>
    </row>
    <row r="155" spans="3:4" ht="12.75" customHeight="1">
      <c r="C155" s="10"/>
      <c r="D155" s="10"/>
    </row>
    <row r="156" spans="3:4" ht="12.75" customHeight="1">
      <c r="C156" s="10"/>
      <c r="D156" s="10"/>
    </row>
    <row r="157" spans="3:4" ht="12.75" customHeight="1">
      <c r="C157" s="10"/>
      <c r="D157" s="10"/>
    </row>
    <row r="158" spans="3:4" ht="12.75" customHeight="1">
      <c r="C158" s="10"/>
      <c r="D158" s="10"/>
    </row>
    <row r="159" spans="3:4" ht="12.75" customHeight="1">
      <c r="C159" s="10"/>
      <c r="D159" s="10"/>
    </row>
    <row r="160" spans="3:4" ht="12.75" customHeight="1">
      <c r="C160" s="10"/>
      <c r="D160" s="10"/>
    </row>
    <row r="161" spans="3:4" ht="12.75" customHeight="1">
      <c r="C161" s="10"/>
      <c r="D161" s="10"/>
    </row>
    <row r="162" spans="3:4" ht="12.75" customHeight="1">
      <c r="C162" s="10"/>
      <c r="D162" s="10"/>
    </row>
    <row r="163" spans="3:4" ht="12.75" customHeight="1">
      <c r="C163" s="10"/>
      <c r="D163" s="10"/>
    </row>
    <row r="164" spans="3:4" ht="12.75" customHeight="1">
      <c r="C164" s="10"/>
      <c r="D164" s="10"/>
    </row>
    <row r="165" spans="3:4" ht="12.75" customHeight="1">
      <c r="C165" s="10"/>
      <c r="D165" s="10"/>
    </row>
    <row r="166" spans="3:4" ht="12.75" customHeight="1">
      <c r="C166" s="10"/>
      <c r="D166" s="10"/>
    </row>
    <row r="167" spans="3:4" ht="12.75" customHeight="1">
      <c r="C167" s="10"/>
      <c r="D167" s="10"/>
    </row>
    <row r="168" spans="3:4" ht="12.75" customHeight="1">
      <c r="C168" s="10"/>
      <c r="D168" s="10"/>
    </row>
    <row r="169" spans="3:4" ht="12.75" customHeight="1">
      <c r="C169" s="10"/>
      <c r="D169" s="10"/>
    </row>
    <row r="170" spans="3:4" ht="12.75" customHeight="1">
      <c r="C170" s="10"/>
      <c r="D170" s="10"/>
    </row>
    <row r="171" spans="3:4" ht="12.75" customHeight="1">
      <c r="C171" s="10"/>
      <c r="D171" s="10"/>
    </row>
    <row r="172" spans="3:4" ht="12.75" customHeight="1">
      <c r="C172" s="10"/>
      <c r="D172" s="10"/>
    </row>
    <row r="173" spans="3:4" ht="12.75" customHeight="1">
      <c r="C173" s="10"/>
      <c r="D173" s="10"/>
    </row>
    <row r="174" spans="3:4" ht="12.75" customHeight="1">
      <c r="C174" s="10"/>
      <c r="D174" s="10"/>
    </row>
    <row r="175" spans="3:4" ht="12.75" customHeight="1">
      <c r="C175" s="10"/>
      <c r="D175" s="10"/>
    </row>
    <row r="176" spans="3:4" ht="12.75" customHeight="1">
      <c r="C176" s="10"/>
      <c r="D176" s="10"/>
    </row>
    <row r="177" spans="3:4" ht="12.75" customHeight="1">
      <c r="C177" s="10"/>
      <c r="D177" s="10"/>
    </row>
    <row r="178" spans="3:4" ht="12.75" customHeight="1">
      <c r="C178" s="10"/>
      <c r="D178" s="10"/>
    </row>
    <row r="179" spans="3:4" ht="12.75" customHeight="1">
      <c r="C179" s="10"/>
      <c r="D179" s="10"/>
    </row>
    <row r="180" spans="3:4" ht="12.75" customHeight="1">
      <c r="C180" s="10"/>
      <c r="D180" s="10"/>
    </row>
    <row r="181" spans="3:4" ht="12.75" customHeight="1">
      <c r="C181" s="10"/>
      <c r="D181" s="10"/>
    </row>
    <row r="182" spans="3:4" ht="12.75" customHeight="1">
      <c r="C182" s="10"/>
      <c r="D182" s="10"/>
    </row>
    <row r="183" spans="3:4" ht="12.75" customHeight="1">
      <c r="C183" s="10"/>
      <c r="D183" s="10"/>
    </row>
    <row r="184" spans="3:4" ht="12.75" customHeight="1">
      <c r="C184" s="10"/>
      <c r="D184" s="10"/>
    </row>
    <row r="185" spans="3:4" ht="12.75" customHeight="1">
      <c r="C185" s="10"/>
      <c r="D185" s="10"/>
    </row>
    <row r="186" spans="3:4" ht="12.75" customHeight="1">
      <c r="C186" s="10"/>
      <c r="D186" s="10"/>
    </row>
    <row r="187" spans="3:4" ht="12.75" customHeight="1">
      <c r="C187" s="10"/>
      <c r="D187" s="10"/>
    </row>
    <row r="188" spans="3:4" ht="12.75" customHeight="1">
      <c r="C188" s="10"/>
      <c r="D188" s="10"/>
    </row>
    <row r="189" spans="3:4" ht="12.75" customHeight="1">
      <c r="C189" s="10"/>
      <c r="D189" s="10"/>
    </row>
    <row r="190" spans="3:4" ht="12.75" customHeight="1">
      <c r="C190" s="10"/>
      <c r="D190" s="10"/>
    </row>
    <row r="191" spans="3:4" ht="12.75" customHeight="1">
      <c r="C191" s="10"/>
      <c r="D191" s="10"/>
    </row>
    <row r="192" spans="3:4" ht="12.75" customHeight="1">
      <c r="C192" s="10"/>
      <c r="D192" s="10"/>
    </row>
    <row r="193" spans="3:4" ht="12.75" customHeight="1">
      <c r="C193" s="10"/>
      <c r="D193" s="10"/>
    </row>
    <row r="194" spans="3:4" ht="12.75" customHeight="1">
      <c r="C194" s="10"/>
      <c r="D194" s="10"/>
    </row>
    <row r="195" spans="3:4" ht="12.75" customHeight="1">
      <c r="C195" s="10"/>
      <c r="D195" s="10"/>
    </row>
    <row r="196" spans="3:4" ht="12.75" customHeight="1">
      <c r="C196" s="10"/>
      <c r="D196" s="10"/>
    </row>
    <row r="197" spans="3:4" ht="12.75" customHeight="1">
      <c r="C197" s="10"/>
      <c r="D197" s="10"/>
    </row>
    <row r="198" spans="3:4" ht="12.75" customHeight="1">
      <c r="C198" s="10"/>
      <c r="D198" s="10"/>
    </row>
    <row r="199" spans="3:4" ht="12.75" customHeight="1">
      <c r="C199" s="10"/>
      <c r="D199" s="10"/>
    </row>
    <row r="200" spans="3:4" ht="12.75" customHeight="1">
      <c r="C200" s="10"/>
      <c r="D200" s="10"/>
    </row>
    <row r="201" spans="3:4" ht="12.75" customHeight="1">
      <c r="C201" s="10"/>
      <c r="D201" s="10"/>
    </row>
    <row r="202" spans="3:4" ht="12.75" customHeight="1">
      <c r="C202" s="10"/>
      <c r="D202" s="10"/>
    </row>
    <row r="203" spans="3:4" ht="12.75" customHeight="1">
      <c r="C203" s="10"/>
      <c r="D203" s="10"/>
    </row>
    <row r="204" spans="3:4" ht="12.75" customHeight="1">
      <c r="C204" s="10"/>
      <c r="D204" s="10"/>
    </row>
    <row r="205" spans="3:4" ht="12.75" customHeight="1">
      <c r="C205" s="10"/>
      <c r="D205" s="10"/>
    </row>
    <row r="206" spans="3:4" ht="12.75" customHeight="1">
      <c r="C206" s="10"/>
      <c r="D206" s="10"/>
    </row>
    <row r="207" spans="3:4" ht="12.75" customHeight="1">
      <c r="C207" s="10"/>
      <c r="D207" s="10"/>
    </row>
    <row r="208" spans="3:4" ht="12.75" customHeight="1">
      <c r="C208" s="10"/>
      <c r="D208" s="10"/>
    </row>
    <row r="209" spans="3:4" ht="12.75" customHeight="1">
      <c r="C209" s="10"/>
      <c r="D209" s="10"/>
    </row>
    <row r="210" spans="3:4" ht="12.75" customHeight="1">
      <c r="C210" s="10"/>
      <c r="D210" s="10"/>
    </row>
    <row r="211" spans="3:4" ht="12.75" customHeight="1">
      <c r="C211" s="10"/>
      <c r="D211" s="10"/>
    </row>
    <row r="212" spans="3:4" ht="12.75" customHeight="1">
      <c r="C212" s="10"/>
      <c r="D212" s="10"/>
    </row>
    <row r="213" spans="3:4" ht="12.75" customHeight="1">
      <c r="C213" s="10"/>
      <c r="D213" s="10"/>
    </row>
    <row r="214" spans="3:4" ht="12.75" customHeight="1">
      <c r="C214" s="10"/>
      <c r="D214" s="10"/>
    </row>
    <row r="215" spans="3:4" ht="12.75" customHeight="1">
      <c r="C215" s="10"/>
      <c r="D215" s="10"/>
    </row>
    <row r="216" spans="3:4" ht="12.75" customHeight="1">
      <c r="C216" s="10"/>
      <c r="D216" s="10"/>
    </row>
    <row r="217" spans="3:4" ht="12.75" customHeight="1">
      <c r="C217" s="10"/>
      <c r="D217" s="10"/>
    </row>
    <row r="218" spans="3:4" ht="12.75" customHeight="1">
      <c r="C218" s="10"/>
      <c r="D218" s="10"/>
    </row>
    <row r="219" spans="3:4" ht="12.75" customHeight="1">
      <c r="C219" s="10"/>
      <c r="D219" s="10"/>
    </row>
    <row r="220" spans="3:4" ht="12.75" customHeight="1">
      <c r="C220" s="10"/>
      <c r="D220" s="10"/>
    </row>
    <row r="221" spans="3:4" ht="12.75" customHeight="1">
      <c r="C221" s="10"/>
      <c r="D221" s="10"/>
    </row>
    <row r="222" spans="3:4" ht="12.75" customHeight="1">
      <c r="C222" s="10"/>
      <c r="D222" s="10"/>
    </row>
    <row r="223" spans="3:4" ht="12.75" customHeight="1">
      <c r="C223" s="10"/>
      <c r="D223" s="10"/>
    </row>
    <row r="224" spans="3:4" ht="12.75" customHeight="1">
      <c r="C224" s="10"/>
      <c r="D224" s="10"/>
    </row>
    <row r="225" spans="3:4" ht="12.75" customHeight="1">
      <c r="C225" s="10"/>
      <c r="D225" s="10"/>
    </row>
    <row r="226" spans="3:4" ht="12.75" customHeight="1">
      <c r="C226" s="10"/>
      <c r="D226" s="10"/>
    </row>
    <row r="227" spans="3:4" ht="12.75" customHeight="1">
      <c r="C227" s="10"/>
      <c r="D227" s="10"/>
    </row>
    <row r="228" spans="3:4" ht="12.75" customHeight="1">
      <c r="C228" s="10"/>
      <c r="D228" s="10"/>
    </row>
    <row r="229" spans="3:4" ht="12.75" customHeight="1">
      <c r="C229" s="10"/>
      <c r="D229" s="10"/>
    </row>
    <row r="230" spans="3:4" ht="12.75" customHeight="1">
      <c r="C230" s="10"/>
      <c r="D230" s="10"/>
    </row>
    <row r="231" spans="3:4" ht="12.75" customHeight="1">
      <c r="C231" s="10"/>
      <c r="D231" s="10"/>
    </row>
    <row r="232" spans="3:4" ht="12.75" customHeight="1">
      <c r="C232" s="10"/>
      <c r="D232" s="10"/>
    </row>
    <row r="233" spans="3:4" ht="12.75" customHeight="1">
      <c r="C233" s="10"/>
      <c r="D233" s="10"/>
    </row>
    <row r="234" spans="3:4" ht="12.75" customHeight="1">
      <c r="C234" s="10"/>
      <c r="D234" s="10"/>
    </row>
    <row r="235" spans="3:4" ht="12.75" customHeight="1">
      <c r="C235" s="10"/>
      <c r="D235" s="10"/>
    </row>
    <row r="236" spans="3:4" ht="12.75" customHeight="1">
      <c r="C236" s="10"/>
      <c r="D236" s="10"/>
    </row>
    <row r="237" spans="3:4" ht="12.75" customHeight="1">
      <c r="C237" s="10"/>
      <c r="D237" s="10"/>
    </row>
    <row r="238" spans="3:4" ht="12.75" customHeight="1">
      <c r="C238" s="10"/>
      <c r="D238" s="10"/>
    </row>
    <row r="239" spans="3:4" ht="12.75" customHeight="1">
      <c r="C239" s="10"/>
      <c r="D239" s="10"/>
    </row>
    <row r="240" spans="3:4" ht="12.75" customHeight="1">
      <c r="C240" s="10"/>
      <c r="D240" s="10"/>
    </row>
    <row r="241" spans="3:4" ht="12.75" customHeight="1">
      <c r="C241" s="10"/>
      <c r="D241" s="10"/>
    </row>
    <row r="242" spans="3:4" ht="12.75" customHeight="1">
      <c r="C242" s="10"/>
      <c r="D242" s="10"/>
    </row>
    <row r="243" spans="3:4" ht="12.75" customHeight="1">
      <c r="C243" s="10"/>
      <c r="D243" s="10"/>
    </row>
    <row r="244" spans="3:4" ht="12.75" customHeight="1">
      <c r="C244" s="10"/>
      <c r="D244" s="10"/>
    </row>
    <row r="245" spans="3:4" ht="12.75" customHeight="1">
      <c r="C245" s="10"/>
      <c r="D245" s="10"/>
    </row>
    <row r="246" spans="3:4" ht="12.75" customHeight="1">
      <c r="C246" s="10"/>
      <c r="D246" s="10"/>
    </row>
    <row r="247" spans="3:4" ht="12.75" customHeight="1">
      <c r="C247" s="10"/>
      <c r="D247" s="10"/>
    </row>
    <row r="248" spans="3:4" ht="12.75" customHeight="1">
      <c r="C248" s="10"/>
      <c r="D248" s="10"/>
    </row>
    <row r="249" spans="3:4" ht="12.75" customHeight="1">
      <c r="C249" s="10"/>
      <c r="D249" s="10"/>
    </row>
    <row r="250" spans="3:4" ht="12.75" customHeight="1">
      <c r="C250" s="10"/>
      <c r="D250" s="10"/>
    </row>
    <row r="251" spans="3:4" ht="12.75" customHeight="1">
      <c r="C251" s="10"/>
      <c r="D251" s="10"/>
    </row>
    <row r="252" spans="3:4" ht="12.75" customHeight="1">
      <c r="C252" s="10"/>
      <c r="D252" s="10"/>
    </row>
    <row r="253" spans="3:4" ht="12.75" customHeight="1">
      <c r="C253" s="10"/>
      <c r="D253" s="10"/>
    </row>
    <row r="254" spans="3:4" ht="12.75" customHeight="1">
      <c r="C254" s="10"/>
      <c r="D254" s="10"/>
    </row>
    <row r="255" spans="3:4" ht="12.75" customHeight="1">
      <c r="C255" s="10"/>
      <c r="D255" s="10"/>
    </row>
    <row r="256" spans="3:4" ht="12.75" customHeight="1">
      <c r="C256" s="10"/>
      <c r="D256" s="10"/>
    </row>
    <row r="257" spans="3:4" ht="12.75" customHeight="1">
      <c r="C257" s="10"/>
      <c r="D257" s="10"/>
    </row>
    <row r="258" spans="3:4" ht="12.75" customHeight="1">
      <c r="C258" s="10"/>
      <c r="D258" s="10"/>
    </row>
    <row r="259" spans="3:4" ht="12.75" customHeight="1">
      <c r="C259" s="10"/>
      <c r="D259" s="10"/>
    </row>
    <row r="260" spans="3:4" ht="12.75" customHeight="1">
      <c r="C260" s="10"/>
      <c r="D260" s="10"/>
    </row>
    <row r="261" spans="3:4" ht="12.75" customHeight="1">
      <c r="C261" s="10"/>
      <c r="D261" s="10"/>
    </row>
    <row r="262" spans="3:4" ht="12.75" customHeight="1">
      <c r="C262" s="10"/>
      <c r="D262" s="10"/>
    </row>
    <row r="263" spans="3:4" ht="12.75" customHeight="1">
      <c r="C263" s="10"/>
      <c r="D263" s="10"/>
    </row>
    <row r="264" spans="3:4" ht="12.75" customHeight="1">
      <c r="C264" s="10"/>
      <c r="D264" s="10"/>
    </row>
    <row r="265" spans="3:4" ht="12.75" customHeight="1">
      <c r="C265" s="10"/>
      <c r="D265" s="10"/>
    </row>
    <row r="266" spans="3:4" ht="12.75" customHeight="1">
      <c r="C266" s="10"/>
      <c r="D266" s="10"/>
    </row>
    <row r="267" spans="3:4" ht="12.75" customHeight="1">
      <c r="C267" s="10"/>
      <c r="D267" s="10"/>
    </row>
    <row r="268" spans="3:4" ht="12.75" customHeight="1">
      <c r="C268" s="10"/>
      <c r="D268" s="10"/>
    </row>
    <row r="269" spans="3:4" ht="12.75" customHeight="1">
      <c r="C269" s="10"/>
      <c r="D269" s="10"/>
    </row>
    <row r="270" spans="3:4" ht="12.75" customHeight="1">
      <c r="C270" s="10"/>
      <c r="D270" s="10"/>
    </row>
    <row r="271" spans="3:4" ht="12.75" customHeight="1">
      <c r="C271" s="10"/>
      <c r="D271" s="10"/>
    </row>
    <row r="272" spans="3:4" ht="12.75" customHeight="1">
      <c r="C272" s="10"/>
      <c r="D272" s="10"/>
    </row>
    <row r="273" spans="3:4" ht="12.75" customHeight="1">
      <c r="C273" s="10"/>
      <c r="D273" s="10"/>
    </row>
    <row r="274" spans="3:4" ht="12.75" customHeight="1">
      <c r="C274" s="10"/>
      <c r="D274" s="10"/>
    </row>
    <row r="275" spans="3:4" ht="12.75" customHeight="1">
      <c r="C275" s="10"/>
      <c r="D275" s="10"/>
    </row>
    <row r="276" spans="3:4" ht="12.75" customHeight="1">
      <c r="C276" s="10"/>
      <c r="D276" s="10"/>
    </row>
    <row r="277" spans="3:4" ht="12.75" customHeight="1">
      <c r="C277" s="10"/>
      <c r="D277" s="10"/>
    </row>
    <row r="278" spans="3:4" ht="12.75" customHeight="1">
      <c r="C278" s="10"/>
      <c r="D278" s="10"/>
    </row>
    <row r="279" spans="3:4" ht="12.75" customHeight="1">
      <c r="C279" s="10"/>
      <c r="D279" s="10"/>
    </row>
    <row r="280" spans="3:4" ht="12.75" customHeight="1">
      <c r="C280" s="10"/>
      <c r="D280" s="10"/>
    </row>
    <row r="281" spans="3:4" ht="12.75" customHeight="1">
      <c r="C281" s="10"/>
      <c r="D281" s="10"/>
    </row>
    <row r="282" spans="3:4" ht="12.75" customHeight="1">
      <c r="C282" s="10"/>
      <c r="D282" s="10"/>
    </row>
    <row r="283" spans="3:4" ht="12.75" customHeight="1">
      <c r="C283" s="10"/>
      <c r="D283" s="10"/>
    </row>
    <row r="284" spans="3:4" ht="12.75" customHeight="1">
      <c r="C284" s="10"/>
      <c r="D284" s="10"/>
    </row>
    <row r="285" spans="3:4" ht="12.75" customHeight="1">
      <c r="C285" s="10"/>
      <c r="D285" s="10"/>
    </row>
    <row r="286" spans="3:4" ht="12.75" customHeight="1">
      <c r="C286" s="10"/>
      <c r="D286" s="10"/>
    </row>
    <row r="287" spans="3:4" ht="12.75" customHeight="1">
      <c r="C287" s="10"/>
      <c r="D287" s="10"/>
    </row>
    <row r="288" spans="3:4" ht="12.75" customHeight="1">
      <c r="C288" s="10"/>
      <c r="D288" s="10"/>
    </row>
    <row r="289" spans="3:4" ht="12.75" customHeight="1">
      <c r="C289" s="10"/>
      <c r="D289" s="10"/>
    </row>
    <row r="290" spans="3:4" ht="12.75" customHeight="1">
      <c r="C290" s="10"/>
      <c r="D290" s="10"/>
    </row>
    <row r="291" spans="3:4" ht="12.75" customHeight="1">
      <c r="C291" s="10"/>
      <c r="D291" s="10"/>
    </row>
    <row r="292" spans="3:4" ht="12.75" customHeight="1">
      <c r="C292" s="10"/>
      <c r="D292" s="10"/>
    </row>
    <row r="293" spans="3:4" ht="12.75" customHeight="1">
      <c r="C293" s="10"/>
      <c r="D293" s="10"/>
    </row>
    <row r="294" spans="3:4" ht="12.75" customHeight="1">
      <c r="C294" s="10"/>
      <c r="D294" s="10"/>
    </row>
    <row r="295" spans="3:4" ht="12.75" customHeight="1">
      <c r="C295" s="10"/>
      <c r="D295" s="10"/>
    </row>
    <row r="296" spans="3:4" ht="12.75" customHeight="1">
      <c r="C296" s="10"/>
      <c r="D296" s="10"/>
    </row>
    <row r="297" spans="3:4" ht="12.75" customHeight="1">
      <c r="C297" s="10"/>
      <c r="D297" s="10"/>
    </row>
    <row r="298" spans="3:4" ht="12.75" customHeight="1">
      <c r="C298" s="10"/>
      <c r="D298" s="10"/>
    </row>
    <row r="299" spans="3:4" ht="12.75" customHeight="1">
      <c r="C299" s="10"/>
      <c r="D299" s="10"/>
    </row>
    <row r="300" spans="3:4" ht="12.75" customHeight="1">
      <c r="C300" s="10"/>
      <c r="D300" s="10"/>
    </row>
    <row r="301" spans="3:4" ht="12.75" customHeight="1">
      <c r="C301" s="10"/>
      <c r="D301" s="10"/>
    </row>
    <row r="302" spans="3:4" ht="12.75" customHeight="1">
      <c r="C302" s="10"/>
      <c r="D302" s="10"/>
    </row>
    <row r="303" spans="3:4" ht="12.75" customHeight="1">
      <c r="C303" s="10"/>
      <c r="D303" s="10"/>
    </row>
    <row r="304" spans="3:4" ht="12.75" customHeight="1">
      <c r="C304" s="10"/>
      <c r="D304" s="10"/>
    </row>
    <row r="305" spans="3:4" ht="12.75" customHeight="1">
      <c r="C305" s="10"/>
      <c r="D305" s="10"/>
    </row>
    <row r="306" spans="3:4" ht="12.75" customHeight="1">
      <c r="C306" s="10"/>
      <c r="D306" s="10"/>
    </row>
    <row r="307" spans="3:4" ht="12.75" customHeight="1">
      <c r="C307" s="10"/>
      <c r="D307" s="10"/>
    </row>
    <row r="308" spans="3:4" ht="12.75" customHeight="1">
      <c r="C308" s="10"/>
      <c r="D308" s="10"/>
    </row>
    <row r="309" spans="3:4" ht="12.75" customHeight="1">
      <c r="C309" s="10"/>
      <c r="D309" s="10"/>
    </row>
    <row r="310" spans="3:4" ht="12.75" customHeight="1">
      <c r="C310" s="10"/>
      <c r="D310" s="10"/>
    </row>
    <row r="311" spans="3:4" ht="12.75" customHeight="1">
      <c r="C311" s="10"/>
      <c r="D311" s="10"/>
    </row>
    <row r="312" spans="3:4" ht="12.75" customHeight="1">
      <c r="C312" s="10"/>
      <c r="D312" s="10"/>
    </row>
    <row r="313" spans="3:4" ht="12.75" customHeight="1">
      <c r="C313" s="10"/>
      <c r="D313" s="10"/>
    </row>
    <row r="314" spans="3:4" ht="12.75" customHeight="1">
      <c r="C314" s="10"/>
      <c r="D314" s="10"/>
    </row>
    <row r="315" spans="3:4" ht="12.75" customHeight="1">
      <c r="C315" s="10"/>
      <c r="D315" s="10"/>
    </row>
    <row r="316" spans="3:4" ht="12.75" customHeight="1">
      <c r="C316" s="10"/>
      <c r="D316" s="10"/>
    </row>
    <row r="317" spans="3:4" ht="12.75" customHeight="1">
      <c r="C317" s="10"/>
      <c r="D317" s="10"/>
    </row>
    <row r="318" spans="3:4" ht="12.75" customHeight="1">
      <c r="C318" s="10"/>
      <c r="D318" s="10"/>
    </row>
    <row r="319" spans="3:4" ht="12.75" customHeight="1">
      <c r="C319" s="10"/>
      <c r="D319" s="10"/>
    </row>
    <row r="320" spans="3:4" ht="12.75" customHeight="1">
      <c r="C320" s="10"/>
      <c r="D320" s="10"/>
    </row>
    <row r="321" spans="3:4" ht="12.75" customHeight="1">
      <c r="C321" s="10"/>
      <c r="D321" s="10"/>
    </row>
    <row r="322" spans="3:4" ht="12.75" customHeight="1">
      <c r="C322" s="10"/>
      <c r="D322" s="10"/>
    </row>
    <row r="323" spans="3:4" ht="12.75" customHeight="1">
      <c r="C323" s="10"/>
      <c r="D323" s="10"/>
    </row>
    <row r="324" spans="3:4" ht="12.75" customHeight="1">
      <c r="C324" s="10"/>
      <c r="D324" s="10"/>
    </row>
    <row r="325" spans="3:4" ht="12.75" customHeight="1">
      <c r="C325" s="10"/>
      <c r="D325" s="10"/>
    </row>
    <row r="326" spans="3:4" ht="12.75" customHeight="1">
      <c r="C326" s="10"/>
      <c r="D326" s="10"/>
    </row>
    <row r="327" spans="3:4" ht="12.75" customHeight="1">
      <c r="C327" s="10"/>
      <c r="D327" s="10"/>
    </row>
    <row r="328" spans="3:4" ht="12.75" customHeight="1">
      <c r="C328" s="10"/>
      <c r="D328" s="10"/>
    </row>
    <row r="329" spans="3:4" ht="12.75" customHeight="1">
      <c r="C329" s="10"/>
      <c r="D329" s="10"/>
    </row>
    <row r="330" spans="3:4" ht="12.75" customHeight="1">
      <c r="C330" s="10"/>
      <c r="D330" s="10"/>
    </row>
  </sheetData>
  <sheetProtection password="DFB1" sheet="1" objects="1" scenarios="1"/>
  <phoneticPr fontId="0" type="noConversion"/>
  <pageMargins left="0.75" right="0.75" top="1" bottom="1" header="0.5" footer="0.5"/>
  <pageSetup paperSize="9" scale="50" orientation="landscape" r:id="rId1"/>
  <headerFooter alignWithMargins="0">
    <oddHeader>&amp;L&amp;"Arial,Vet"&amp;F&amp;R&amp;"Arial,Vet"&amp;A</oddHeader>
    <oddFooter>&amp;L&amp;"Arial,Vet"goedhart&amp;C&amp;"Arial,Vet"&amp;D&amp;R&amp;"Arial,Vet"pagina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3"/>
  <dimension ref="A1"/>
  <sheetViews>
    <sheetView workbookViewId="0"/>
  </sheetViews>
  <sheetFormatPr defaultRowHeight="12.7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5</vt:i4>
      </vt:variant>
    </vt:vector>
  </HeadingPairs>
  <TitlesOfParts>
    <vt:vector size="9" baseType="lpstr">
      <vt:lpstr>toelichting</vt:lpstr>
      <vt:lpstr>bekostiging materieel</vt:lpstr>
      <vt:lpstr>Blad1</vt:lpstr>
      <vt:lpstr>tab</vt:lpstr>
      <vt:lpstr>'bekostiging materieel'!Afdrukbereik</vt:lpstr>
      <vt:lpstr>tab!Afdrukbereik</vt:lpstr>
      <vt:lpstr>toelichting!Afdrukbereik</vt:lpstr>
      <vt:lpstr>groepenleerlingennu</vt:lpstr>
      <vt:lpstr>vloeroppervlaknu</vt:lpstr>
    </vt:vector>
  </TitlesOfParts>
  <Company>VOS/ABB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MJB BAS 2007</dc:title>
  <dc:creator>drs. R.M. Goedhart / Bé Keizer</dc:creator>
  <cp:lastModifiedBy>Eigenaar</cp:lastModifiedBy>
  <cp:lastPrinted>2011-05-24T13:21:03Z</cp:lastPrinted>
  <dcterms:created xsi:type="dcterms:W3CDTF">2002-03-02T17:48:17Z</dcterms:created>
  <dcterms:modified xsi:type="dcterms:W3CDTF">2011-10-01T12:11:37Z</dcterms:modified>
</cp:coreProperties>
</file>