
<file path=[Content_Types].xml><?xml version="1.0" encoding="utf-8"?>
<Types xmlns="http://schemas.openxmlformats.org/package/2006/content-types">
  <Override PartName="/xl/worksheets/sheet15.xml" ContentType="application/vnd.openxmlformats-officedocument.spreadsheetml.worksheet+xml"/>
  <Override PartName="/xl/charts/chart6.xml" ContentType="application/vnd.openxmlformats-officedocument.drawingml.chart+xml"/>
  <Override PartName="/xl/charts/chart20.xml" ContentType="application/vnd.openxmlformats-officedocument.drawingml.chart+xml"/>
  <Override PartName="/xl/worksheets/sheet9.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drawings/drawing6.xml" ContentType="application/vnd.openxmlformats-officedocument.drawing+xml"/>
  <Override PartName="/xl/drawings/drawing8.xml" ContentType="application/vnd.openxmlformats-officedocument.drawing+xml"/>
  <Override PartName="/xl/comments8.xml" ContentType="application/vnd.openxmlformats-officedocument.spreadsheetml.comments+xml"/>
  <Override PartName="/xl/charts/chart4.xml" ContentType="application/vnd.openxmlformats-officedocument.drawingml.chart+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drawings/drawing4.xml" ContentType="application/vnd.openxmlformats-officedocument.drawing+xml"/>
  <Override PartName="/xl/comments6.xml" ContentType="application/vnd.openxmlformats-officedocument.spreadsheetml.comments+xml"/>
  <Override PartName="/xl/charts/chart2.xml" ContentType="application/vnd.openxmlformats-officedocument.drawingml.chart+xml"/>
  <Override PartName="/xl/drawings/drawing17.xml" ContentType="application/vnd.openxmlformats-officedocument.drawing+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comments4.xml" ContentType="application/vnd.openxmlformats-officedocument.spreadsheetml.comments+xml"/>
  <Override PartName="/xl/drawings/drawing15.xml" ContentType="application/vnd.openxmlformats-officedocument.drawing+xml"/>
  <Override PartName="/xl/worksheets/sheet3.xml" ContentType="application/vnd.openxmlformats-officedocument.spreadsheetml.worksheet+xml"/>
  <Override PartName="/xl/comments2.xml" ContentType="application/vnd.openxmlformats-officedocument.spreadsheetml.comments+xml"/>
  <Override PartName="/xl/drawings/drawing13.xml" ContentType="application/vnd.openxmlformats-officedocument.drawing+xml"/>
  <Override PartName="/xl/charts/chart18.xml" ContentType="application/vnd.openxmlformats-officedocument.drawingml.chart+xml"/>
  <Override PartName="/xl/worksheets/sheet1.xml" ContentType="application/vnd.openxmlformats-officedocument.spreadsheetml.worksheet+xml"/>
  <Override PartName="/xl/externalLinks/externalLink1.xml" ContentType="application/vnd.openxmlformats-officedocument.spreadsheetml.externalLink+xml"/>
  <Override PartName="/xl/drawings/drawing11.xml" ContentType="application/vnd.openxmlformats-officedocument.drawing+xml"/>
  <Override PartName="/xl/charts/chart16.xml" ContentType="application/vnd.openxmlformats-officedocument.drawingml.chart+xml"/>
  <Override PartName="/xl/charts/chart25.xml" ContentType="application/vnd.openxmlformats-officedocument.drawingml.chart+xml"/>
  <Override PartName="/xl/comments14.xml" ContentType="application/vnd.openxmlformats-officedocument.spreadsheetml.comments+xml"/>
  <Override PartName="/xl/sharedStrings.xml" ContentType="application/vnd.openxmlformats-officedocument.spreadsheetml.sharedStrings+xml"/>
  <Override PartName="/xl/charts/chart14.xml" ContentType="application/vnd.openxmlformats-officedocument.drawingml.chart+xml"/>
  <Override PartName="/xl/charts/chart23.xml" ContentType="application/vnd.openxmlformats-officedocument.drawingml.chart+xml"/>
  <Override PartName="/xl/comments12.xml" ContentType="application/vnd.openxmlformats-officedocument.spreadsheetml.comments+xml"/>
  <Override PartName="/xl/worksheets/sheet18.xml" ContentType="application/vnd.openxmlformats-officedocument.spreadsheetml.worksheet+xml"/>
  <Override PartName="/xl/comments10.xml" ContentType="application/vnd.openxmlformats-officedocument.spreadsheetml.comments+xml"/>
  <Override PartName="/xl/charts/chart9.xml" ContentType="application/vnd.openxmlformats-officedocument.drawingml.chart+xml"/>
  <Override PartName="/xl/charts/chart12.xml" ContentType="application/vnd.openxmlformats-officedocument.drawingml.chart+xml"/>
  <Override PartName="/xl/charts/chart21.xml" ContentType="application/vnd.openxmlformats-officedocument.drawingml.chart+xml"/>
  <Override PartName="/xl/worksheets/sheet16.xml" ContentType="application/vnd.openxmlformats-officedocument.spreadsheetml.worksheet+xml"/>
  <Default Extension="bin" ContentType="application/vnd.openxmlformats-officedocument.spreadsheetml.printerSettings"/>
  <Default Extension="png" ContentType="image/png"/>
  <Override PartName="/xl/drawings/drawing9.xml" ContentType="application/vnd.openxmlformats-officedocument.drawing+xml"/>
  <Override PartName="/xl/charts/chart7.xml" ContentType="application/vnd.openxmlformats-officedocument.drawingml.chart+xml"/>
  <Override PartName="/xl/charts/chart10.xml" ContentType="application/vnd.openxmlformats-officedocument.drawingml.chart+xml"/>
  <Override PartName="/xl/worksheets/sheet14.xml" ContentType="application/vnd.openxmlformats-officedocument.spreadsheetml.worksheet+xml"/>
  <Override PartName="/xl/drawings/drawing7.xml" ContentType="application/vnd.openxmlformats-officedocument.drawing+xml"/>
  <Override PartName="/xl/comments9.xml" ContentType="application/vnd.openxmlformats-officedocument.spreadsheetml.comments+xml"/>
  <Override PartName="/xl/charts/chart5.xml" ContentType="application/vnd.openxmlformats-officedocument.drawingml.char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Default Extension="jpeg" ContentType="image/jpeg"/>
  <Override PartName="/xl/drawings/drawing5.xml" ContentType="application/vnd.openxmlformats-officedocument.drawing+xml"/>
  <Override PartName="/xl/comments7.xml" ContentType="application/vnd.openxmlformats-officedocument.spreadsheetml.comments+xml"/>
  <Override PartName="/xl/charts/chart3.xml" ContentType="application/vnd.openxmlformats-officedocument.drawingml.chart+xml"/>
  <Override PartName="/xl/drawings/drawing18.xml" ContentType="application/vnd.openxmlformats-officedocument.drawing+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xl/comments5.xml" ContentType="application/vnd.openxmlformats-officedocument.spreadsheetml.comments+xml"/>
  <Override PartName="/xl/drawings/drawing16.xml" ContentType="application/vnd.openxmlformats-officedocument.drawing+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comments3.xml" ContentType="application/vnd.openxmlformats-officedocument.spreadsheetml.comments+xml"/>
  <Override PartName="/xl/drawings/drawing14.xml" ContentType="application/vnd.openxmlformats-officedocument.drawing+xml"/>
  <Override PartName="/xl/charts/chart19.xml" ContentType="application/vnd.openxmlformats-officedocument.drawingml.chart+xml"/>
  <Default Extension="vml" ContentType="application/vnd.openxmlformats-officedocument.vmlDrawing"/>
  <Override PartName="/xl/comments1.xml" ContentType="application/vnd.openxmlformats-officedocument.spreadsheetml.comments+xml"/>
  <Override PartName="/xl/drawings/drawing12.xml" ContentType="application/vnd.openxmlformats-officedocument.drawing+xml"/>
  <Override PartName="/xl/charts/chart17.xml" ContentType="application/vnd.openxmlformats-officedocument.drawingml.chart+xml"/>
  <Override PartName="/xl/charts/chart26.xml" ContentType="application/vnd.openxmlformats-officedocument.drawingml.chart+xml"/>
  <Override PartName="/xl/comments15.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drawings/drawing10.xml" ContentType="application/vnd.openxmlformats-officedocument.drawing+xml"/>
  <Override PartName="/xl/charts/chart13.xml" ContentType="application/vnd.openxmlformats-officedocument.drawingml.chart+xml"/>
  <Override PartName="/xl/charts/chart15.xml" ContentType="application/vnd.openxmlformats-officedocument.drawingml.chart+xml"/>
  <Override PartName="/xl/charts/chart24.xml" ContentType="application/vnd.openxmlformats-officedocument.drawingml.chart+xml"/>
  <Override PartName="/xl/comments13.xml" ContentType="application/vnd.openxmlformats-officedocument.spreadsheetml.comments+xml"/>
  <Override PartName="/xl/worksheets/sheet17.xml" ContentType="application/vnd.openxmlformats-officedocument.spreadsheetml.worksheet+xml"/>
  <Override PartName="/xl/comments11.xml" ContentType="application/vnd.openxmlformats-officedocument.spreadsheetml.comments+xml"/>
  <Override PartName="/xl/charts/chart8.xml" ContentType="application/vnd.openxmlformats-officedocument.drawingml.chart+xml"/>
  <Override PartName="/xl/charts/chart11.xml" ContentType="application/vnd.openxmlformats-officedocument.drawingml.chart+xml"/>
  <Override PartName="/xl/charts/chart22.xml" ContentType="application/vnd.openxmlformats-officedocument.drawingml.char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hidePivotFieldList="1"/>
  <bookViews>
    <workbookView xWindow="8115" yWindow="75" windowWidth="6870" windowHeight="5670" tabRatio="905" activeTab="1"/>
  </bookViews>
  <sheets>
    <sheet name="toel" sheetId="1" r:id="rId1"/>
    <sheet name="geg" sheetId="2" r:id="rId2"/>
    <sheet name="rugzak" sheetId="3" r:id="rId3"/>
    <sheet name="pers" sheetId="4" r:id="rId4"/>
    <sheet name="dir" sheetId="5" r:id="rId5"/>
    <sheet name="op" sheetId="6" r:id="rId6"/>
    <sheet name="oop" sheetId="7" r:id="rId7"/>
    <sheet name="mat" sheetId="8" r:id="rId8"/>
    <sheet name="mop" sheetId="9" r:id="rId9"/>
    <sheet name="mip" sheetId="10" r:id="rId10"/>
    <sheet name="act" sheetId="11" r:id="rId11"/>
    <sheet name="beleid" sheetId="27" r:id="rId12"/>
    <sheet name="begr" sheetId="12" r:id="rId13"/>
    <sheet name="bal" sheetId="13" r:id="rId14"/>
    <sheet name="liq" sheetId="14" r:id="rId15"/>
    <sheet name="ken" sheetId="15" r:id="rId16"/>
    <sheet name="graf" sheetId="16" r:id="rId17"/>
    <sheet name="som" sheetId="17" r:id="rId18"/>
    <sheet name="tab" sheetId="20" r:id="rId19"/>
    <sheet name="nieuwe bekostiging" sheetId="26" state="hidden" r:id="rId20"/>
    <sheet name="tab nieuw" sheetId="25" state="hidden" r:id="rId21"/>
  </sheets>
  <externalReferences>
    <externalReference r:id="rId22"/>
  </externalReferences>
  <definedNames>
    <definedName name="_xlnm.Print_Area" localSheetId="10">act!$B$2:$L$64</definedName>
    <definedName name="_xlnm.Print_Area" localSheetId="13">bal!$B$2:$L$59</definedName>
    <definedName name="_xlnm.Print_Area" localSheetId="12">begr!$B$2:$K$54</definedName>
    <definedName name="_xlnm.Print_Area" localSheetId="11">beleid!$B$2:$X$72</definedName>
    <definedName name="_xlnm.Print_Area" localSheetId="4">dir!$B$2:$X$60</definedName>
    <definedName name="_xlnm.Print_Area" localSheetId="1">geg!$B$2:$X$164</definedName>
    <definedName name="_xlnm.Print_Area" localSheetId="16">graf!$B$2:$R$185</definedName>
    <definedName name="_xlnm.Print_Area" localSheetId="15">ken!$B$2:$K$202</definedName>
    <definedName name="_xlnm.Print_Area" localSheetId="14">liq!$B$2:$K$55</definedName>
    <definedName name="_xlnm.Print_Area" localSheetId="7">mat!$B$2:$P$261</definedName>
    <definedName name="_xlnm.Print_Area" localSheetId="9">mip!$B$2:$AD$145</definedName>
    <definedName name="_xlnm.Print_Area" localSheetId="8">mop!$B$2:$Q$32</definedName>
    <definedName name="_xlnm.Print_Area" localSheetId="19">'nieuwe bekostiging'!$B$2:$K$102</definedName>
    <definedName name="_xlnm.Print_Area" localSheetId="6">oop!$B$2:$X$130</definedName>
    <definedName name="_xlnm.Print_Area" localSheetId="5">op!$B$2:$X$230</definedName>
    <definedName name="_xlnm.Print_Area" localSheetId="3">pers!$B$2:$O$235</definedName>
    <definedName name="_xlnm.Print_Area" localSheetId="2">rugzak!$B$2:$V$112</definedName>
    <definedName name="_xlnm.Print_Area" localSheetId="17">som!$B$2:$K$93</definedName>
    <definedName name="_xlnm.Print_Area" localSheetId="18">tab!$A$1:$X$339</definedName>
    <definedName name="_xlnm.Print_Area" localSheetId="0">toel!$B$2:$D$133</definedName>
    <definedName name="baden">tab!$D$279:$E$291</definedName>
    <definedName name="bedragll">tab!$K$12:$Q$24</definedName>
    <definedName name="BudgetPB">tab!$D$220:$H$232</definedName>
    <definedName name="categoriePers">[1]tab!$A$89:$D$91</definedName>
    <definedName name="categoriePers8jreo">[1]tab!$A$93:$D$95</definedName>
    <definedName name="ftenorm">tab!$A$12:$I$24</definedName>
    <definedName name="grgr">tab!$L$242:$N$254</definedName>
    <definedName name="LGFMBO">tab!$D$183:$H$195</definedName>
    <definedName name="LGFPOVO">tab!$D$201:$H$213</definedName>
    <definedName name="MIgroep">tab!$E$242:$J$254</definedName>
    <definedName name="MIleerling">tab!$E$261:$J$273</definedName>
    <definedName name="PAB">tab!$K$29:$O$41</definedName>
    <definedName name="regels" localSheetId="11">tab!#REF!</definedName>
    <definedName name="regels">tab!#REF!</definedName>
    <definedName name="regels2011">tab!$X$119:$X$159</definedName>
    <definedName name="schaal" localSheetId="11">tab!#REF!</definedName>
    <definedName name="schaal">tab!#REF!</definedName>
    <definedName name="schaal2011">tab!$A$119:$A$159</definedName>
    <definedName name="TAB">tab!$K$62:$Q$74</definedName>
    <definedName name="toeslag">tab!$K$87:$O$89</definedName>
    <definedName name="toeslag_geb_ond">tab!$L$261:$M$273</definedName>
  </definedNames>
  <calcPr calcId="124519"/>
</workbook>
</file>

<file path=xl/calcChain.xml><?xml version="1.0" encoding="utf-8"?>
<calcChain xmlns="http://schemas.openxmlformats.org/spreadsheetml/2006/main">
  <c r="H288" i="20"/>
  <c r="F271"/>
  <c r="F273"/>
  <c r="F272"/>
  <c r="F270"/>
  <c r="F269"/>
  <c r="F268"/>
  <c r="F267"/>
  <c r="F266"/>
  <c r="F265"/>
  <c r="F264"/>
  <c r="F263"/>
  <c r="F262"/>
  <c r="N54" i="27"/>
  <c r="N53"/>
  <c r="N52"/>
  <c r="N51"/>
  <c r="N50"/>
  <c r="N49"/>
  <c r="N42"/>
  <c r="N41"/>
  <c r="N40"/>
  <c r="N39"/>
  <c r="N38"/>
  <c r="N37"/>
  <c r="V37" s="1"/>
  <c r="N30"/>
  <c r="N29"/>
  <c r="N28"/>
  <c r="N27"/>
  <c r="V27" s="1"/>
  <c r="N26"/>
  <c r="N25"/>
  <c r="V25" s="1"/>
  <c r="N18"/>
  <c r="N17"/>
  <c r="N16"/>
  <c r="N15"/>
  <c r="N14"/>
  <c r="V14" s="1"/>
  <c r="C5"/>
  <c r="N13"/>
  <c r="O115" i="6"/>
  <c r="O114"/>
  <c r="O113"/>
  <c r="O112"/>
  <c r="O111"/>
  <c r="O110"/>
  <c r="O109"/>
  <c r="O108"/>
  <c r="O107"/>
  <c r="O106"/>
  <c r="O105"/>
  <c r="O104"/>
  <c r="O103"/>
  <c r="O102"/>
  <c r="O101"/>
  <c r="O100"/>
  <c r="O99"/>
  <c r="O98"/>
  <c r="O97"/>
  <c r="O96"/>
  <c r="O95"/>
  <c r="O94"/>
  <c r="O93"/>
  <c r="O92"/>
  <c r="O91"/>
  <c r="O90"/>
  <c r="O89"/>
  <c r="O88"/>
  <c r="O87"/>
  <c r="O86"/>
  <c r="O85"/>
  <c r="O84"/>
  <c r="O83"/>
  <c r="O82"/>
  <c r="O81"/>
  <c r="O80"/>
  <c r="O79"/>
  <c r="O78"/>
  <c r="O77"/>
  <c r="O76"/>
  <c r="O75"/>
  <c r="O74"/>
  <c r="O73"/>
  <c r="O72"/>
  <c r="O71"/>
  <c r="O70"/>
  <c r="O69"/>
  <c r="O68"/>
  <c r="O67"/>
  <c r="O66"/>
  <c r="O65"/>
  <c r="O64"/>
  <c r="O63"/>
  <c r="O62"/>
  <c r="O61"/>
  <c r="O60"/>
  <c r="O59"/>
  <c r="O58"/>
  <c r="O57"/>
  <c r="O56"/>
  <c r="O55"/>
  <c r="O54"/>
  <c r="O53"/>
  <c r="O52"/>
  <c r="O51"/>
  <c r="O50"/>
  <c r="O49"/>
  <c r="O48"/>
  <c r="O47"/>
  <c r="O46"/>
  <c r="O45"/>
  <c r="O44"/>
  <c r="O43"/>
  <c r="O42"/>
  <c r="O41"/>
  <c r="O40"/>
  <c r="O39"/>
  <c r="O38"/>
  <c r="O37"/>
  <c r="O36"/>
  <c r="O35"/>
  <c r="O34"/>
  <c r="O33"/>
  <c r="O32"/>
  <c r="O31"/>
  <c r="O30"/>
  <c r="O29"/>
  <c r="O28"/>
  <c r="O27"/>
  <c r="O26"/>
  <c r="O25"/>
  <c r="O24"/>
  <c r="O23"/>
  <c r="O22"/>
  <c r="O21"/>
  <c r="O20"/>
  <c r="O19"/>
  <c r="O18"/>
  <c r="O17"/>
  <c r="O16"/>
  <c r="T55" i="27"/>
  <c r="Q55"/>
  <c r="V54"/>
  <c r="V53"/>
  <c r="V52"/>
  <c r="V51"/>
  <c r="V50"/>
  <c r="N55"/>
  <c r="T43"/>
  <c r="Q43"/>
  <c r="V42"/>
  <c r="V41"/>
  <c r="V40"/>
  <c r="V39"/>
  <c r="V38"/>
  <c r="T31"/>
  <c r="Q31"/>
  <c r="V30"/>
  <c r="V29"/>
  <c r="V28"/>
  <c r="V26"/>
  <c r="T19"/>
  <c r="Q19"/>
  <c r="V18"/>
  <c r="V17"/>
  <c r="V16"/>
  <c r="V15"/>
  <c r="I134" i="25"/>
  <c r="I133"/>
  <c r="I132"/>
  <c r="I127"/>
  <c r="I126"/>
  <c r="L290" i="20"/>
  <c r="L289"/>
  <c r="L288"/>
  <c r="L283"/>
  <c r="L282"/>
  <c r="K282"/>
  <c r="B135" i="25"/>
  <c r="G134"/>
  <c r="F134"/>
  <c r="E134"/>
  <c r="H134" s="1"/>
  <c r="G133"/>
  <c r="F133"/>
  <c r="E133"/>
  <c r="H133" s="1"/>
  <c r="B133" s="1"/>
  <c r="G132"/>
  <c r="F132"/>
  <c r="E132"/>
  <c r="H132" s="1"/>
  <c r="B131"/>
  <c r="B130"/>
  <c r="B129"/>
  <c r="B128"/>
  <c r="H127"/>
  <c r="H126"/>
  <c r="E282" i="20" l="1"/>
  <c r="V55" i="27"/>
  <c r="N19"/>
  <c r="V19" s="1"/>
  <c r="N31"/>
  <c r="V31" s="1"/>
  <c r="N43"/>
  <c r="V43" s="1"/>
  <c r="V13"/>
  <c r="V49"/>
  <c r="B127" i="25"/>
  <c r="B126"/>
  <c r="B132"/>
  <c r="B134"/>
  <c r="F71" i="8" l="1"/>
  <c r="N159" i="20" l="1"/>
  <c r="M159"/>
  <c r="L159"/>
  <c r="K159"/>
  <c r="J159"/>
  <c r="I159"/>
  <c r="H159"/>
  <c r="G159"/>
  <c r="F159"/>
  <c r="E159"/>
  <c r="D159"/>
  <c r="P158"/>
  <c r="O158"/>
  <c r="N158"/>
  <c r="M158"/>
  <c r="L158"/>
  <c r="K158"/>
  <c r="J158"/>
  <c r="I158"/>
  <c r="H158"/>
  <c r="G158"/>
  <c r="F158"/>
  <c r="E158"/>
  <c r="D158"/>
  <c r="S157"/>
  <c r="R157"/>
  <c r="Q157"/>
  <c r="P157"/>
  <c r="O157"/>
  <c r="N157"/>
  <c r="M157"/>
  <c r="L157"/>
  <c r="K157"/>
  <c r="J157"/>
  <c r="I157"/>
  <c r="H157"/>
  <c r="G157"/>
  <c r="F157"/>
  <c r="E157"/>
  <c r="D157"/>
  <c r="U156"/>
  <c r="T156"/>
  <c r="S156"/>
  <c r="R156"/>
  <c r="Q156"/>
  <c r="P156"/>
  <c r="O156"/>
  <c r="N156"/>
  <c r="M156"/>
  <c r="L156"/>
  <c r="K156"/>
  <c r="J156"/>
  <c r="I156"/>
  <c r="H156"/>
  <c r="G156"/>
  <c r="F156"/>
  <c r="E156"/>
  <c r="D156"/>
  <c r="P155"/>
  <c r="O155"/>
  <c r="N155"/>
  <c r="M155"/>
  <c r="L155"/>
  <c r="K155"/>
  <c r="J155"/>
  <c r="I155"/>
  <c r="H155"/>
  <c r="G155"/>
  <c r="F155"/>
  <c r="E155"/>
  <c r="D155"/>
  <c r="M154"/>
  <c r="L154"/>
  <c r="K154"/>
  <c r="J154"/>
  <c r="I154"/>
  <c r="H154"/>
  <c r="G154"/>
  <c r="F154"/>
  <c r="E154"/>
  <c r="D154"/>
  <c r="D140"/>
  <c r="D139"/>
  <c r="J133"/>
  <c r="I133"/>
  <c r="H133"/>
  <c r="G133"/>
  <c r="F133"/>
  <c r="E133"/>
  <c r="D133"/>
  <c r="K132"/>
  <c r="J132"/>
  <c r="I132"/>
  <c r="H132"/>
  <c r="G132"/>
  <c r="F132"/>
  <c r="E132"/>
  <c r="D132"/>
  <c r="J131"/>
  <c r="I131"/>
  <c r="H131"/>
  <c r="G131"/>
  <c r="F131"/>
  <c r="E131"/>
  <c r="D131"/>
  <c r="I84" i="26" l="1"/>
  <c r="I83"/>
  <c r="I82"/>
  <c r="H84"/>
  <c r="H83"/>
  <c r="H82"/>
  <c r="G84"/>
  <c r="G83"/>
  <c r="G82"/>
  <c r="G73"/>
  <c r="I73"/>
  <c r="H73"/>
  <c r="I58"/>
  <c r="H58"/>
  <c r="G58"/>
  <c r="I57"/>
  <c r="H57"/>
  <c r="G57"/>
  <c r="I56"/>
  <c r="H56"/>
  <c r="G56"/>
  <c r="I48"/>
  <c r="H48"/>
  <c r="G48"/>
  <c r="I47"/>
  <c r="H47"/>
  <c r="G47"/>
  <c r="I46"/>
  <c r="H46"/>
  <c r="G46"/>
  <c r="I45"/>
  <c r="H45"/>
  <c r="G45"/>
  <c r="I41"/>
  <c r="H41"/>
  <c r="G41"/>
  <c r="I19"/>
  <c r="H19"/>
  <c r="I68"/>
  <c r="H68"/>
  <c r="G68"/>
  <c r="H33" l="1"/>
  <c r="I33" s="1"/>
  <c r="I32"/>
  <c r="H32"/>
  <c r="H31"/>
  <c r="H85" s="1"/>
  <c r="H28"/>
  <c r="I28" s="1"/>
  <c r="H27"/>
  <c r="I27" s="1"/>
  <c r="H26"/>
  <c r="I26" s="1"/>
  <c r="I29" s="1"/>
  <c r="I23"/>
  <c r="I22"/>
  <c r="I21"/>
  <c r="I24" s="1"/>
  <c r="H23"/>
  <c r="H22"/>
  <c r="H21"/>
  <c r="H24" s="1"/>
  <c r="H34"/>
  <c r="H29"/>
  <c r="G24"/>
  <c r="I10"/>
  <c r="H10"/>
  <c r="G10"/>
  <c r="J132" i="8"/>
  <c r="J138"/>
  <c r="I95" i="26"/>
  <c r="H95"/>
  <c r="G95"/>
  <c r="I85"/>
  <c r="G85"/>
  <c r="K132" i="8"/>
  <c r="K140" s="1"/>
  <c r="K138"/>
  <c r="M138"/>
  <c r="M132"/>
  <c r="G14" i="26"/>
  <c r="G74" s="1"/>
  <c r="H74" s="1"/>
  <c r="I74" s="1"/>
  <c r="G13"/>
  <c r="G75" s="1"/>
  <c r="H75" s="1"/>
  <c r="I75" s="1"/>
  <c r="I131" i="2"/>
  <c r="I59" i="26"/>
  <c r="H59"/>
  <c r="C98" i="25"/>
  <c r="D98" s="1"/>
  <c r="C97"/>
  <c r="D97" s="1"/>
  <c r="C96"/>
  <c r="D96" s="1"/>
  <c r="C95"/>
  <c r="D95" s="1"/>
  <c r="C94"/>
  <c r="D94" s="1"/>
  <c r="C93"/>
  <c r="D93" s="1"/>
  <c r="C92"/>
  <c r="D92" s="1"/>
  <c r="C91"/>
  <c r="D91" s="1"/>
  <c r="C90"/>
  <c r="D90" s="1"/>
  <c r="D87"/>
  <c r="D86"/>
  <c r="D85"/>
  <c r="D84"/>
  <c r="D83"/>
  <c r="D82"/>
  <c r="D81"/>
  <c r="D80"/>
  <c r="D79"/>
  <c r="G34" i="26"/>
  <c r="G29"/>
  <c r="J140" i="8" l="1"/>
  <c r="I31" i="26"/>
  <c r="I34" s="1"/>
  <c r="G76"/>
  <c r="G59"/>
  <c r="G77" l="1"/>
  <c r="G99" s="1"/>
  <c r="H76"/>
  <c r="I49"/>
  <c r="H49"/>
  <c r="I76" l="1"/>
  <c r="I77" s="1"/>
  <c r="I99" s="1"/>
  <c r="H77"/>
  <c r="H99" s="1"/>
  <c r="C37" i="25"/>
  <c r="C36"/>
  <c r="C17"/>
  <c r="C27"/>
  <c r="C5" i="26" l="1"/>
  <c r="I9"/>
  <c r="H9"/>
  <c r="G9"/>
  <c r="C33" i="25"/>
  <c r="C30"/>
  <c r="C34"/>
  <c r="C31"/>
  <c r="C28"/>
  <c r="C20"/>
  <c r="C19"/>
  <c r="C18"/>
  <c r="G49" i="26" l="1"/>
  <c r="H221" i="20" l="1"/>
  <c r="H222" s="1"/>
  <c r="H223" s="1"/>
  <c r="H224" s="1"/>
  <c r="H225" s="1"/>
  <c r="H226" s="1"/>
  <c r="H227" s="1"/>
  <c r="H228" s="1"/>
  <c r="H229" s="1"/>
  <c r="H230" s="1"/>
  <c r="H231" s="1"/>
  <c r="H232" s="1"/>
  <c r="G221"/>
  <c r="G222" s="1"/>
  <c r="G223" s="1"/>
  <c r="G224" s="1"/>
  <c r="G225" s="1"/>
  <c r="G226" s="1"/>
  <c r="G227" s="1"/>
  <c r="G228" s="1"/>
  <c r="G229" s="1"/>
  <c r="G230" s="1"/>
  <c r="G231" s="1"/>
  <c r="G232" s="1"/>
  <c r="F201"/>
  <c r="M322"/>
  <c r="J337" s="1"/>
  <c r="F303"/>
  <c r="N302"/>
  <c r="O302" s="1"/>
  <c r="P302" s="1"/>
  <c r="M302"/>
  <c r="L302" s="1"/>
  <c r="K302" s="1"/>
  <c r="J302" s="1"/>
  <c r="I302" s="1"/>
  <c r="H302" s="1"/>
  <c r="G302"/>
  <c r="F302"/>
  <c r="E291"/>
  <c r="J290"/>
  <c r="I290"/>
  <c r="H290"/>
  <c r="J289"/>
  <c r="I289"/>
  <c r="H289"/>
  <c r="J288"/>
  <c r="I288"/>
  <c r="K288" s="1"/>
  <c r="E288" s="1"/>
  <c r="E287"/>
  <c r="E286"/>
  <c r="E285"/>
  <c r="E284"/>
  <c r="K283"/>
  <c r="E283" s="1"/>
  <c r="A242"/>
  <c r="F213"/>
  <c r="E213"/>
  <c r="F212"/>
  <c r="E212"/>
  <c r="F211"/>
  <c r="E211"/>
  <c r="F210"/>
  <c r="E210"/>
  <c r="F209"/>
  <c r="E209"/>
  <c r="F208"/>
  <c r="E208"/>
  <c r="F207"/>
  <c r="E207"/>
  <c r="F206"/>
  <c r="E206"/>
  <c r="F205"/>
  <c r="E205"/>
  <c r="F204"/>
  <c r="E204"/>
  <c r="F203"/>
  <c r="E203"/>
  <c r="F202"/>
  <c r="E202"/>
  <c r="E201"/>
  <c r="F198"/>
  <c r="D175"/>
  <c r="X159"/>
  <c r="X158"/>
  <c r="X157"/>
  <c r="X156"/>
  <c r="X155"/>
  <c r="X154"/>
  <c r="X153"/>
  <c r="X152"/>
  <c r="X151"/>
  <c r="X150"/>
  <c r="X149"/>
  <c r="X148"/>
  <c r="X147"/>
  <c r="X146"/>
  <c r="X145"/>
  <c r="X144"/>
  <c r="X143"/>
  <c r="X142"/>
  <c r="X141"/>
  <c r="X140" s="1"/>
  <c r="X139"/>
  <c r="X138"/>
  <c r="X137"/>
  <c r="X136"/>
  <c r="X135"/>
  <c r="X134"/>
  <c r="X133" s="1"/>
  <c r="X132"/>
  <c r="X131"/>
  <c r="X130"/>
  <c r="X129"/>
  <c r="X128"/>
  <c r="X127"/>
  <c r="X126"/>
  <c r="X125"/>
  <c r="X124"/>
  <c r="X123"/>
  <c r="X122"/>
  <c r="X121"/>
  <c r="X120"/>
  <c r="X119"/>
  <c r="E112"/>
  <c r="D111"/>
  <c r="E110"/>
  <c r="D110"/>
  <c r="D95"/>
  <c r="M89" s="1"/>
  <c r="D80"/>
  <c r="D79"/>
  <c r="D78"/>
  <c r="D77"/>
  <c r="Q74"/>
  <c r="P74"/>
  <c r="O74"/>
  <c r="N74"/>
  <c r="M74"/>
  <c r="L74"/>
  <c r="Q73"/>
  <c r="P73"/>
  <c r="O73"/>
  <c r="N73"/>
  <c r="M73"/>
  <c r="L73"/>
  <c r="Q72"/>
  <c r="P72"/>
  <c r="O72"/>
  <c r="N72"/>
  <c r="M72"/>
  <c r="L72"/>
  <c r="Q71"/>
  <c r="P71"/>
  <c r="O71"/>
  <c r="N71"/>
  <c r="M71"/>
  <c r="L71"/>
  <c r="Q70"/>
  <c r="P70"/>
  <c r="O70"/>
  <c r="N70"/>
  <c r="M70"/>
  <c r="L70"/>
  <c r="Q69"/>
  <c r="P69"/>
  <c r="O69"/>
  <c r="N69"/>
  <c r="M69"/>
  <c r="L69"/>
  <c r="Q68"/>
  <c r="P68"/>
  <c r="O68"/>
  <c r="N68"/>
  <c r="M68"/>
  <c r="L68"/>
  <c r="Q67"/>
  <c r="P67"/>
  <c r="O67"/>
  <c r="N67"/>
  <c r="M67"/>
  <c r="L67"/>
  <c r="Q66"/>
  <c r="P66"/>
  <c r="O66"/>
  <c r="N66"/>
  <c r="M66"/>
  <c r="L66"/>
  <c r="Q65"/>
  <c r="P65"/>
  <c r="O65"/>
  <c r="N65"/>
  <c r="M65"/>
  <c r="L65"/>
  <c r="Q64"/>
  <c r="P64"/>
  <c r="O64"/>
  <c r="N64"/>
  <c r="M64"/>
  <c r="L64"/>
  <c r="Q63"/>
  <c r="P63"/>
  <c r="O63"/>
  <c r="N63"/>
  <c r="M63"/>
  <c r="L63"/>
  <c r="Q62"/>
  <c r="P62"/>
  <c r="O62"/>
  <c r="N62"/>
  <c r="M62"/>
  <c r="L62"/>
  <c r="O41"/>
  <c r="N41"/>
  <c r="M41"/>
  <c r="L41"/>
  <c r="O40"/>
  <c r="N40"/>
  <c r="M40"/>
  <c r="L40"/>
  <c r="J326" l="1"/>
  <c r="J328"/>
  <c r="J330"/>
  <c r="I333"/>
  <c r="I335"/>
  <c r="I337"/>
  <c r="I326"/>
  <c r="I328"/>
  <c r="I330"/>
  <c r="J332"/>
  <c r="I332" s="1"/>
  <c r="J334"/>
  <c r="J336"/>
  <c r="J325"/>
  <c r="J327"/>
  <c r="J329"/>
  <c r="J331"/>
  <c r="I334"/>
  <c r="I336"/>
  <c r="I325"/>
  <c r="I327"/>
  <c r="I329"/>
  <c r="I331"/>
  <c r="J333"/>
  <c r="J335"/>
  <c r="K290"/>
  <c r="E290" s="1"/>
  <c r="K289"/>
  <c r="E289" s="1"/>
  <c r="L89"/>
  <c r="O88"/>
  <c r="O89"/>
  <c r="M88"/>
  <c r="N89"/>
  <c r="L88"/>
  <c r="N88"/>
  <c r="H42" i="26"/>
  <c r="H43" s="1"/>
  <c r="H51" s="1"/>
  <c r="H62" s="1"/>
  <c r="I42"/>
  <c r="I43" s="1"/>
  <c r="I51" s="1"/>
  <c r="I62" s="1"/>
  <c r="G42"/>
  <c r="G43" s="1"/>
  <c r="G51" s="1"/>
  <c r="G62" s="1"/>
  <c r="D176" i="20"/>
  <c r="D113"/>
  <c r="O39"/>
  <c r="N39"/>
  <c r="M39"/>
  <c r="L39"/>
  <c r="O38"/>
  <c r="N38"/>
  <c r="M38"/>
  <c r="L38"/>
  <c r="O37"/>
  <c r="N37"/>
  <c r="M37"/>
  <c r="L37"/>
  <c r="O36"/>
  <c r="N36"/>
  <c r="M36"/>
  <c r="L36"/>
  <c r="O35"/>
  <c r="N35"/>
  <c r="M35"/>
  <c r="L35"/>
  <c r="O34"/>
  <c r="N34"/>
  <c r="M34"/>
  <c r="L34"/>
  <c r="O33"/>
  <c r="N33"/>
  <c r="M33"/>
  <c r="L33"/>
  <c r="O32"/>
  <c r="N32"/>
  <c r="M32"/>
  <c r="L32"/>
  <c r="O31"/>
  <c r="N31"/>
  <c r="M31"/>
  <c r="L31"/>
  <c r="O30"/>
  <c r="N30"/>
  <c r="M30"/>
  <c r="L30"/>
  <c r="O29"/>
  <c r="N29"/>
  <c r="M29"/>
  <c r="L29"/>
  <c r="R25"/>
  <c r="T71" s="1"/>
  <c r="Q24"/>
  <c r="P24"/>
  <c r="O24"/>
  <c r="N24"/>
  <c r="M24"/>
  <c r="L24"/>
  <c r="Q23"/>
  <c r="P23"/>
  <c r="O23"/>
  <c r="N23"/>
  <c r="M23"/>
  <c r="L23"/>
  <c r="Q22"/>
  <c r="P22"/>
  <c r="O22"/>
  <c r="N22"/>
  <c r="M22"/>
  <c r="L22"/>
  <c r="Q21"/>
  <c r="P21"/>
  <c r="O21"/>
  <c r="N21"/>
  <c r="M21"/>
  <c r="L21"/>
  <c r="Q20"/>
  <c r="P20"/>
  <c r="O20"/>
  <c r="N20"/>
  <c r="M20"/>
  <c r="L20"/>
  <c r="Q19"/>
  <c r="P19"/>
  <c r="O19"/>
  <c r="N19"/>
  <c r="M19"/>
  <c r="L19"/>
  <c r="Q18"/>
  <c r="P18"/>
  <c r="O18"/>
  <c r="N18"/>
  <c r="M18"/>
  <c r="L18"/>
  <c r="Q17"/>
  <c r="P17"/>
  <c r="O17"/>
  <c r="N17"/>
  <c r="M17"/>
  <c r="L17"/>
  <c r="Q16"/>
  <c r="P16"/>
  <c r="O16"/>
  <c r="N16"/>
  <c r="M16"/>
  <c r="L16"/>
  <c r="Q15"/>
  <c r="P15"/>
  <c r="O15"/>
  <c r="N15"/>
  <c r="M15"/>
  <c r="L15"/>
  <c r="Q14"/>
  <c r="P14"/>
  <c r="O14"/>
  <c r="M14"/>
  <c r="L14"/>
  <c r="Q13"/>
  <c r="P13"/>
  <c r="O13"/>
  <c r="N13"/>
  <c r="M13"/>
  <c r="L13"/>
  <c r="Q12"/>
  <c r="P12"/>
  <c r="O12"/>
  <c r="N12"/>
  <c r="M12"/>
  <c r="L12"/>
  <c r="F89" i="17"/>
  <c r="F86"/>
  <c r="I74"/>
  <c r="H74"/>
  <c r="G74"/>
  <c r="F74"/>
  <c r="I42"/>
  <c r="H42"/>
  <c r="G42"/>
  <c r="F42"/>
  <c r="I41"/>
  <c r="H41"/>
  <c r="G41"/>
  <c r="F41"/>
  <c r="I34"/>
  <c r="H34"/>
  <c r="G34"/>
  <c r="F34"/>
  <c r="I33"/>
  <c r="H33"/>
  <c r="G33"/>
  <c r="F33"/>
  <c r="I25"/>
  <c r="H25"/>
  <c r="G25"/>
  <c r="F25"/>
  <c r="R29" i="20" l="1"/>
  <c r="R30"/>
  <c r="R31"/>
  <c r="R32"/>
  <c r="R33"/>
  <c r="R34"/>
  <c r="R35"/>
  <c r="R36"/>
  <c r="R37"/>
  <c r="R38"/>
  <c r="R39"/>
  <c r="S29"/>
  <c r="S30"/>
  <c r="S31"/>
  <c r="S32"/>
  <c r="S33"/>
  <c r="S34"/>
  <c r="S35"/>
  <c r="S36"/>
  <c r="S37"/>
  <c r="S38"/>
  <c r="S39"/>
  <c r="T67"/>
  <c r="U67"/>
  <c r="T68"/>
  <c r="R41"/>
  <c r="U74"/>
  <c r="U66"/>
  <c r="S40"/>
  <c r="U73"/>
  <c r="T73"/>
  <c r="U63"/>
  <c r="T70"/>
  <c r="T62"/>
  <c r="U65"/>
  <c r="U68"/>
  <c r="S41"/>
  <c r="T65"/>
  <c r="U71"/>
  <c r="T72"/>
  <c r="T64"/>
  <c r="U69"/>
  <c r="U70"/>
  <c r="U62"/>
  <c r="T69"/>
  <c r="T63"/>
  <c r="T74"/>
  <c r="T66"/>
  <c r="R40"/>
  <c r="U72"/>
  <c r="U64"/>
  <c r="F21" i="17" l="1"/>
  <c r="F20"/>
  <c r="F19"/>
  <c r="I16"/>
  <c r="H16"/>
  <c r="G16"/>
  <c r="F16"/>
  <c r="C5"/>
  <c r="C5" i="16"/>
  <c r="F198" i="15"/>
  <c r="F196"/>
  <c r="I194"/>
  <c r="H194"/>
  <c r="G194"/>
  <c r="F194"/>
  <c r="I161"/>
  <c r="I146"/>
  <c r="I121"/>
  <c r="H121"/>
  <c r="G121"/>
  <c r="F121"/>
  <c r="G94" l="1"/>
  <c r="G89" i="17" s="1"/>
  <c r="F81" i="15"/>
  <c r="G80"/>
  <c r="G79"/>
  <c r="G78"/>
  <c r="I77" s="1"/>
  <c r="H77"/>
  <c r="G77"/>
  <c r="G81" s="1"/>
  <c r="G73"/>
  <c r="G86" i="17" s="1"/>
  <c r="G69" i="15"/>
  <c r="G68"/>
  <c r="G65"/>
  <c r="G64"/>
  <c r="G59"/>
  <c r="G53"/>
  <c r="F48"/>
  <c r="G47"/>
  <c r="G46"/>
  <c r="G45"/>
  <c r="F41"/>
  <c r="G40"/>
  <c r="G39"/>
  <c r="G38"/>
  <c r="I26"/>
  <c r="H26"/>
  <c r="G26"/>
  <c r="F26"/>
  <c r="I14"/>
  <c r="H14"/>
  <c r="G14"/>
  <c r="F14"/>
  <c r="I7"/>
  <c r="I173" s="1"/>
  <c r="H7"/>
  <c r="H173" s="1"/>
  <c r="G7"/>
  <c r="G173" s="1"/>
  <c r="F7"/>
  <c r="F173" s="1"/>
  <c r="C5"/>
  <c r="F87" i="17" l="1"/>
  <c r="G41" i="15"/>
  <c r="G48"/>
  <c r="F88"/>
  <c r="I88"/>
  <c r="H88"/>
  <c r="G88"/>
  <c r="I44" i="14"/>
  <c r="H44"/>
  <c r="G44"/>
  <c r="F44"/>
  <c r="I38"/>
  <c r="H38"/>
  <c r="G38" s="1"/>
  <c r="F38" s="1"/>
  <c r="H36"/>
  <c r="G36"/>
  <c r="F36"/>
  <c r="I25"/>
  <c r="H25"/>
  <c r="G25"/>
  <c r="F25"/>
  <c r="I24"/>
  <c r="H24"/>
  <c r="G24"/>
  <c r="F24"/>
  <c r="I23"/>
  <c r="H23"/>
  <c r="G23"/>
  <c r="F23"/>
  <c r="I22" s="1"/>
  <c r="H22" s="1"/>
  <c r="G22"/>
  <c r="F22"/>
  <c r="F11"/>
  <c r="I8"/>
  <c r="H8"/>
  <c r="G8"/>
  <c r="F8"/>
  <c r="C5"/>
  <c r="J54" i="13" l="1"/>
  <c r="I54"/>
  <c r="H54"/>
  <c r="G54"/>
  <c r="F54"/>
  <c r="J53" s="1"/>
  <c r="I53" s="1"/>
  <c r="H53"/>
  <c r="G53"/>
  <c r="J52" s="1"/>
  <c r="I52" s="1"/>
  <c r="H52"/>
  <c r="G52"/>
  <c r="J51"/>
  <c r="I51" s="1"/>
  <c r="H51"/>
  <c r="G51"/>
  <c r="J50" s="1"/>
  <c r="I50" s="1"/>
  <c r="H50"/>
  <c r="G50"/>
  <c r="J49" s="1"/>
  <c r="I49" s="1"/>
  <c r="H49"/>
  <c r="G49"/>
  <c r="J48" s="1"/>
  <c r="I48" s="1"/>
  <c r="H48"/>
  <c r="G48"/>
  <c r="J47"/>
  <c r="I47"/>
  <c r="H47" s="1"/>
  <c r="G47"/>
  <c r="J45" s="1"/>
  <c r="I45"/>
  <c r="H45"/>
  <c r="G45"/>
  <c r="F45" l="1"/>
  <c r="J44"/>
  <c r="I44" s="1"/>
  <c r="H44"/>
  <c r="G44"/>
  <c r="J43" s="1"/>
  <c r="I43" s="1"/>
  <c r="H43"/>
  <c r="G43"/>
  <c r="G40"/>
  <c r="J38"/>
  <c r="I38"/>
  <c r="H38"/>
  <c r="G38"/>
  <c r="F38" s="1"/>
  <c r="H35"/>
  <c r="G35"/>
  <c r="J34" s="1"/>
  <c r="I34" s="1"/>
  <c r="H34"/>
  <c r="G34"/>
  <c r="J33" s="1"/>
  <c r="I33" s="1"/>
  <c r="H33"/>
  <c r="G33"/>
  <c r="F23" l="1"/>
  <c r="J21"/>
  <c r="I21" s="1"/>
  <c r="H21"/>
  <c r="G21"/>
  <c r="J20" s="1"/>
  <c r="I20" s="1"/>
  <c r="H20"/>
  <c r="G20"/>
  <c r="J19"/>
  <c r="I19"/>
  <c r="H19"/>
  <c r="G19"/>
  <c r="J16"/>
  <c r="I16"/>
  <c r="H16"/>
  <c r="G16"/>
  <c r="J15"/>
  <c r="I15" s="1"/>
  <c r="H15"/>
  <c r="G15"/>
  <c r="J8"/>
  <c r="I8"/>
  <c r="H8"/>
  <c r="G8"/>
  <c r="F8"/>
  <c r="C5"/>
  <c r="F50" i="12"/>
  <c r="I38"/>
  <c r="H38"/>
  <c r="G38"/>
  <c r="F38"/>
  <c r="I36"/>
  <c r="H36"/>
  <c r="G36"/>
  <c r="I35"/>
  <c r="H35" s="1"/>
  <c r="G35"/>
  <c r="I8"/>
  <c r="H8"/>
  <c r="G8"/>
  <c r="F8"/>
  <c r="C5"/>
  <c r="F71" i="17" l="1"/>
  <c r="J48" i="11" l="1"/>
  <c r="I48"/>
  <c r="H48"/>
  <c r="G48"/>
  <c r="F48"/>
  <c r="J39"/>
  <c r="I39"/>
  <c r="H39"/>
  <c r="G39"/>
  <c r="F39"/>
  <c r="J38"/>
  <c r="I58" i="15" s="1"/>
  <c r="I38" i="11"/>
  <c r="H58" i="15" s="1"/>
  <c r="H38" i="11"/>
  <c r="G58" i="15" s="1"/>
  <c r="G38" i="11"/>
  <c r="F58" i="15" s="1"/>
  <c r="F38" i="11"/>
  <c r="J37" s="1"/>
  <c r="I37" s="1"/>
  <c r="H37" s="1"/>
  <c r="G37" s="1"/>
  <c r="F37" s="1"/>
  <c r="J36"/>
  <c r="I36"/>
  <c r="H36"/>
  <c r="G36"/>
  <c r="F36"/>
  <c r="J35"/>
  <c r="I35"/>
  <c r="H35"/>
  <c r="G52" i="15" s="1"/>
  <c r="G35" i="11"/>
  <c r="F35"/>
  <c r="J34"/>
  <c r="I66" i="15" s="1"/>
  <c r="I34" i="11"/>
  <c r="H66" i="15" s="1"/>
  <c r="H34" i="11"/>
  <c r="G66" i="15" s="1"/>
  <c r="G34" i="11"/>
  <c r="F66" i="15" s="1"/>
  <c r="F34" i="11"/>
  <c r="J28"/>
  <c r="I28"/>
  <c r="H28"/>
  <c r="G28"/>
  <c r="F28"/>
  <c r="J27"/>
  <c r="I27"/>
  <c r="H27"/>
  <c r="G27"/>
  <c r="F27"/>
  <c r="J25"/>
  <c r="I25"/>
  <c r="H25"/>
  <c r="G25"/>
  <c r="F25"/>
  <c r="F57" s="1"/>
  <c r="J24"/>
  <c r="I24"/>
  <c r="H24"/>
  <c r="G24"/>
  <c r="F24"/>
  <c r="F56" s="1"/>
  <c r="J23"/>
  <c r="I23"/>
  <c r="H23"/>
  <c r="G23"/>
  <c r="F23"/>
  <c r="F55" s="1"/>
  <c r="F18"/>
  <c r="F40" l="1"/>
  <c r="F52" i="15"/>
  <c r="J40" i="11"/>
  <c r="I40" s="1"/>
  <c r="H40" s="1"/>
  <c r="G40" s="1"/>
  <c r="J26"/>
  <c r="I26" s="1"/>
  <c r="H26" s="1"/>
  <c r="G26" s="1"/>
  <c r="F26" s="1"/>
  <c r="F58" s="1"/>
  <c r="F59"/>
  <c r="I52" i="15"/>
  <c r="H52"/>
  <c r="F8" i="11"/>
  <c r="C5"/>
  <c r="N142" i="10"/>
  <c r="M142"/>
  <c r="L142"/>
  <c r="N141"/>
  <c r="M141"/>
  <c r="L141"/>
  <c r="N140"/>
  <c r="M140"/>
  <c r="L140"/>
  <c r="N139"/>
  <c r="M139"/>
  <c r="L139"/>
  <c r="N138"/>
  <c r="M138"/>
  <c r="L138"/>
  <c r="N137"/>
  <c r="M137"/>
  <c r="L137"/>
  <c r="N136"/>
  <c r="M136"/>
  <c r="L136"/>
  <c r="N135"/>
  <c r="M135"/>
  <c r="L135"/>
  <c r="N134"/>
  <c r="M134"/>
  <c r="L134"/>
  <c r="N133"/>
  <c r="M133"/>
  <c r="L133"/>
  <c r="N132"/>
  <c r="M132"/>
  <c r="L132"/>
  <c r="N131"/>
  <c r="M131"/>
  <c r="L131"/>
  <c r="N130"/>
  <c r="M130"/>
  <c r="L130"/>
  <c r="N129"/>
  <c r="M129"/>
  <c r="L129"/>
  <c r="N128"/>
  <c r="M128"/>
  <c r="L128"/>
  <c r="N127"/>
  <c r="M127"/>
  <c r="L127"/>
  <c r="N126"/>
  <c r="M126"/>
  <c r="L126"/>
  <c r="N125"/>
  <c r="M125"/>
  <c r="L125"/>
  <c r="N124"/>
  <c r="M124"/>
  <c r="L124"/>
  <c r="N123"/>
  <c r="M123"/>
  <c r="L123"/>
  <c r="N122"/>
  <c r="M122"/>
  <c r="L122"/>
  <c r="N121"/>
  <c r="M121"/>
  <c r="L121"/>
  <c r="N120"/>
  <c r="M120"/>
  <c r="L120"/>
  <c r="N119"/>
  <c r="M119"/>
  <c r="L119"/>
  <c r="N118"/>
  <c r="M118"/>
  <c r="L118"/>
  <c r="N117"/>
  <c r="M117"/>
  <c r="L117"/>
  <c r="N116"/>
  <c r="M116"/>
  <c r="L116"/>
  <c r="N115"/>
  <c r="M115"/>
  <c r="L115"/>
  <c r="N114"/>
  <c r="M114"/>
  <c r="L114"/>
  <c r="N113"/>
  <c r="M113"/>
  <c r="L113"/>
  <c r="N112"/>
  <c r="M112"/>
  <c r="L112"/>
  <c r="N111"/>
  <c r="M111"/>
  <c r="L111"/>
  <c r="N110"/>
  <c r="M110"/>
  <c r="L110"/>
  <c r="N109"/>
  <c r="M109"/>
  <c r="L109"/>
  <c r="N108"/>
  <c r="M108"/>
  <c r="L108"/>
  <c r="N107"/>
  <c r="M107"/>
  <c r="L107"/>
  <c r="N106"/>
  <c r="M106"/>
  <c r="L106"/>
  <c r="N105"/>
  <c r="M105"/>
  <c r="L105"/>
  <c r="N104"/>
  <c r="M104"/>
  <c r="L104"/>
  <c r="N103"/>
  <c r="M103"/>
  <c r="L103"/>
  <c r="N102"/>
  <c r="M102"/>
  <c r="L102"/>
  <c r="N101"/>
  <c r="M101"/>
  <c r="L101"/>
  <c r="N100"/>
  <c r="M100"/>
  <c r="L100"/>
  <c r="N99"/>
  <c r="M99"/>
  <c r="L99"/>
  <c r="N98"/>
  <c r="M98"/>
  <c r="L98"/>
  <c r="N97"/>
  <c r="M97"/>
  <c r="L97"/>
  <c r="N96"/>
  <c r="M96"/>
  <c r="L96"/>
  <c r="N95"/>
  <c r="M95"/>
  <c r="L95"/>
  <c r="N94"/>
  <c r="M94"/>
  <c r="L94"/>
  <c r="N93"/>
  <c r="M93"/>
  <c r="L93"/>
  <c r="N92"/>
  <c r="M92"/>
  <c r="L92"/>
  <c r="N91"/>
  <c r="M91"/>
  <c r="L91"/>
  <c r="N90"/>
  <c r="M90"/>
  <c r="L90"/>
  <c r="N89"/>
  <c r="M89"/>
  <c r="L89"/>
  <c r="N88"/>
  <c r="M88"/>
  <c r="L88"/>
  <c r="N87"/>
  <c r="M87"/>
  <c r="L87"/>
  <c r="N86"/>
  <c r="M86"/>
  <c r="L86"/>
  <c r="N85"/>
  <c r="M85"/>
  <c r="L85"/>
  <c r="N84"/>
  <c r="M84"/>
  <c r="L84"/>
  <c r="N83"/>
  <c r="M83"/>
  <c r="L83"/>
  <c r="N82"/>
  <c r="M82"/>
  <c r="L82"/>
  <c r="N81"/>
  <c r="M81"/>
  <c r="L81"/>
  <c r="N80"/>
  <c r="M80"/>
  <c r="L80"/>
  <c r="N79"/>
  <c r="M79"/>
  <c r="L79"/>
  <c r="N78"/>
  <c r="M78"/>
  <c r="L78"/>
  <c r="N77"/>
  <c r="M77"/>
  <c r="L77"/>
  <c r="N76"/>
  <c r="M76"/>
  <c r="L76"/>
  <c r="N75"/>
  <c r="M75"/>
  <c r="L75"/>
  <c r="N74"/>
  <c r="M74"/>
  <c r="L74"/>
  <c r="N73"/>
  <c r="M73"/>
  <c r="L73"/>
  <c r="N72"/>
  <c r="M72"/>
  <c r="L72"/>
  <c r="N71"/>
  <c r="M71"/>
  <c r="L71"/>
  <c r="N70"/>
  <c r="M70"/>
  <c r="L70"/>
  <c r="N69"/>
  <c r="M69"/>
  <c r="L69"/>
  <c r="N68"/>
  <c r="M68"/>
  <c r="L68"/>
  <c r="N67"/>
  <c r="M67"/>
  <c r="L67"/>
  <c r="N66"/>
  <c r="M66"/>
  <c r="L66"/>
  <c r="N65"/>
  <c r="M65"/>
  <c r="L65"/>
  <c r="N64"/>
  <c r="M64"/>
  <c r="L64"/>
  <c r="N63"/>
  <c r="M63"/>
  <c r="L63"/>
  <c r="N62"/>
  <c r="M62"/>
  <c r="L62"/>
  <c r="N61"/>
  <c r="M61"/>
  <c r="L61"/>
  <c r="N60"/>
  <c r="M60"/>
  <c r="L60"/>
  <c r="N59"/>
  <c r="M59"/>
  <c r="L59"/>
  <c r="N58"/>
  <c r="M58"/>
  <c r="L58"/>
  <c r="N57"/>
  <c r="M57"/>
  <c r="L57"/>
  <c r="N56"/>
  <c r="M56"/>
  <c r="L56"/>
  <c r="N55"/>
  <c r="M55"/>
  <c r="L55"/>
  <c r="N54"/>
  <c r="M54"/>
  <c r="L54"/>
  <c r="N53"/>
  <c r="M53"/>
  <c r="L53"/>
  <c r="N52"/>
  <c r="M52"/>
  <c r="L52"/>
  <c r="N51"/>
  <c r="M51"/>
  <c r="L51"/>
  <c r="N50"/>
  <c r="M50"/>
  <c r="L50"/>
  <c r="N49"/>
  <c r="M49"/>
  <c r="L49"/>
  <c r="N48"/>
  <c r="M48"/>
  <c r="L48"/>
  <c r="N47"/>
  <c r="M47"/>
  <c r="L47"/>
  <c r="N46"/>
  <c r="M46"/>
  <c r="L46"/>
  <c r="N45"/>
  <c r="M45"/>
  <c r="L45"/>
  <c r="N44"/>
  <c r="M44"/>
  <c r="L44"/>
  <c r="N43"/>
  <c r="M43"/>
  <c r="L43"/>
  <c r="N42"/>
  <c r="M42"/>
  <c r="L42"/>
  <c r="N41"/>
  <c r="M41"/>
  <c r="L41"/>
  <c r="N40"/>
  <c r="M40"/>
  <c r="L40"/>
  <c r="N39"/>
  <c r="M39"/>
  <c r="L39"/>
  <c r="N38"/>
  <c r="M38"/>
  <c r="L38"/>
  <c r="N37"/>
  <c r="M37"/>
  <c r="L37"/>
  <c r="N36"/>
  <c r="M36"/>
  <c r="L36"/>
  <c r="N35"/>
  <c r="M35"/>
  <c r="L35"/>
  <c r="N34"/>
  <c r="M34"/>
  <c r="L34"/>
  <c r="N33"/>
  <c r="M33"/>
  <c r="L33"/>
  <c r="N32"/>
  <c r="M32"/>
  <c r="L32"/>
  <c r="N31"/>
  <c r="M31"/>
  <c r="L31"/>
  <c r="N30"/>
  <c r="M30"/>
  <c r="L30"/>
  <c r="N29"/>
  <c r="M29"/>
  <c r="L29"/>
  <c r="N28"/>
  <c r="M28"/>
  <c r="L28"/>
  <c r="N27"/>
  <c r="M27"/>
  <c r="L27"/>
  <c r="N26"/>
  <c r="M26"/>
  <c r="L26"/>
  <c r="N25"/>
  <c r="M25"/>
  <c r="L25"/>
  <c r="N24"/>
  <c r="M24"/>
  <c r="L24"/>
  <c r="N23"/>
  <c r="M23"/>
  <c r="L23"/>
  <c r="N22"/>
  <c r="M22"/>
  <c r="L22"/>
  <c r="N21"/>
  <c r="M21"/>
  <c r="L21"/>
  <c r="N20"/>
  <c r="M20"/>
  <c r="L20"/>
  <c r="N19"/>
  <c r="M19"/>
  <c r="L19"/>
  <c r="N18"/>
  <c r="M18"/>
  <c r="L18"/>
  <c r="N17"/>
  <c r="M17"/>
  <c r="L17"/>
  <c r="O16"/>
  <c r="N16"/>
  <c r="M16"/>
  <c r="L16"/>
  <c r="O15"/>
  <c r="N15"/>
  <c r="M15"/>
  <c r="L15"/>
  <c r="S9"/>
  <c r="S16" s="1"/>
  <c r="R16" s="1"/>
  <c r="R9"/>
  <c r="R97" s="1"/>
  <c r="P97" s="1"/>
  <c r="O97" s="1"/>
  <c r="C6"/>
  <c r="O29" i="9" s="1"/>
  <c r="N29" s="1"/>
  <c r="M29" s="1"/>
  <c r="L29" s="1"/>
  <c r="K29" s="1"/>
  <c r="J29" s="1"/>
  <c r="I29" s="1"/>
  <c r="H29" s="1"/>
  <c r="X9" i="10" l="1"/>
  <c r="X59" s="1"/>
  <c r="P16"/>
  <c r="T9"/>
  <c r="T102" s="1"/>
  <c r="P17"/>
  <c r="O17" s="1"/>
  <c r="R15"/>
  <c r="P15" s="1"/>
  <c r="P10"/>
  <c r="F29" i="11"/>
  <c r="X16" i="10"/>
  <c r="S18"/>
  <c r="R21"/>
  <c r="Y9"/>
  <c r="Y100" s="1"/>
  <c r="X18"/>
  <c r="P19"/>
  <c r="O19" s="1"/>
  <c r="S141"/>
  <c r="S139"/>
  <c r="R139" s="1"/>
  <c r="S134"/>
  <c r="S132"/>
  <c r="S117"/>
  <c r="S114"/>
  <c r="S107"/>
  <c r="S105"/>
  <c r="S102"/>
  <c r="S100"/>
  <c r="S98"/>
  <c r="S91"/>
  <c r="S89"/>
  <c r="S82"/>
  <c r="S77"/>
  <c r="S72"/>
  <c r="S70"/>
  <c r="S68"/>
  <c r="S63"/>
  <c r="S61"/>
  <c r="S137"/>
  <c r="S130"/>
  <c r="S128"/>
  <c r="S126"/>
  <c r="S124"/>
  <c r="S122"/>
  <c r="S120"/>
  <c r="S115"/>
  <c r="S112"/>
  <c r="S110"/>
  <c r="S142"/>
  <c r="S140"/>
  <c r="S135"/>
  <c r="S133"/>
  <c r="S118"/>
  <c r="S116"/>
  <c r="S113"/>
  <c r="S108"/>
  <c r="S106"/>
  <c r="S101"/>
  <c r="S99"/>
  <c r="S97"/>
  <c r="S92"/>
  <c r="S90"/>
  <c r="S81"/>
  <c r="S78"/>
  <c r="S71"/>
  <c r="S69"/>
  <c r="S67"/>
  <c r="S64"/>
  <c r="S62"/>
  <c r="S138"/>
  <c r="S136"/>
  <c r="S129"/>
  <c r="S127"/>
  <c r="S125"/>
  <c r="S123"/>
  <c r="S121"/>
  <c r="S119"/>
  <c r="S111"/>
  <c r="S109"/>
  <c r="S104"/>
  <c r="S95"/>
  <c r="S93"/>
  <c r="S88"/>
  <c r="S86"/>
  <c r="S84"/>
  <c r="S79"/>
  <c r="S76"/>
  <c r="S74"/>
  <c r="S65"/>
  <c r="S60"/>
  <c r="S58"/>
  <c r="S56"/>
  <c r="S54"/>
  <c r="U9"/>
  <c r="Z9"/>
  <c r="S15"/>
  <c r="T16"/>
  <c r="Y16"/>
  <c r="R17"/>
  <c r="T18"/>
  <c r="Y18"/>
  <c r="S19"/>
  <c r="R19" s="1"/>
  <c r="X19"/>
  <c r="P20"/>
  <c r="O20" s="1"/>
  <c r="S21"/>
  <c r="X21"/>
  <c r="P22"/>
  <c r="O22" s="1"/>
  <c r="T23"/>
  <c r="Y23"/>
  <c r="R24"/>
  <c r="T25"/>
  <c r="Y25"/>
  <c r="S26"/>
  <c r="X26"/>
  <c r="P27"/>
  <c r="O27" s="1"/>
  <c r="T28"/>
  <c r="Y28"/>
  <c r="R29"/>
  <c r="T30"/>
  <c r="Y30"/>
  <c r="R31"/>
  <c r="T32"/>
  <c r="Y32"/>
  <c r="R33"/>
  <c r="T34"/>
  <c r="Y34"/>
  <c r="R35"/>
  <c r="T36"/>
  <c r="Y36"/>
  <c r="R37"/>
  <c r="T38"/>
  <c r="Y38"/>
  <c r="R39"/>
  <c r="T40"/>
  <c r="Y40"/>
  <c r="R41"/>
  <c r="T42"/>
  <c r="Y42"/>
  <c r="R43"/>
  <c r="T44"/>
  <c r="Y44"/>
  <c r="R45"/>
  <c r="T46"/>
  <c r="Y46"/>
  <c r="R47"/>
  <c r="P48"/>
  <c r="O48" s="1"/>
  <c r="P49"/>
  <c r="O49" s="1"/>
  <c r="X49"/>
  <c r="R50"/>
  <c r="X51"/>
  <c r="P54"/>
  <c r="O54" s="1"/>
  <c r="P56"/>
  <c r="O56" s="1"/>
  <c r="P58"/>
  <c r="O58" s="1"/>
  <c r="P60"/>
  <c r="O60" s="1"/>
  <c r="T70"/>
  <c r="Y72"/>
  <c r="S73"/>
  <c r="S75"/>
  <c r="T77"/>
  <c r="S80"/>
  <c r="T82"/>
  <c r="T91"/>
  <c r="S94"/>
  <c r="S96"/>
  <c r="T98"/>
  <c r="R101"/>
  <c r="X103"/>
  <c r="Y138"/>
  <c r="Y136"/>
  <c r="Y129"/>
  <c r="Y127"/>
  <c r="Y125"/>
  <c r="Y123"/>
  <c r="Y121"/>
  <c r="Y119"/>
  <c r="Y111"/>
  <c r="Y109"/>
  <c r="Y104"/>
  <c r="Y95"/>
  <c r="Y93"/>
  <c r="Y88"/>
  <c r="Y86"/>
  <c r="Y84"/>
  <c r="Y79"/>
  <c r="Y76"/>
  <c r="Y74"/>
  <c r="Y65"/>
  <c r="Y60"/>
  <c r="Y58"/>
  <c r="Y56"/>
  <c r="Y54"/>
  <c r="Y52"/>
  <c r="Y50"/>
  <c r="Y48"/>
  <c r="Y141"/>
  <c r="Y139"/>
  <c r="Y134"/>
  <c r="Y132"/>
  <c r="Y117"/>
  <c r="Y115"/>
  <c r="Y114"/>
  <c r="Y107"/>
  <c r="Y105"/>
  <c r="Y137"/>
  <c r="Y135"/>
  <c r="Y130"/>
  <c r="Y128"/>
  <c r="Y126"/>
  <c r="Y124"/>
  <c r="Y122"/>
  <c r="Y120"/>
  <c r="Y112"/>
  <c r="Y110"/>
  <c r="Y103"/>
  <c r="Y96"/>
  <c r="Y94"/>
  <c r="Y87"/>
  <c r="Y85"/>
  <c r="Y83"/>
  <c r="Y80"/>
  <c r="Y75"/>
  <c r="Y73"/>
  <c r="Y66"/>
  <c r="Y59"/>
  <c r="Y57"/>
  <c r="Y55"/>
  <c r="Y53"/>
  <c r="Y51"/>
  <c r="Y142"/>
  <c r="Y140"/>
  <c r="Y133"/>
  <c r="Y131"/>
  <c r="Y118"/>
  <c r="Y116"/>
  <c r="Y113"/>
  <c r="Y108"/>
  <c r="Y106"/>
  <c r="Y101"/>
  <c r="Y99"/>
  <c r="Y97"/>
  <c r="Y92"/>
  <c r="Y90"/>
  <c r="Y81"/>
  <c r="Y78"/>
  <c r="Y71"/>
  <c r="Y69"/>
  <c r="Y67"/>
  <c r="Y64"/>
  <c r="Y62"/>
  <c r="T22"/>
  <c r="Y22"/>
  <c r="S23"/>
  <c r="R23" s="1"/>
  <c r="X23"/>
  <c r="P24"/>
  <c r="O24" s="1"/>
  <c r="S25"/>
  <c r="X25"/>
  <c r="R26"/>
  <c r="P26" s="1"/>
  <c r="O26" s="1"/>
  <c r="T27"/>
  <c r="Y27"/>
  <c r="S28"/>
  <c r="X28"/>
  <c r="P29"/>
  <c r="O29" s="1"/>
  <c r="S30"/>
  <c r="X30"/>
  <c r="P31"/>
  <c r="O31" s="1"/>
  <c r="S32"/>
  <c r="X32"/>
  <c r="P33"/>
  <c r="O33" s="1"/>
  <c r="S34"/>
  <c r="X34"/>
  <c r="P35"/>
  <c r="O35" s="1"/>
  <c r="S36"/>
  <c r="X36"/>
  <c r="P37"/>
  <c r="O37" s="1"/>
  <c r="S38"/>
  <c r="X38"/>
  <c r="P39"/>
  <c r="O39" s="1"/>
  <c r="S40"/>
  <c r="X40"/>
  <c r="P41"/>
  <c r="O41" s="1"/>
  <c r="S42"/>
  <c r="X42"/>
  <c r="P43"/>
  <c r="O43" s="1"/>
  <c r="S44"/>
  <c r="X44"/>
  <c r="P45"/>
  <c r="O45" s="1"/>
  <c r="S46"/>
  <c r="X46"/>
  <c r="P47"/>
  <c r="O47" s="1"/>
  <c r="P50"/>
  <c r="O50" s="1"/>
  <c r="X50"/>
  <c r="S52"/>
  <c r="X53"/>
  <c r="X55"/>
  <c r="X57"/>
  <c r="Y61"/>
  <c r="R62"/>
  <c r="R67"/>
  <c r="P67" s="1"/>
  <c r="O67" s="1"/>
  <c r="T72"/>
  <c r="P84"/>
  <c r="O84" s="1"/>
  <c r="P86"/>
  <c r="O86" s="1"/>
  <c r="P88"/>
  <c r="O88" s="1"/>
  <c r="T100"/>
  <c r="Y102"/>
  <c r="S103"/>
  <c r="X141"/>
  <c r="X139"/>
  <c r="X134"/>
  <c r="X132"/>
  <c r="X117"/>
  <c r="X115"/>
  <c r="X114"/>
  <c r="X107"/>
  <c r="X105"/>
  <c r="X102"/>
  <c r="X100"/>
  <c r="X98"/>
  <c r="X91"/>
  <c r="X89"/>
  <c r="X82"/>
  <c r="X77"/>
  <c r="X72"/>
  <c r="X70"/>
  <c r="X68"/>
  <c r="X63"/>
  <c r="X61"/>
  <c r="X137"/>
  <c r="X135"/>
  <c r="X130"/>
  <c r="X128"/>
  <c r="X126"/>
  <c r="X124"/>
  <c r="X122"/>
  <c r="X120"/>
  <c r="X112"/>
  <c r="X110"/>
  <c r="X142"/>
  <c r="X140"/>
  <c r="X133"/>
  <c r="X131"/>
  <c r="X118"/>
  <c r="X116"/>
  <c r="X113"/>
  <c r="X108"/>
  <c r="X106"/>
  <c r="X101"/>
  <c r="X99"/>
  <c r="X97"/>
  <c r="X92"/>
  <c r="X90"/>
  <c r="X81"/>
  <c r="X78"/>
  <c r="X71"/>
  <c r="X69"/>
  <c r="X67"/>
  <c r="X64"/>
  <c r="X62"/>
  <c r="X138"/>
  <c r="X136"/>
  <c r="X129"/>
  <c r="X127"/>
  <c r="X125"/>
  <c r="X123"/>
  <c r="X121"/>
  <c r="X119"/>
  <c r="X111"/>
  <c r="X109"/>
  <c r="X104"/>
  <c r="X95"/>
  <c r="X93"/>
  <c r="X88"/>
  <c r="X86"/>
  <c r="X84"/>
  <c r="X79"/>
  <c r="X76"/>
  <c r="X74"/>
  <c r="X65"/>
  <c r="X60"/>
  <c r="X58"/>
  <c r="X56"/>
  <c r="X54"/>
  <c r="Y20"/>
  <c r="Y17"/>
  <c r="R18"/>
  <c r="S20"/>
  <c r="X20"/>
  <c r="P21"/>
  <c r="O21" s="1"/>
  <c r="S22"/>
  <c r="X22"/>
  <c r="P23"/>
  <c r="O23" s="1"/>
  <c r="T24"/>
  <c r="Y24"/>
  <c r="R25"/>
  <c r="S27"/>
  <c r="X27"/>
  <c r="R28"/>
  <c r="P28" s="1"/>
  <c r="O28" s="1"/>
  <c r="T29"/>
  <c r="Y29"/>
  <c r="R30"/>
  <c r="T31"/>
  <c r="Y31"/>
  <c r="R32"/>
  <c r="T33"/>
  <c r="Y33"/>
  <c r="R34"/>
  <c r="T35"/>
  <c r="Y35"/>
  <c r="R36"/>
  <c r="T37"/>
  <c r="Y37"/>
  <c r="R38"/>
  <c r="T39"/>
  <c r="Y39"/>
  <c r="R40"/>
  <c r="T41"/>
  <c r="Y41"/>
  <c r="R42"/>
  <c r="T43"/>
  <c r="Y43"/>
  <c r="R44"/>
  <c r="T45"/>
  <c r="Y45"/>
  <c r="R46"/>
  <c r="T47"/>
  <c r="Y47"/>
  <c r="S48"/>
  <c r="T49"/>
  <c r="S51"/>
  <c r="P52"/>
  <c r="O52" s="1"/>
  <c r="S53"/>
  <c r="S55"/>
  <c r="S57"/>
  <c r="S59"/>
  <c r="T61"/>
  <c r="Y63"/>
  <c r="R64"/>
  <c r="X66"/>
  <c r="Y68"/>
  <c r="R69"/>
  <c r="P74"/>
  <c r="O74" s="1"/>
  <c r="P76"/>
  <c r="O76" s="1"/>
  <c r="R81"/>
  <c r="P81" s="1"/>
  <c r="O81" s="1"/>
  <c r="X83"/>
  <c r="X85"/>
  <c r="X87"/>
  <c r="Y89"/>
  <c r="R90"/>
  <c r="P95"/>
  <c r="O95" s="1"/>
  <c r="T138"/>
  <c r="T136"/>
  <c r="T129"/>
  <c r="T127"/>
  <c r="T125"/>
  <c r="T123"/>
  <c r="T121"/>
  <c r="T119"/>
  <c r="T111"/>
  <c r="T109"/>
  <c r="T104"/>
  <c r="T95"/>
  <c r="T93"/>
  <c r="T88"/>
  <c r="T86"/>
  <c r="T84"/>
  <c r="T79"/>
  <c r="T76"/>
  <c r="T74"/>
  <c r="T65"/>
  <c r="T60"/>
  <c r="T58"/>
  <c r="T56"/>
  <c r="T54"/>
  <c r="T52"/>
  <c r="T50"/>
  <c r="T48"/>
  <c r="T141"/>
  <c r="T139"/>
  <c r="T134"/>
  <c r="T132"/>
  <c r="T117"/>
  <c r="T114"/>
  <c r="T107"/>
  <c r="T105"/>
  <c r="T137"/>
  <c r="T130"/>
  <c r="T128"/>
  <c r="T126"/>
  <c r="T124"/>
  <c r="T122"/>
  <c r="T120"/>
  <c r="T115"/>
  <c r="T112"/>
  <c r="T110"/>
  <c r="T103"/>
  <c r="T96"/>
  <c r="T94"/>
  <c r="T87"/>
  <c r="T85"/>
  <c r="T83"/>
  <c r="T80"/>
  <c r="T75"/>
  <c r="T73"/>
  <c r="T66"/>
  <c r="T59"/>
  <c r="T57"/>
  <c r="T55"/>
  <c r="T53"/>
  <c r="T51"/>
  <c r="T142"/>
  <c r="T140"/>
  <c r="T133"/>
  <c r="T131"/>
  <c r="S131" s="1"/>
  <c r="T118"/>
  <c r="T116"/>
  <c r="T113"/>
  <c r="T108"/>
  <c r="T106"/>
  <c r="T101"/>
  <c r="T99"/>
  <c r="T97"/>
  <c r="T92"/>
  <c r="T90"/>
  <c r="T81"/>
  <c r="T78"/>
  <c r="T71"/>
  <c r="T69"/>
  <c r="T67"/>
  <c r="T64"/>
  <c r="T62"/>
  <c r="P142"/>
  <c r="O142" s="1"/>
  <c r="P140"/>
  <c r="O140" s="1"/>
  <c r="R137"/>
  <c r="P135"/>
  <c r="O135" s="1"/>
  <c r="P133"/>
  <c r="O133" s="1"/>
  <c r="R130"/>
  <c r="R128"/>
  <c r="R126"/>
  <c r="R124"/>
  <c r="R122"/>
  <c r="R120"/>
  <c r="P118"/>
  <c r="O118" s="1"/>
  <c r="P116"/>
  <c r="O116" s="1"/>
  <c r="R115"/>
  <c r="P115" s="1"/>
  <c r="O115" s="1"/>
  <c r="R112"/>
  <c r="R110"/>
  <c r="P108"/>
  <c r="O108" s="1"/>
  <c r="P106"/>
  <c r="O106" s="1"/>
  <c r="R103"/>
  <c r="P103" s="1"/>
  <c r="O103" s="1"/>
  <c r="P101"/>
  <c r="O101" s="1"/>
  <c r="P99"/>
  <c r="O99" s="1"/>
  <c r="R96"/>
  <c r="R94"/>
  <c r="P92"/>
  <c r="O92" s="1"/>
  <c r="P90"/>
  <c r="O90" s="1"/>
  <c r="R87"/>
  <c r="R85"/>
  <c r="R83"/>
  <c r="P83" s="1"/>
  <c r="O83" s="1"/>
  <c r="R80"/>
  <c r="P78"/>
  <c r="O78" s="1"/>
  <c r="R75"/>
  <c r="R73"/>
  <c r="P73" s="1"/>
  <c r="O73" s="1"/>
  <c r="P71"/>
  <c r="O71" s="1"/>
  <c r="P69"/>
  <c r="O69" s="1"/>
  <c r="R66"/>
  <c r="P64"/>
  <c r="O64" s="1"/>
  <c r="P62"/>
  <c r="O62" s="1"/>
  <c r="R59"/>
  <c r="R57"/>
  <c r="R55"/>
  <c r="R53"/>
  <c r="R51"/>
  <c r="R49"/>
  <c r="R142"/>
  <c r="R140"/>
  <c r="P138"/>
  <c r="O138" s="1"/>
  <c r="P136"/>
  <c r="O136" s="1"/>
  <c r="R135"/>
  <c r="R133"/>
  <c r="P131"/>
  <c r="O131" s="1"/>
  <c r="P129"/>
  <c r="O129" s="1"/>
  <c r="P127"/>
  <c r="O127" s="1"/>
  <c r="P125"/>
  <c r="O125" s="1"/>
  <c r="P123"/>
  <c r="O123" s="1"/>
  <c r="P121"/>
  <c r="O121" s="1"/>
  <c r="R118"/>
  <c r="R116"/>
  <c r="R113"/>
  <c r="P113" s="1"/>
  <c r="O113" s="1"/>
  <c r="P111"/>
  <c r="O111" s="1"/>
  <c r="R108"/>
  <c r="R106"/>
  <c r="P141"/>
  <c r="O141" s="1"/>
  <c r="R138"/>
  <c r="R136"/>
  <c r="P134"/>
  <c r="O134" s="1"/>
  <c r="P132"/>
  <c r="O132" s="1"/>
  <c r="R131"/>
  <c r="R129"/>
  <c r="R127"/>
  <c r="R125"/>
  <c r="R123"/>
  <c r="R121"/>
  <c r="R119"/>
  <c r="P119" s="1"/>
  <c r="O119" s="1"/>
  <c r="P117"/>
  <c r="O117" s="1"/>
  <c r="P114"/>
  <c r="O114" s="1"/>
  <c r="R111"/>
  <c r="R109"/>
  <c r="P109" s="1"/>
  <c r="O109" s="1"/>
  <c r="P107"/>
  <c r="O107" s="1"/>
  <c r="R104"/>
  <c r="P102"/>
  <c r="O102" s="1"/>
  <c r="P100"/>
  <c r="O100" s="1"/>
  <c r="P98"/>
  <c r="O98" s="1"/>
  <c r="R95"/>
  <c r="R93"/>
  <c r="P93" s="1"/>
  <c r="O93" s="1"/>
  <c r="P91"/>
  <c r="O91" s="1"/>
  <c r="R88"/>
  <c r="R86"/>
  <c r="R84"/>
  <c r="P82"/>
  <c r="O82" s="1"/>
  <c r="R79"/>
  <c r="P79" s="1"/>
  <c r="O79" s="1"/>
  <c r="R76"/>
  <c r="R74"/>
  <c r="P72"/>
  <c r="O72" s="1"/>
  <c r="P70"/>
  <c r="O70" s="1"/>
  <c r="P68"/>
  <c r="O68" s="1"/>
  <c r="R65"/>
  <c r="P65" s="1"/>
  <c r="O65" s="1"/>
  <c r="P63"/>
  <c r="O63" s="1"/>
  <c r="R60"/>
  <c r="R58"/>
  <c r="R56"/>
  <c r="R54"/>
  <c r="R52"/>
  <c r="R141"/>
  <c r="P139"/>
  <c r="O139" s="1"/>
  <c r="P137"/>
  <c r="O137" s="1"/>
  <c r="R134"/>
  <c r="R132"/>
  <c r="P130"/>
  <c r="O130" s="1"/>
  <c r="P128"/>
  <c r="O128" s="1"/>
  <c r="P126"/>
  <c r="O126" s="1"/>
  <c r="P124"/>
  <c r="O124" s="1"/>
  <c r="P122"/>
  <c r="O122" s="1"/>
  <c r="P120"/>
  <c r="O120" s="1"/>
  <c r="R117"/>
  <c r="R114"/>
  <c r="P112"/>
  <c r="O112" s="1"/>
  <c r="P110"/>
  <c r="O110" s="1"/>
  <c r="R107"/>
  <c r="R105"/>
  <c r="P105" s="1"/>
  <c r="O105" s="1"/>
  <c r="R102"/>
  <c r="R100"/>
  <c r="R98"/>
  <c r="P96"/>
  <c r="O96" s="1"/>
  <c r="P94"/>
  <c r="O94" s="1"/>
  <c r="R91"/>
  <c r="R89"/>
  <c r="P89" s="1"/>
  <c r="O89" s="1"/>
  <c r="P87"/>
  <c r="O87" s="1"/>
  <c r="P85"/>
  <c r="O85" s="1"/>
  <c r="R82"/>
  <c r="P80"/>
  <c r="O80" s="1"/>
  <c r="R77"/>
  <c r="P77" s="1"/>
  <c r="O77" s="1"/>
  <c r="P75"/>
  <c r="O75" s="1"/>
  <c r="R72"/>
  <c r="R70"/>
  <c r="R68"/>
  <c r="P66"/>
  <c r="O66" s="1"/>
  <c r="R63"/>
  <c r="R61"/>
  <c r="P61" s="1"/>
  <c r="O61" s="1"/>
  <c r="P59"/>
  <c r="O59" s="1"/>
  <c r="P57"/>
  <c r="O57" s="1"/>
  <c r="P55"/>
  <c r="O55" s="1"/>
  <c r="P53"/>
  <c r="O53" s="1"/>
  <c r="T20"/>
  <c r="T17"/>
  <c r="T15"/>
  <c r="S17"/>
  <c r="X17"/>
  <c r="P18"/>
  <c r="O18" s="1"/>
  <c r="T19"/>
  <c r="Y19"/>
  <c r="R20"/>
  <c r="T21"/>
  <c r="Y21"/>
  <c r="R22"/>
  <c r="S24"/>
  <c r="X24"/>
  <c r="P25"/>
  <c r="O25" s="1"/>
  <c r="T26"/>
  <c r="Y26"/>
  <c r="R27"/>
  <c r="S29"/>
  <c r="X29"/>
  <c r="P30"/>
  <c r="O30" s="1"/>
  <c r="S31"/>
  <c r="X31"/>
  <c r="P32"/>
  <c r="O32" s="1"/>
  <c r="S33"/>
  <c r="X33"/>
  <c r="P34"/>
  <c r="O34" s="1"/>
  <c r="S35"/>
  <c r="X35"/>
  <c r="P36"/>
  <c r="O36" s="1"/>
  <c r="S37"/>
  <c r="X37"/>
  <c r="P38"/>
  <c r="O38" s="1"/>
  <c r="S39"/>
  <c r="X39"/>
  <c r="P40"/>
  <c r="O40" s="1"/>
  <c r="S41"/>
  <c r="X41"/>
  <c r="P42"/>
  <c r="O42" s="1"/>
  <c r="S43"/>
  <c r="X43"/>
  <c r="P44"/>
  <c r="O44" s="1"/>
  <c r="S45"/>
  <c r="X45"/>
  <c r="P46"/>
  <c r="O46" s="1"/>
  <c r="S47"/>
  <c r="X47"/>
  <c r="R48"/>
  <c r="X48"/>
  <c r="S49"/>
  <c r="Y49"/>
  <c r="S50"/>
  <c r="P51"/>
  <c r="O51" s="1"/>
  <c r="X52"/>
  <c r="T63"/>
  <c r="S66"/>
  <c r="T68"/>
  <c r="Y70"/>
  <c r="R71"/>
  <c r="X73"/>
  <c r="X75"/>
  <c r="Y77"/>
  <c r="R78"/>
  <c r="X80"/>
  <c r="Y82"/>
  <c r="S83"/>
  <c r="S85"/>
  <c r="S87"/>
  <c r="T89"/>
  <c r="Y91"/>
  <c r="R92"/>
  <c r="X94"/>
  <c r="X96"/>
  <c r="Y98"/>
  <c r="R99"/>
  <c r="P104"/>
  <c r="O104" s="1"/>
  <c r="J50" i="11"/>
  <c r="G15"/>
  <c r="J29"/>
  <c r="G29" i="9"/>
  <c r="F29" s="1"/>
  <c r="O26" s="1"/>
  <c r="N26" s="1"/>
  <c r="M26" s="1"/>
  <c r="L26" s="1"/>
  <c r="K26" s="1"/>
  <c r="J26" s="1"/>
  <c r="I26" s="1"/>
  <c r="H26" s="1"/>
  <c r="G26" s="1"/>
  <c r="F26" s="1"/>
  <c r="G19"/>
  <c r="F19"/>
  <c r="O16" s="1"/>
  <c r="N16" s="1"/>
  <c r="M16" s="1"/>
  <c r="L16" s="1"/>
  <c r="K16"/>
  <c r="J16"/>
  <c r="I16"/>
  <c r="H16"/>
  <c r="G16"/>
  <c r="F13"/>
  <c r="G13" s="1"/>
  <c r="H13" s="1"/>
  <c r="C5"/>
  <c r="J282" i="8"/>
  <c r="N266"/>
  <c r="M266"/>
  <c r="L266"/>
  <c r="K266"/>
  <c r="J266"/>
  <c r="J249"/>
  <c r="K247"/>
  <c r="K246"/>
  <c r="K245"/>
  <c r="K244"/>
  <c r="K243"/>
  <c r="L243" s="1"/>
  <c r="K242"/>
  <c r="K241"/>
  <c r="K240"/>
  <c r="K239"/>
  <c r="K238"/>
  <c r="K237"/>
  <c r="K236"/>
  <c r="K235"/>
  <c r="L235" s="1"/>
  <c r="K234"/>
  <c r="K233"/>
  <c r="K232"/>
  <c r="K231"/>
  <c r="K230"/>
  <c r="L230" s="1"/>
  <c r="K229"/>
  <c r="K228"/>
  <c r="K227"/>
  <c r="K226"/>
  <c r="K225"/>
  <c r="K224"/>
  <c r="K223"/>
  <c r="K222"/>
  <c r="K221"/>
  <c r="K220"/>
  <c r="K219"/>
  <c r="K218"/>
  <c r="K217"/>
  <c r="K216"/>
  <c r="K215"/>
  <c r="K214"/>
  <c r="K213"/>
  <c r="K205"/>
  <c r="K204"/>
  <c r="L204" s="1"/>
  <c r="K203"/>
  <c r="K202"/>
  <c r="K201"/>
  <c r="K200"/>
  <c r="K199"/>
  <c r="K198"/>
  <c r="L198" s="1"/>
  <c r="K197"/>
  <c r="N196"/>
  <c r="I67" i="15" s="1"/>
  <c r="M196" i="8"/>
  <c r="H67" i="15" s="1"/>
  <c r="L196" i="8"/>
  <c r="G67" i="15" s="1"/>
  <c r="K196" i="8"/>
  <c r="F67" i="15" s="1"/>
  <c r="J196" i="8"/>
  <c r="N188"/>
  <c r="M188"/>
  <c r="L188"/>
  <c r="K188"/>
  <c r="J188"/>
  <c r="N187"/>
  <c r="M187"/>
  <c r="L187"/>
  <c r="K187"/>
  <c r="J187"/>
  <c r="N186"/>
  <c r="M186"/>
  <c r="L186"/>
  <c r="K186"/>
  <c r="J186"/>
  <c r="N185"/>
  <c r="M185"/>
  <c r="L185"/>
  <c r="K185"/>
  <c r="J185"/>
  <c r="N184"/>
  <c r="M184"/>
  <c r="L184"/>
  <c r="K184"/>
  <c r="J184"/>
  <c r="N183"/>
  <c r="M183"/>
  <c r="L183"/>
  <c r="K183"/>
  <c r="J183"/>
  <c r="J168"/>
  <c r="K166"/>
  <c r="K165"/>
  <c r="K164"/>
  <c r="K163"/>
  <c r="L163" s="1"/>
  <c r="K162"/>
  <c r="K161"/>
  <c r="K160"/>
  <c r="L160" s="1"/>
  <c r="J154"/>
  <c r="K152"/>
  <c r="L152" s="1"/>
  <c r="K151"/>
  <c r="K150"/>
  <c r="L150" s="1"/>
  <c r="M150" s="1"/>
  <c r="N150" s="1"/>
  <c r="K149"/>
  <c r="M140"/>
  <c r="H50" i="12" s="1"/>
  <c r="H71" i="17" s="1"/>
  <c r="N138" i="8"/>
  <c r="L138"/>
  <c r="N132"/>
  <c r="L132"/>
  <c r="K249" l="1"/>
  <c r="J277" s="1"/>
  <c r="N140"/>
  <c r="I50" i="12" s="1"/>
  <c r="L140" i="8"/>
  <c r="L282" s="1"/>
  <c r="L213"/>
  <c r="M213" s="1"/>
  <c r="K154"/>
  <c r="J269" s="1"/>
  <c r="G50" i="12"/>
  <c r="G71" i="17" s="1"/>
  <c r="K282" i="8"/>
  <c r="M160"/>
  <c r="K168"/>
  <c r="L149"/>
  <c r="K271"/>
  <c r="J271" s="1"/>
  <c r="L200"/>
  <c r="L205"/>
  <c r="N282"/>
  <c r="M282"/>
  <c r="R13" i="10"/>
  <c r="I29" i="11"/>
  <c r="I73" i="17"/>
  <c r="I37" i="14"/>
  <c r="I50" i="11"/>
  <c r="I19" i="14"/>
  <c r="U142" i="10"/>
  <c r="U140"/>
  <c r="U133"/>
  <c r="U131"/>
  <c r="U118"/>
  <c r="U116"/>
  <c r="U113"/>
  <c r="U108"/>
  <c r="U106"/>
  <c r="U101"/>
  <c r="U99"/>
  <c r="U97"/>
  <c r="U92"/>
  <c r="U90"/>
  <c r="U81"/>
  <c r="U78"/>
  <c r="U71"/>
  <c r="U69"/>
  <c r="U67"/>
  <c r="U64"/>
  <c r="U62"/>
  <c r="U138"/>
  <c r="U136"/>
  <c r="U129"/>
  <c r="U127"/>
  <c r="U125"/>
  <c r="U123"/>
  <c r="U121"/>
  <c r="U119"/>
  <c r="U111"/>
  <c r="U109"/>
  <c r="U141"/>
  <c r="U139"/>
  <c r="U134"/>
  <c r="U132"/>
  <c r="U117"/>
  <c r="U114"/>
  <c r="U107"/>
  <c r="U105"/>
  <c r="U102"/>
  <c r="U100"/>
  <c r="U98"/>
  <c r="U91"/>
  <c r="U89"/>
  <c r="U82"/>
  <c r="U77"/>
  <c r="U72"/>
  <c r="U70"/>
  <c r="U68"/>
  <c r="U63"/>
  <c r="U61"/>
  <c r="U137"/>
  <c r="U135"/>
  <c r="T135" s="1"/>
  <c r="T13" s="1"/>
  <c r="U130"/>
  <c r="U128"/>
  <c r="U126"/>
  <c r="U124"/>
  <c r="U122"/>
  <c r="U120"/>
  <c r="U112"/>
  <c r="U110"/>
  <c r="U103"/>
  <c r="U96"/>
  <c r="U94"/>
  <c r="U87"/>
  <c r="U85"/>
  <c r="U83"/>
  <c r="U80"/>
  <c r="U75"/>
  <c r="U73"/>
  <c r="U66"/>
  <c r="U59"/>
  <c r="U57"/>
  <c r="U55"/>
  <c r="U53"/>
  <c r="U60"/>
  <c r="U58"/>
  <c r="U56"/>
  <c r="U54"/>
  <c r="U46"/>
  <c r="U44"/>
  <c r="U42"/>
  <c r="U40"/>
  <c r="U38"/>
  <c r="U36"/>
  <c r="U34"/>
  <c r="U32"/>
  <c r="U30"/>
  <c r="U28"/>
  <c r="U25"/>
  <c r="U23"/>
  <c r="U18"/>
  <c r="U16"/>
  <c r="AA9"/>
  <c r="V9"/>
  <c r="U104"/>
  <c r="U50"/>
  <c r="U26"/>
  <c r="U21"/>
  <c r="U19"/>
  <c r="U15"/>
  <c r="U17"/>
  <c r="U95"/>
  <c r="U93"/>
  <c r="U79"/>
  <c r="U76"/>
  <c r="U74"/>
  <c r="U51"/>
  <c r="U49"/>
  <c r="U48"/>
  <c r="U47"/>
  <c r="U45"/>
  <c r="U43"/>
  <c r="U41"/>
  <c r="U39"/>
  <c r="U37"/>
  <c r="U35"/>
  <c r="U33"/>
  <c r="U31"/>
  <c r="U29"/>
  <c r="U24"/>
  <c r="U88"/>
  <c r="U86"/>
  <c r="U84"/>
  <c r="U65"/>
  <c r="U52"/>
  <c r="U27"/>
  <c r="U22"/>
  <c r="U20"/>
  <c r="K207" i="8"/>
  <c r="P13" i="10"/>
  <c r="Z142"/>
  <c r="Z140"/>
  <c r="Z133"/>
  <c r="Z131"/>
  <c r="Z118"/>
  <c r="Z116"/>
  <c r="Z113"/>
  <c r="Z108"/>
  <c r="Z106"/>
  <c r="Z101"/>
  <c r="Z99"/>
  <c r="Z97"/>
  <c r="Z92"/>
  <c r="Z90"/>
  <c r="Z81"/>
  <c r="Z78"/>
  <c r="Z71"/>
  <c r="Z69"/>
  <c r="Z67"/>
  <c r="Z64"/>
  <c r="Z62"/>
  <c r="Z138"/>
  <c r="Z136"/>
  <c r="Z129"/>
  <c r="Z127"/>
  <c r="Z125"/>
  <c r="Z123"/>
  <c r="Z121"/>
  <c r="Z119"/>
  <c r="Z111"/>
  <c r="Z109"/>
  <c r="Z141"/>
  <c r="Z139"/>
  <c r="Z134"/>
  <c r="Z132"/>
  <c r="Z117"/>
  <c r="Z115"/>
  <c r="Z114"/>
  <c r="Z107"/>
  <c r="Z105"/>
  <c r="Z102"/>
  <c r="Z100"/>
  <c r="Z98"/>
  <c r="Z91"/>
  <c r="Z89"/>
  <c r="Z82"/>
  <c r="Z77"/>
  <c r="Z72"/>
  <c r="Z70"/>
  <c r="Z68"/>
  <c r="Z63"/>
  <c r="Z61"/>
  <c r="Z137"/>
  <c r="Z135"/>
  <c r="Z130"/>
  <c r="Z128"/>
  <c r="Z126"/>
  <c r="Z124"/>
  <c r="Z122"/>
  <c r="Z120"/>
  <c r="Z112"/>
  <c r="Z110"/>
  <c r="Z103"/>
  <c r="Z96"/>
  <c r="Z94"/>
  <c r="Z87"/>
  <c r="Z85"/>
  <c r="Z83"/>
  <c r="Z80"/>
  <c r="Z75"/>
  <c r="Z73"/>
  <c r="Z66"/>
  <c r="Z59"/>
  <c r="Z57"/>
  <c r="Z55"/>
  <c r="Z53"/>
  <c r="Z88"/>
  <c r="Z86"/>
  <c r="Z84"/>
  <c r="Z65"/>
  <c r="Z51"/>
  <c r="Z46"/>
  <c r="Z44"/>
  <c r="Z42"/>
  <c r="Z40"/>
  <c r="Z38"/>
  <c r="Z36"/>
  <c r="Z34"/>
  <c r="Z32"/>
  <c r="Z30"/>
  <c r="Z28"/>
  <c r="Z25"/>
  <c r="Z23"/>
  <c r="Z18"/>
  <c r="Z16"/>
  <c r="Z60"/>
  <c r="Z58"/>
  <c r="Z56"/>
  <c r="Z54"/>
  <c r="Z52"/>
  <c r="Z49"/>
  <c r="Z48"/>
  <c r="Z26"/>
  <c r="Z21"/>
  <c r="Z19"/>
  <c r="Z17"/>
  <c r="Z104"/>
  <c r="Z47"/>
  <c r="Z45"/>
  <c r="Z43"/>
  <c r="Z41"/>
  <c r="Z39"/>
  <c r="Z37"/>
  <c r="Z35"/>
  <c r="Z33"/>
  <c r="Z31"/>
  <c r="Z29"/>
  <c r="Z24"/>
  <c r="Z95"/>
  <c r="Z93"/>
  <c r="Z79"/>
  <c r="Z76"/>
  <c r="Z74"/>
  <c r="Z50"/>
  <c r="Z27"/>
  <c r="Z22"/>
  <c r="Z20"/>
  <c r="N190" i="8"/>
  <c r="S13" i="10"/>
  <c r="G58" i="11"/>
  <c r="H15" s="1"/>
  <c r="H58" s="1"/>
  <c r="I15" s="1"/>
  <c r="I58" s="1"/>
  <c r="J15" s="1"/>
  <c r="J58" s="1"/>
  <c r="K121" i="8"/>
  <c r="L121" s="1"/>
  <c r="N118"/>
  <c r="M118"/>
  <c r="L118"/>
  <c r="K118"/>
  <c r="N117"/>
  <c r="M117"/>
  <c r="L117"/>
  <c r="K117"/>
  <c r="E117"/>
  <c r="J118" s="1"/>
  <c r="N116"/>
  <c r="M116"/>
  <c r="L116"/>
  <c r="K116" s="1"/>
  <c r="N115"/>
  <c r="M115"/>
  <c r="L115"/>
  <c r="K115" s="1"/>
  <c r="E115"/>
  <c r="J116" s="1"/>
  <c r="E113"/>
  <c r="J113" s="1"/>
  <c r="E111"/>
  <c r="N112" s="1"/>
  <c r="E109"/>
  <c r="L110" s="1"/>
  <c r="E107"/>
  <c r="K101"/>
  <c r="K100"/>
  <c r="L100" s="1"/>
  <c r="N87"/>
  <c r="M87"/>
  <c r="L87"/>
  <c r="K87"/>
  <c r="J87"/>
  <c r="K85"/>
  <c r="L85" s="1"/>
  <c r="M85" s="1"/>
  <c r="N85" s="1"/>
  <c r="H84"/>
  <c r="F77"/>
  <c r="E77"/>
  <c r="M77" s="1"/>
  <c r="F76"/>
  <c r="E76"/>
  <c r="N76" s="1"/>
  <c r="F75"/>
  <c r="E75"/>
  <c r="F73"/>
  <c r="E73"/>
  <c r="M73" s="1"/>
  <c r="F72"/>
  <c r="E72"/>
  <c r="M72" s="1"/>
  <c r="E71"/>
  <c r="F66"/>
  <c r="E66"/>
  <c r="J66" s="1"/>
  <c r="F65"/>
  <c r="E65"/>
  <c r="L65" s="1"/>
  <c r="K65" s="1"/>
  <c r="F64"/>
  <c r="E64"/>
  <c r="M64" s="1"/>
  <c r="F62"/>
  <c r="E62"/>
  <c r="L62" s="1"/>
  <c r="K62" s="1"/>
  <c r="F61"/>
  <c r="E61"/>
  <c r="M61" s="1"/>
  <c r="F60"/>
  <c r="E60"/>
  <c r="L60" s="1"/>
  <c r="J272" l="1"/>
  <c r="N160"/>
  <c r="N271" s="1"/>
  <c r="L271"/>
  <c r="N213"/>
  <c r="M71"/>
  <c r="J71"/>
  <c r="M75"/>
  <c r="J75"/>
  <c r="J60"/>
  <c r="L61"/>
  <c r="K61" s="1"/>
  <c r="M76"/>
  <c r="N62"/>
  <c r="J72"/>
  <c r="L77"/>
  <c r="K77" s="1"/>
  <c r="J62"/>
  <c r="L64"/>
  <c r="K64" s="1"/>
  <c r="J77"/>
  <c r="L72"/>
  <c r="K72" s="1"/>
  <c r="N65"/>
  <c r="L75"/>
  <c r="K75" s="1"/>
  <c r="K112"/>
  <c r="J65"/>
  <c r="L66"/>
  <c r="K66" s="1"/>
  <c r="M110"/>
  <c r="J112"/>
  <c r="N60"/>
  <c r="N72"/>
  <c r="N109"/>
  <c r="L111"/>
  <c r="N75"/>
  <c r="N77"/>
  <c r="J109"/>
  <c r="K111"/>
  <c r="K60"/>
  <c r="H29" i="11"/>
  <c r="H73" i="17"/>
  <c r="H37" i="14"/>
  <c r="M60" i="8"/>
  <c r="J61"/>
  <c r="M62"/>
  <c r="J64"/>
  <c r="M65"/>
  <c r="L71"/>
  <c r="L73"/>
  <c r="K73" s="1"/>
  <c r="L76"/>
  <c r="K76" s="1"/>
  <c r="K108"/>
  <c r="N61"/>
  <c r="N64"/>
  <c r="N66"/>
  <c r="J73"/>
  <c r="J76"/>
  <c r="K107"/>
  <c r="J108"/>
  <c r="L109"/>
  <c r="K110"/>
  <c r="M111"/>
  <c r="M112"/>
  <c r="L112" s="1"/>
  <c r="J117"/>
  <c r="M190"/>
  <c r="I24" i="12"/>
  <c r="N275" i="8"/>
  <c r="M66"/>
  <c r="N71"/>
  <c r="N73"/>
  <c r="J107"/>
  <c r="K109"/>
  <c r="J110"/>
  <c r="N110"/>
  <c r="J114"/>
  <c r="J115"/>
  <c r="J207"/>
  <c r="F25" i="12"/>
  <c r="AA137" i="10"/>
  <c r="AA135"/>
  <c r="AA130"/>
  <c r="AA128"/>
  <c r="AA126"/>
  <c r="AA124"/>
  <c r="AA122"/>
  <c r="AA120"/>
  <c r="AA112"/>
  <c r="AA110"/>
  <c r="AA103"/>
  <c r="AA96"/>
  <c r="AA94"/>
  <c r="AA87"/>
  <c r="AA85"/>
  <c r="AA83"/>
  <c r="AA80"/>
  <c r="AA75"/>
  <c r="AA73"/>
  <c r="AA66"/>
  <c r="AA59"/>
  <c r="AA57"/>
  <c r="AA55"/>
  <c r="AA53"/>
  <c r="AA51"/>
  <c r="AA49"/>
  <c r="AA47"/>
  <c r="AA142"/>
  <c r="AA140"/>
  <c r="AA133"/>
  <c r="AA131"/>
  <c r="AA118"/>
  <c r="AA116"/>
  <c r="AA113"/>
  <c r="AA108"/>
  <c r="AA106"/>
  <c r="AA138"/>
  <c r="AA136"/>
  <c r="AA129"/>
  <c r="AA127"/>
  <c r="AA125"/>
  <c r="AA123"/>
  <c r="AA121"/>
  <c r="AA119"/>
  <c r="AA111"/>
  <c r="AA109"/>
  <c r="AA104"/>
  <c r="AA95"/>
  <c r="AA93"/>
  <c r="AA88"/>
  <c r="AA86"/>
  <c r="AA84"/>
  <c r="AA79"/>
  <c r="AA76"/>
  <c r="AA74"/>
  <c r="AA65"/>
  <c r="AA60"/>
  <c r="AA58"/>
  <c r="AA56"/>
  <c r="AA54"/>
  <c r="AA52"/>
  <c r="AA50"/>
  <c r="AA141"/>
  <c r="AA139"/>
  <c r="AA134"/>
  <c r="AA132"/>
  <c r="AA117"/>
  <c r="AA115"/>
  <c r="AA114"/>
  <c r="AA107"/>
  <c r="AA105"/>
  <c r="AA102"/>
  <c r="AA100"/>
  <c r="AA98"/>
  <c r="AA91"/>
  <c r="AA89"/>
  <c r="AA82"/>
  <c r="AA77"/>
  <c r="AA72"/>
  <c r="AA70"/>
  <c r="AA68"/>
  <c r="AA63"/>
  <c r="AA61"/>
  <c r="AA67"/>
  <c r="AA62"/>
  <c r="AA27"/>
  <c r="AA22"/>
  <c r="AA20"/>
  <c r="AA101"/>
  <c r="AA46"/>
  <c r="AA44"/>
  <c r="AA42"/>
  <c r="AA40"/>
  <c r="AA38"/>
  <c r="AA36"/>
  <c r="AA34"/>
  <c r="AA32"/>
  <c r="AA30"/>
  <c r="AA28"/>
  <c r="AA25"/>
  <c r="AA23"/>
  <c r="AA18"/>
  <c r="AA16"/>
  <c r="AA99"/>
  <c r="AA92"/>
  <c r="AA78"/>
  <c r="AA71"/>
  <c r="AA48"/>
  <c r="AA26"/>
  <c r="AA21"/>
  <c r="AA97"/>
  <c r="AA90"/>
  <c r="AA81"/>
  <c r="AA69"/>
  <c r="AA64"/>
  <c r="AA45"/>
  <c r="AA43"/>
  <c r="AA41"/>
  <c r="AA39"/>
  <c r="AA37"/>
  <c r="AA35"/>
  <c r="AA33"/>
  <c r="AA31"/>
  <c r="AA29"/>
  <c r="AA24"/>
  <c r="AA17"/>
  <c r="AA15"/>
  <c r="AA19"/>
  <c r="V137"/>
  <c r="V135"/>
  <c r="V130"/>
  <c r="V128"/>
  <c r="V126"/>
  <c r="V124"/>
  <c r="V122"/>
  <c r="V120"/>
  <c r="V112"/>
  <c r="V110"/>
  <c r="V103"/>
  <c r="V96"/>
  <c r="V94"/>
  <c r="V87"/>
  <c r="V85"/>
  <c r="V83"/>
  <c r="V80"/>
  <c r="V75"/>
  <c r="V73"/>
  <c r="V66"/>
  <c r="V59"/>
  <c r="V57"/>
  <c r="V55"/>
  <c r="V53"/>
  <c r="V51"/>
  <c r="V49"/>
  <c r="V142"/>
  <c r="V140"/>
  <c r="V133"/>
  <c r="V131"/>
  <c r="V118"/>
  <c r="V116"/>
  <c r="V113"/>
  <c r="V108"/>
  <c r="V106"/>
  <c r="V138"/>
  <c r="V136"/>
  <c r="V129"/>
  <c r="V127"/>
  <c r="V125"/>
  <c r="V123"/>
  <c r="V121"/>
  <c r="V119"/>
  <c r="V111"/>
  <c r="V109"/>
  <c r="V104"/>
  <c r="V95"/>
  <c r="V93"/>
  <c r="V88"/>
  <c r="V86"/>
  <c r="V84"/>
  <c r="V79"/>
  <c r="V76"/>
  <c r="V74"/>
  <c r="V65"/>
  <c r="V60"/>
  <c r="V58"/>
  <c r="V56"/>
  <c r="V54"/>
  <c r="V52"/>
  <c r="V50"/>
  <c r="V141"/>
  <c r="V139"/>
  <c r="V134"/>
  <c r="V132"/>
  <c r="V117"/>
  <c r="V115"/>
  <c r="U115" s="1"/>
  <c r="U13" s="1"/>
  <c r="V114"/>
  <c r="V107"/>
  <c r="V105"/>
  <c r="V102"/>
  <c r="V100"/>
  <c r="V98"/>
  <c r="V91"/>
  <c r="V89"/>
  <c r="V82"/>
  <c r="V77"/>
  <c r="V72"/>
  <c r="V70"/>
  <c r="V68"/>
  <c r="V63"/>
  <c r="V61"/>
  <c r="V101"/>
  <c r="V27"/>
  <c r="V22"/>
  <c r="V20"/>
  <c r="V19"/>
  <c r="V99"/>
  <c r="V92"/>
  <c r="V78"/>
  <c r="V71"/>
  <c r="V46"/>
  <c r="V44"/>
  <c r="V42"/>
  <c r="V40"/>
  <c r="V38"/>
  <c r="V36"/>
  <c r="V34"/>
  <c r="V32"/>
  <c r="V30"/>
  <c r="V28"/>
  <c r="V25"/>
  <c r="V23"/>
  <c r="V18"/>
  <c r="V16"/>
  <c r="V97"/>
  <c r="V90"/>
  <c r="V81"/>
  <c r="V69"/>
  <c r="V64"/>
  <c r="V26"/>
  <c r="V21"/>
  <c r="V67"/>
  <c r="V62"/>
  <c r="V48"/>
  <c r="V47"/>
  <c r="V45"/>
  <c r="V43"/>
  <c r="V41"/>
  <c r="V39"/>
  <c r="V37"/>
  <c r="V35"/>
  <c r="V33"/>
  <c r="V31"/>
  <c r="V29"/>
  <c r="V24"/>
  <c r="V17"/>
  <c r="AB9"/>
  <c r="V15"/>
  <c r="H50" i="11"/>
  <c r="H19" i="14"/>
  <c r="M109" i="8"/>
  <c r="J111"/>
  <c r="N111"/>
  <c r="F49"/>
  <c r="E49"/>
  <c r="M49" s="1"/>
  <c r="F48"/>
  <c r="E48"/>
  <c r="K48" s="1"/>
  <c r="F47"/>
  <c r="E47"/>
  <c r="F45"/>
  <c r="E45"/>
  <c r="L45" s="1"/>
  <c r="K45" s="1"/>
  <c r="F44"/>
  <c r="E44"/>
  <c r="L44" s="1"/>
  <c r="F43"/>
  <c r="E43"/>
  <c r="N35"/>
  <c r="M35"/>
  <c r="L35"/>
  <c r="K35"/>
  <c r="J35"/>
  <c r="F35"/>
  <c r="E35"/>
  <c r="N34"/>
  <c r="M34"/>
  <c r="L34"/>
  <c r="K34"/>
  <c r="J34"/>
  <c r="F34"/>
  <c r="E34"/>
  <c r="N33"/>
  <c r="M33"/>
  <c r="L33"/>
  <c r="K33"/>
  <c r="J33"/>
  <c r="F33"/>
  <c r="E33"/>
  <c r="N31"/>
  <c r="M31"/>
  <c r="L31"/>
  <c r="K31"/>
  <c r="J31"/>
  <c r="F31"/>
  <c r="E31"/>
  <c r="N30"/>
  <c r="M30"/>
  <c r="L30"/>
  <c r="K30"/>
  <c r="J30"/>
  <c r="F30"/>
  <c r="E30"/>
  <c r="N29"/>
  <c r="M29"/>
  <c r="L29"/>
  <c r="K29"/>
  <c r="J29"/>
  <c r="F29"/>
  <c r="E29"/>
  <c r="F23"/>
  <c r="E23"/>
  <c r="D23"/>
  <c r="F22"/>
  <c r="E22"/>
  <c r="D22"/>
  <c r="F21"/>
  <c r="E21"/>
  <c r="D21"/>
  <c r="F19"/>
  <c r="E19"/>
  <c r="D19"/>
  <c r="F18"/>
  <c r="E18"/>
  <c r="D18"/>
  <c r="F17"/>
  <c r="E17"/>
  <c r="D17"/>
  <c r="N9"/>
  <c r="M9"/>
  <c r="L9"/>
  <c r="K9"/>
  <c r="J9"/>
  <c r="N8"/>
  <c r="M8"/>
  <c r="M94" s="1"/>
  <c r="L8"/>
  <c r="L94" s="1"/>
  <c r="K8"/>
  <c r="J8"/>
  <c r="J94" s="1"/>
  <c r="C5"/>
  <c r="M79" l="1"/>
  <c r="M271"/>
  <c r="K68"/>
  <c r="N79"/>
  <c r="M44"/>
  <c r="L68"/>
  <c r="K37"/>
  <c r="J44"/>
  <c r="J37"/>
  <c r="J68"/>
  <c r="N37"/>
  <c r="N49"/>
  <c r="J49"/>
  <c r="V13" i="10"/>
  <c r="M37" i="8"/>
  <c r="L37"/>
  <c r="N44"/>
  <c r="N68"/>
  <c r="J276"/>
  <c r="L190"/>
  <c r="H24" i="12"/>
  <c r="M275" i="8"/>
  <c r="K71"/>
  <c r="K79" s="1"/>
  <c r="J79" s="1"/>
  <c r="L79"/>
  <c r="G29" i="11"/>
  <c r="G73" i="17"/>
  <c r="G37" i="14"/>
  <c r="K44" i="8"/>
  <c r="N45"/>
  <c r="J48"/>
  <c r="N48"/>
  <c r="L49"/>
  <c r="K49" s="1"/>
  <c r="K94"/>
  <c r="K178"/>
  <c r="J178" s="1"/>
  <c r="AB141" i="10"/>
  <c r="AB139"/>
  <c r="AB134"/>
  <c r="AB132"/>
  <c r="AB117"/>
  <c r="AB115"/>
  <c r="AB114"/>
  <c r="AB107"/>
  <c r="AB105"/>
  <c r="AB102"/>
  <c r="AB100"/>
  <c r="AB98"/>
  <c r="AB91"/>
  <c r="AB89"/>
  <c r="AB82"/>
  <c r="AB77"/>
  <c r="AB72"/>
  <c r="AB70"/>
  <c r="AB68"/>
  <c r="AB63"/>
  <c r="AB61"/>
  <c r="AB137"/>
  <c r="AB135"/>
  <c r="AB130"/>
  <c r="AB128"/>
  <c r="AB126"/>
  <c r="AB124"/>
  <c r="AB122"/>
  <c r="AB120"/>
  <c r="AB112"/>
  <c r="AB110"/>
  <c r="AB142"/>
  <c r="AB140"/>
  <c r="AB133"/>
  <c r="AB131"/>
  <c r="AB118"/>
  <c r="AB116"/>
  <c r="AB113"/>
  <c r="AB108"/>
  <c r="AB106"/>
  <c r="AB101"/>
  <c r="AB99"/>
  <c r="AB97"/>
  <c r="AB92"/>
  <c r="AB90"/>
  <c r="AB81"/>
  <c r="AB78"/>
  <c r="AB71"/>
  <c r="AB69"/>
  <c r="AB67"/>
  <c r="AB64"/>
  <c r="AB62"/>
  <c r="AB138"/>
  <c r="AB136"/>
  <c r="AB129"/>
  <c r="AB127"/>
  <c r="AB125"/>
  <c r="AB123"/>
  <c r="AB121"/>
  <c r="AB119"/>
  <c r="AB111"/>
  <c r="AB109"/>
  <c r="AB104"/>
  <c r="AB95"/>
  <c r="AB93"/>
  <c r="AB88"/>
  <c r="AB86"/>
  <c r="AB84"/>
  <c r="AB79"/>
  <c r="AB76"/>
  <c r="AB74"/>
  <c r="AB65"/>
  <c r="AB60"/>
  <c r="AB58"/>
  <c r="AB56"/>
  <c r="AB54"/>
  <c r="AB52"/>
  <c r="AB103"/>
  <c r="AB50"/>
  <c r="AB45"/>
  <c r="AB43"/>
  <c r="AB41"/>
  <c r="AB39"/>
  <c r="AB37"/>
  <c r="AB35"/>
  <c r="AB33"/>
  <c r="AB31"/>
  <c r="AB29"/>
  <c r="AB24"/>
  <c r="AB17"/>
  <c r="AB15"/>
  <c r="AB18"/>
  <c r="AB96"/>
  <c r="AB94"/>
  <c r="AB80"/>
  <c r="AB75"/>
  <c r="AB73"/>
  <c r="AB51"/>
  <c r="AB27"/>
  <c r="AB22"/>
  <c r="AB20"/>
  <c r="AB87"/>
  <c r="AB85"/>
  <c r="AB83"/>
  <c r="AB66"/>
  <c r="AB49"/>
  <c r="AB46"/>
  <c r="AB44"/>
  <c r="AB42"/>
  <c r="AB40"/>
  <c r="AB38"/>
  <c r="AB36"/>
  <c r="AB34"/>
  <c r="AB32"/>
  <c r="AB30"/>
  <c r="AB28"/>
  <c r="AB25"/>
  <c r="AB23"/>
  <c r="AB59"/>
  <c r="AB57"/>
  <c r="AB55"/>
  <c r="AB53"/>
  <c r="AB48"/>
  <c r="AB47"/>
  <c r="AB26"/>
  <c r="AB21"/>
  <c r="AB19"/>
  <c r="AB16"/>
  <c r="M45" i="8"/>
  <c r="M48"/>
  <c r="N94"/>
  <c r="N178"/>
  <c r="M178" s="1"/>
  <c r="L178" s="1"/>
  <c r="Z15" i="10"/>
  <c r="AA13"/>
  <c r="L48" i="8"/>
  <c r="G50" i="11"/>
  <c r="G19" i="14"/>
  <c r="J45" i="8"/>
  <c r="M68"/>
  <c r="Y15" i="10" l="1"/>
  <c r="Z13"/>
  <c r="K190" i="8"/>
  <c r="G24" i="12"/>
  <c r="G30" i="17" s="1"/>
  <c r="L275" i="8"/>
  <c r="AB13" i="10"/>
  <c r="F73" i="17"/>
  <c r="I71" s="1"/>
  <c r="F37" i="14"/>
  <c r="F50" i="11"/>
  <c r="F19" i="14"/>
  <c r="X15" i="10" l="1"/>
  <c r="X13" s="1"/>
  <c r="Y13"/>
  <c r="I36" i="14"/>
  <c r="I40" s="1"/>
  <c r="H40" s="1"/>
  <c r="G40" s="1"/>
  <c r="F40"/>
  <c r="J190" i="8"/>
  <c r="F24" i="12"/>
  <c r="K275" i="8"/>
  <c r="K253"/>
  <c r="F143" i="15" s="1"/>
  <c r="J275" i="8" l="1"/>
  <c r="J253"/>
  <c r="F30" i="17"/>
  <c r="H188" i="15"/>
  <c r="I188"/>
  <c r="F188"/>
  <c r="G188"/>
  <c r="J278" i="8" l="1"/>
  <c r="L127" i="7"/>
  <c r="L189" s="1"/>
  <c r="K127"/>
  <c r="K189" s="1"/>
  <c r="K251" s="1"/>
  <c r="I127"/>
  <c r="H127"/>
  <c r="G127"/>
  <c r="G189" s="1"/>
  <c r="F127"/>
  <c r="E127"/>
  <c r="E189" s="1"/>
  <c r="D127"/>
  <c r="L126"/>
  <c r="L188" s="1"/>
  <c r="L250" s="1"/>
  <c r="K126"/>
  <c r="K188" s="1"/>
  <c r="K250" s="1"/>
  <c r="I126"/>
  <c r="H126"/>
  <c r="G126"/>
  <c r="G188" s="1"/>
  <c r="F126"/>
  <c r="E126"/>
  <c r="E188" s="1"/>
  <c r="D126"/>
  <c r="L125"/>
  <c r="L187" s="1"/>
  <c r="K125"/>
  <c r="K187" s="1"/>
  <c r="K249" s="1"/>
  <c r="K311" s="1"/>
  <c r="I125"/>
  <c r="H125"/>
  <c r="G125"/>
  <c r="G187" s="1"/>
  <c r="F125"/>
  <c r="E125"/>
  <c r="E187" s="1"/>
  <c r="D125"/>
  <c r="L124"/>
  <c r="L186" s="1"/>
  <c r="K124"/>
  <c r="K186" s="1"/>
  <c r="K248" s="1"/>
  <c r="I124"/>
  <c r="H124"/>
  <c r="G124"/>
  <c r="G186" s="1"/>
  <c r="F124"/>
  <c r="E124"/>
  <c r="E186" s="1"/>
  <c r="D124"/>
  <c r="L123"/>
  <c r="L185" s="1"/>
  <c r="K123"/>
  <c r="I123"/>
  <c r="H123"/>
  <c r="G123"/>
  <c r="G185" s="1"/>
  <c r="F123"/>
  <c r="E123"/>
  <c r="E185" s="1"/>
  <c r="D123"/>
  <c r="L122"/>
  <c r="L184" s="1"/>
  <c r="K122"/>
  <c r="K184" s="1"/>
  <c r="K246" s="1"/>
  <c r="K308" s="1"/>
  <c r="I122"/>
  <c r="H122"/>
  <c r="G122"/>
  <c r="G184" s="1"/>
  <c r="F122"/>
  <c r="E122"/>
  <c r="E184" s="1"/>
  <c r="D122"/>
  <c r="L121"/>
  <c r="L183" s="1"/>
  <c r="K121"/>
  <c r="I121"/>
  <c r="H121"/>
  <c r="G121"/>
  <c r="G183" s="1"/>
  <c r="F121"/>
  <c r="E121"/>
  <c r="E183" s="1"/>
  <c r="D121"/>
  <c r="L120"/>
  <c r="L182" s="1"/>
  <c r="K120"/>
  <c r="M120" s="1"/>
  <c r="I120"/>
  <c r="H120"/>
  <c r="G120"/>
  <c r="G182" s="1"/>
  <c r="F120"/>
  <c r="E120"/>
  <c r="E182" s="1"/>
  <c r="D120"/>
  <c r="L119"/>
  <c r="L181" s="1"/>
  <c r="K119"/>
  <c r="K181" s="1"/>
  <c r="K243" s="1"/>
  <c r="I119"/>
  <c r="H119"/>
  <c r="G119"/>
  <c r="G181" s="1"/>
  <c r="F119"/>
  <c r="E119"/>
  <c r="E181" s="1"/>
  <c r="D119"/>
  <c r="L118"/>
  <c r="L180" s="1"/>
  <c r="K118"/>
  <c r="K180" s="1"/>
  <c r="I118"/>
  <c r="H118"/>
  <c r="G118"/>
  <c r="G180" s="1"/>
  <c r="F118"/>
  <c r="E118"/>
  <c r="E180" s="1"/>
  <c r="D118"/>
  <c r="L117"/>
  <c r="L179" s="1"/>
  <c r="K117"/>
  <c r="K179" s="1"/>
  <c r="I117"/>
  <c r="O117" s="1"/>
  <c r="H117"/>
  <c r="G117"/>
  <c r="G179" s="1"/>
  <c r="F117"/>
  <c r="E117"/>
  <c r="E179" s="1"/>
  <c r="D117"/>
  <c r="S116"/>
  <c r="L116"/>
  <c r="L178" s="1"/>
  <c r="K116"/>
  <c r="K178" s="1"/>
  <c r="K240" s="1"/>
  <c r="K302" s="1"/>
  <c r="I116"/>
  <c r="O116" s="1"/>
  <c r="H116"/>
  <c r="G116"/>
  <c r="G178" s="1"/>
  <c r="F116"/>
  <c r="E116"/>
  <c r="E178" s="1"/>
  <c r="D116"/>
  <c r="L115"/>
  <c r="L177" s="1"/>
  <c r="K115"/>
  <c r="K177" s="1"/>
  <c r="K239" s="1"/>
  <c r="K301" s="1"/>
  <c r="I115"/>
  <c r="O115" s="1"/>
  <c r="H115"/>
  <c r="G115"/>
  <c r="G177" s="1"/>
  <c r="F115"/>
  <c r="E115"/>
  <c r="E177" s="1"/>
  <c r="D115"/>
  <c r="L114"/>
  <c r="L176" s="1"/>
  <c r="L238" s="1"/>
  <c r="L300" s="1"/>
  <c r="K114"/>
  <c r="K176" s="1"/>
  <c r="K238" s="1"/>
  <c r="K300" s="1"/>
  <c r="I114"/>
  <c r="H114"/>
  <c r="G114"/>
  <c r="G176" s="1"/>
  <c r="F114"/>
  <c r="E114"/>
  <c r="E176" s="1"/>
  <c r="D114"/>
  <c r="L113"/>
  <c r="L175" s="1"/>
  <c r="L237" s="1"/>
  <c r="K113"/>
  <c r="K175" s="1"/>
  <c r="K237" s="1"/>
  <c r="K299" s="1"/>
  <c r="I113"/>
  <c r="H113"/>
  <c r="G113"/>
  <c r="G175" s="1"/>
  <c r="F113"/>
  <c r="E113"/>
  <c r="E175" s="1"/>
  <c r="D113"/>
  <c r="L112"/>
  <c r="L174" s="1"/>
  <c r="K112"/>
  <c r="K174" s="1"/>
  <c r="K236" s="1"/>
  <c r="K298" s="1"/>
  <c r="I112"/>
  <c r="O112" s="1"/>
  <c r="H112"/>
  <c r="G112"/>
  <c r="G174" s="1"/>
  <c r="F112"/>
  <c r="E112"/>
  <c r="E174" s="1"/>
  <c r="D112"/>
  <c r="L111"/>
  <c r="L173" s="1"/>
  <c r="K111"/>
  <c r="I111"/>
  <c r="H111"/>
  <c r="G111"/>
  <c r="G173" s="1"/>
  <c r="F111"/>
  <c r="E111"/>
  <c r="E173" s="1"/>
  <c r="D111"/>
  <c r="L110"/>
  <c r="L172" s="1"/>
  <c r="K110"/>
  <c r="K172" s="1"/>
  <c r="K234" s="1"/>
  <c r="K296" s="1"/>
  <c r="I110"/>
  <c r="H110"/>
  <c r="G110"/>
  <c r="G172" s="1"/>
  <c r="F110"/>
  <c r="E110"/>
  <c r="E172" s="1"/>
  <c r="D110"/>
  <c r="L109"/>
  <c r="L171" s="1"/>
  <c r="K109"/>
  <c r="I109"/>
  <c r="I171" s="1"/>
  <c r="H109"/>
  <c r="G109"/>
  <c r="G171" s="1"/>
  <c r="F109"/>
  <c r="E109"/>
  <c r="E171" s="1"/>
  <c r="D109"/>
  <c r="L108"/>
  <c r="L170" s="1"/>
  <c r="L232" s="1"/>
  <c r="K108"/>
  <c r="K170" s="1"/>
  <c r="K232" s="1"/>
  <c r="J108"/>
  <c r="I108"/>
  <c r="H108"/>
  <c r="G108"/>
  <c r="G170" s="1"/>
  <c r="F108"/>
  <c r="E108"/>
  <c r="E170" s="1"/>
  <c r="D108"/>
  <c r="L107"/>
  <c r="L169" s="1"/>
  <c r="K107"/>
  <c r="K169" s="1"/>
  <c r="I107"/>
  <c r="I169" s="1"/>
  <c r="H107"/>
  <c r="G107"/>
  <c r="G169" s="1"/>
  <c r="F107"/>
  <c r="E107"/>
  <c r="E169" s="1"/>
  <c r="D107"/>
  <c r="L106"/>
  <c r="L168" s="1"/>
  <c r="K106"/>
  <c r="K168" s="1"/>
  <c r="K230" s="1"/>
  <c r="K292" s="1"/>
  <c r="I106"/>
  <c r="O106" s="1"/>
  <c r="H106"/>
  <c r="G106"/>
  <c r="G168" s="1"/>
  <c r="F106"/>
  <c r="E106"/>
  <c r="E168" s="1"/>
  <c r="D106"/>
  <c r="L105"/>
  <c r="L167" s="1"/>
  <c r="K105"/>
  <c r="K167" s="1"/>
  <c r="K229" s="1"/>
  <c r="K291" s="1"/>
  <c r="I105"/>
  <c r="H105"/>
  <c r="G105"/>
  <c r="G167" s="1"/>
  <c r="F105"/>
  <c r="E105"/>
  <c r="E167" s="1"/>
  <c r="D105"/>
  <c r="L104"/>
  <c r="L166" s="1"/>
  <c r="L228" s="1"/>
  <c r="K104"/>
  <c r="K166" s="1"/>
  <c r="I104"/>
  <c r="I166" s="1"/>
  <c r="H104"/>
  <c r="G104"/>
  <c r="G166" s="1"/>
  <c r="F104"/>
  <c r="E104"/>
  <c r="E166" s="1"/>
  <c r="D104"/>
  <c r="L103"/>
  <c r="L165" s="1"/>
  <c r="K103"/>
  <c r="I103"/>
  <c r="I165" s="1"/>
  <c r="H103"/>
  <c r="G103"/>
  <c r="G165" s="1"/>
  <c r="F103"/>
  <c r="E103"/>
  <c r="E165" s="1"/>
  <c r="D103"/>
  <c r="L102"/>
  <c r="L164" s="1"/>
  <c r="K102"/>
  <c r="K164" s="1"/>
  <c r="I102"/>
  <c r="O102" s="1"/>
  <c r="H102"/>
  <c r="G102"/>
  <c r="G164" s="1"/>
  <c r="F102"/>
  <c r="E102"/>
  <c r="E164" s="1"/>
  <c r="D102"/>
  <c r="L101"/>
  <c r="L163" s="1"/>
  <c r="K101"/>
  <c r="I101"/>
  <c r="H101"/>
  <c r="G101"/>
  <c r="G163" s="1"/>
  <c r="F101"/>
  <c r="E101"/>
  <c r="E163" s="1"/>
  <c r="D101"/>
  <c r="L100"/>
  <c r="L162" s="1"/>
  <c r="K100"/>
  <c r="I100"/>
  <c r="H100"/>
  <c r="G100"/>
  <c r="G162" s="1"/>
  <c r="F100"/>
  <c r="E100"/>
  <c r="E162" s="1"/>
  <c r="D100"/>
  <c r="L99"/>
  <c r="L161" s="1"/>
  <c r="K99"/>
  <c r="I99"/>
  <c r="H99"/>
  <c r="G99"/>
  <c r="G161" s="1"/>
  <c r="F99"/>
  <c r="E99"/>
  <c r="E161" s="1"/>
  <c r="D99"/>
  <c r="S98"/>
  <c r="L98"/>
  <c r="L160" s="1"/>
  <c r="L222" s="1"/>
  <c r="K98"/>
  <c r="K160" s="1"/>
  <c r="K222" s="1"/>
  <c r="I98"/>
  <c r="H98"/>
  <c r="G98"/>
  <c r="G160" s="1"/>
  <c r="F98"/>
  <c r="E98"/>
  <c r="E160" s="1"/>
  <c r="D98"/>
  <c r="L97"/>
  <c r="L159" s="1"/>
  <c r="K97"/>
  <c r="I97"/>
  <c r="H97"/>
  <c r="G97"/>
  <c r="G159" s="1"/>
  <c r="F97"/>
  <c r="E97"/>
  <c r="E159" s="1"/>
  <c r="D97"/>
  <c r="L96"/>
  <c r="L158" s="1"/>
  <c r="K96"/>
  <c r="K158" s="1"/>
  <c r="K220" s="1"/>
  <c r="K282" s="1"/>
  <c r="I96"/>
  <c r="H96"/>
  <c r="G96"/>
  <c r="G158" s="1"/>
  <c r="F96"/>
  <c r="E96"/>
  <c r="E158" s="1"/>
  <c r="D96"/>
  <c r="L95"/>
  <c r="L157" s="1"/>
  <c r="K95"/>
  <c r="K157" s="1"/>
  <c r="K219" s="1"/>
  <c r="I95"/>
  <c r="H95"/>
  <c r="G95"/>
  <c r="G157" s="1"/>
  <c r="F95"/>
  <c r="E95"/>
  <c r="E157" s="1"/>
  <c r="D95"/>
  <c r="L94"/>
  <c r="L156" s="1"/>
  <c r="K94"/>
  <c r="K156" s="1"/>
  <c r="I94"/>
  <c r="H94"/>
  <c r="G94"/>
  <c r="G156" s="1"/>
  <c r="F94"/>
  <c r="E94"/>
  <c r="E156" s="1"/>
  <c r="D94"/>
  <c r="S93"/>
  <c r="L93"/>
  <c r="L155" s="1"/>
  <c r="K93"/>
  <c r="K155" s="1"/>
  <c r="K217" s="1"/>
  <c r="K279" s="1"/>
  <c r="I93"/>
  <c r="H93"/>
  <c r="G93"/>
  <c r="G155" s="1"/>
  <c r="F93"/>
  <c r="E93"/>
  <c r="E155" s="1"/>
  <c r="D93"/>
  <c r="L92"/>
  <c r="L154" s="1"/>
  <c r="L216" s="1"/>
  <c r="L278" s="1"/>
  <c r="K92"/>
  <c r="K154" s="1"/>
  <c r="I92"/>
  <c r="I154" s="1"/>
  <c r="H92"/>
  <c r="G92"/>
  <c r="G154" s="1"/>
  <c r="F92"/>
  <c r="E92"/>
  <c r="E154" s="1"/>
  <c r="D92"/>
  <c r="L91"/>
  <c r="L153" s="1"/>
  <c r="L215" s="1"/>
  <c r="K91"/>
  <c r="K153" s="1"/>
  <c r="K215" s="1"/>
  <c r="I91"/>
  <c r="H91"/>
  <c r="G91"/>
  <c r="G153" s="1"/>
  <c r="F91"/>
  <c r="E91"/>
  <c r="E153" s="1"/>
  <c r="D91"/>
  <c r="L90"/>
  <c r="L152" s="1"/>
  <c r="K90"/>
  <c r="K152" s="1"/>
  <c r="I90"/>
  <c r="H90"/>
  <c r="G90"/>
  <c r="G152" s="1"/>
  <c r="F90"/>
  <c r="E90"/>
  <c r="E152" s="1"/>
  <c r="D90"/>
  <c r="L89"/>
  <c r="L151" s="1"/>
  <c r="K89"/>
  <c r="I89"/>
  <c r="H89"/>
  <c r="G89"/>
  <c r="G151" s="1"/>
  <c r="F89"/>
  <c r="E89"/>
  <c r="E151" s="1"/>
  <c r="D89"/>
  <c r="L88"/>
  <c r="L150" s="1"/>
  <c r="K88"/>
  <c r="K150" s="1"/>
  <c r="I88"/>
  <c r="I150" s="1"/>
  <c r="H88"/>
  <c r="G88"/>
  <c r="G150" s="1"/>
  <c r="F88"/>
  <c r="E88"/>
  <c r="E150" s="1"/>
  <c r="D88"/>
  <c r="L87"/>
  <c r="L149" s="1"/>
  <c r="K87"/>
  <c r="I87"/>
  <c r="H87"/>
  <c r="G87"/>
  <c r="G149" s="1"/>
  <c r="F87"/>
  <c r="E87"/>
  <c r="E149" s="1"/>
  <c r="D87"/>
  <c r="L86"/>
  <c r="L148" s="1"/>
  <c r="L210" s="1"/>
  <c r="K86"/>
  <c r="K148" s="1"/>
  <c r="I86"/>
  <c r="I148" s="1"/>
  <c r="H86"/>
  <c r="G86"/>
  <c r="G148" s="1"/>
  <c r="F86"/>
  <c r="E86"/>
  <c r="E148" s="1"/>
  <c r="D86"/>
  <c r="L85"/>
  <c r="L147" s="1"/>
  <c r="K85"/>
  <c r="I85"/>
  <c r="H85"/>
  <c r="G85"/>
  <c r="G147" s="1"/>
  <c r="F85"/>
  <c r="E85"/>
  <c r="P85" s="1"/>
  <c r="O85" s="1"/>
  <c r="D85"/>
  <c r="L84"/>
  <c r="L146" s="1"/>
  <c r="K84"/>
  <c r="I84"/>
  <c r="H84"/>
  <c r="G84"/>
  <c r="G146" s="1"/>
  <c r="F84"/>
  <c r="E84"/>
  <c r="E146" s="1"/>
  <c r="D84"/>
  <c r="L83"/>
  <c r="L145" s="1"/>
  <c r="K83"/>
  <c r="K145" s="1"/>
  <c r="K207" s="1"/>
  <c r="K269" s="1"/>
  <c r="I83"/>
  <c r="H83"/>
  <c r="G83"/>
  <c r="G145" s="1"/>
  <c r="F83"/>
  <c r="E83"/>
  <c r="E145" s="1"/>
  <c r="D83"/>
  <c r="L82"/>
  <c r="L144" s="1"/>
  <c r="K82"/>
  <c r="I82"/>
  <c r="H82"/>
  <c r="G82"/>
  <c r="G144" s="1"/>
  <c r="F82"/>
  <c r="E82"/>
  <c r="E144" s="1"/>
  <c r="D82"/>
  <c r="L81"/>
  <c r="L143" s="1"/>
  <c r="K81"/>
  <c r="I81"/>
  <c r="H81"/>
  <c r="G81"/>
  <c r="G143" s="1"/>
  <c r="F81"/>
  <c r="E81"/>
  <c r="P81" s="1"/>
  <c r="O81" s="1"/>
  <c r="D81"/>
  <c r="L80"/>
  <c r="K80"/>
  <c r="K142" s="1"/>
  <c r="K204" s="1"/>
  <c r="I80"/>
  <c r="I142" s="1"/>
  <c r="H80"/>
  <c r="G80"/>
  <c r="G142" s="1"/>
  <c r="F80"/>
  <c r="E80"/>
  <c r="E142" s="1"/>
  <c r="D80"/>
  <c r="L79"/>
  <c r="K79"/>
  <c r="K141" s="1"/>
  <c r="I79"/>
  <c r="I141" s="1"/>
  <c r="H79"/>
  <c r="G79"/>
  <c r="G141" s="1"/>
  <c r="F79"/>
  <c r="E79"/>
  <c r="E141" s="1"/>
  <c r="D79"/>
  <c r="L78"/>
  <c r="L140" s="1"/>
  <c r="K78"/>
  <c r="K140" s="1"/>
  <c r="I78"/>
  <c r="I140" s="1"/>
  <c r="H78"/>
  <c r="G78"/>
  <c r="G140" s="1"/>
  <c r="F78"/>
  <c r="E78"/>
  <c r="E140" s="1"/>
  <c r="D78"/>
  <c r="U66"/>
  <c r="M66"/>
  <c r="L66"/>
  <c r="K66"/>
  <c r="V65" s="1"/>
  <c r="U65"/>
  <c r="T65" s="1"/>
  <c r="S65" s="1"/>
  <c r="R65"/>
  <c r="P65"/>
  <c r="O65"/>
  <c r="M65"/>
  <c r="V64" s="1"/>
  <c r="U64"/>
  <c r="T64" s="1"/>
  <c r="S64" s="1"/>
  <c r="R64"/>
  <c r="P64"/>
  <c r="O64"/>
  <c r="M64"/>
  <c r="V63" s="1"/>
  <c r="U63"/>
  <c r="T63" s="1"/>
  <c r="S63" s="1"/>
  <c r="R63"/>
  <c r="P63"/>
  <c r="O63"/>
  <c r="M63"/>
  <c r="V62" s="1"/>
  <c r="U62"/>
  <c r="T62" s="1"/>
  <c r="S62" s="1"/>
  <c r="R62"/>
  <c r="P62"/>
  <c r="O62"/>
  <c r="M62"/>
  <c r="V61" s="1"/>
  <c r="U61"/>
  <c r="T61" s="1"/>
  <c r="S61" s="1"/>
  <c r="R61"/>
  <c r="P61"/>
  <c r="O61"/>
  <c r="M61"/>
  <c r="V60" s="1"/>
  <c r="U60"/>
  <c r="T60" s="1"/>
  <c r="S60" s="1"/>
  <c r="R60"/>
  <c r="P60"/>
  <c r="O60"/>
  <c r="M60"/>
  <c r="V59" s="1"/>
  <c r="U59"/>
  <c r="T59"/>
  <c r="S59" s="1"/>
  <c r="R59"/>
  <c r="P59"/>
  <c r="O59"/>
  <c r="M59"/>
  <c r="V58" s="1"/>
  <c r="U58"/>
  <c r="T58" s="1"/>
  <c r="S58" s="1"/>
  <c r="R58"/>
  <c r="P58"/>
  <c r="O58"/>
  <c r="M58"/>
  <c r="V57" s="1"/>
  <c r="U57"/>
  <c r="T57" s="1"/>
  <c r="S57" s="1"/>
  <c r="R57"/>
  <c r="P57"/>
  <c r="O57"/>
  <c r="M57"/>
  <c r="V56" s="1"/>
  <c r="U56"/>
  <c r="T56" s="1"/>
  <c r="S56" s="1"/>
  <c r="R56"/>
  <c r="P56"/>
  <c r="O56"/>
  <c r="M56"/>
  <c r="V55" s="1"/>
  <c r="U55"/>
  <c r="T55"/>
  <c r="S55" s="1"/>
  <c r="R55"/>
  <c r="P55"/>
  <c r="O55"/>
  <c r="M55"/>
  <c r="V54" s="1"/>
  <c r="U54"/>
  <c r="T54" s="1"/>
  <c r="S54" s="1"/>
  <c r="R54"/>
  <c r="P54"/>
  <c r="O54"/>
  <c r="M54"/>
  <c r="V53" s="1"/>
  <c r="U53"/>
  <c r="T53" s="1"/>
  <c r="S53" s="1"/>
  <c r="R53"/>
  <c r="P53"/>
  <c r="O53"/>
  <c r="M53"/>
  <c r="V52" s="1"/>
  <c r="U52"/>
  <c r="T52" s="1"/>
  <c r="S52" s="1"/>
  <c r="R52"/>
  <c r="P52"/>
  <c r="O52"/>
  <c r="M52"/>
  <c r="V51" s="1"/>
  <c r="U51"/>
  <c r="T51" s="1"/>
  <c r="S51" s="1"/>
  <c r="R51"/>
  <c r="P51"/>
  <c r="O51"/>
  <c r="M51"/>
  <c r="V50" s="1"/>
  <c r="U50"/>
  <c r="T50" s="1"/>
  <c r="S50" s="1"/>
  <c r="R50"/>
  <c r="P50"/>
  <c r="O50"/>
  <c r="M50"/>
  <c r="V49" s="1"/>
  <c r="U49"/>
  <c r="T49" s="1"/>
  <c r="S49" s="1"/>
  <c r="R49"/>
  <c r="P49"/>
  <c r="O49"/>
  <c r="M49"/>
  <c r="V48" s="1"/>
  <c r="U48"/>
  <c r="T48" s="1"/>
  <c r="S48" s="1"/>
  <c r="R48"/>
  <c r="P48"/>
  <c r="O48"/>
  <c r="M48"/>
  <c r="V47" s="1"/>
  <c r="U47"/>
  <c r="T47" s="1"/>
  <c r="S47" s="1"/>
  <c r="R47"/>
  <c r="P47"/>
  <c r="O47"/>
  <c r="M47"/>
  <c r="V46" s="1"/>
  <c r="U46"/>
  <c r="T46" s="1"/>
  <c r="S46" s="1"/>
  <c r="R46"/>
  <c r="P46"/>
  <c r="O46"/>
  <c r="M46"/>
  <c r="V45" s="1"/>
  <c r="U45"/>
  <c r="T45" s="1"/>
  <c r="S45" s="1"/>
  <c r="R45"/>
  <c r="P45"/>
  <c r="O45"/>
  <c r="M45"/>
  <c r="V44" s="1"/>
  <c r="U44"/>
  <c r="T44"/>
  <c r="S44" s="1"/>
  <c r="R44"/>
  <c r="P44"/>
  <c r="O44"/>
  <c r="M44"/>
  <c r="V43" s="1"/>
  <c r="U43"/>
  <c r="T43" s="1"/>
  <c r="S43" s="1"/>
  <c r="R43"/>
  <c r="P43"/>
  <c r="O43"/>
  <c r="M43"/>
  <c r="V42" s="1"/>
  <c r="U42"/>
  <c r="T42" s="1"/>
  <c r="S42" s="1"/>
  <c r="R42"/>
  <c r="P42"/>
  <c r="O42"/>
  <c r="M42"/>
  <c r="V41" s="1"/>
  <c r="U41"/>
  <c r="T41" s="1"/>
  <c r="S41" s="1"/>
  <c r="R41"/>
  <c r="P41"/>
  <c r="O41"/>
  <c r="M41"/>
  <c r="V40" s="1"/>
  <c r="U40"/>
  <c r="T40"/>
  <c r="S40" s="1"/>
  <c r="R40"/>
  <c r="P40"/>
  <c r="O40"/>
  <c r="M40"/>
  <c r="V39" s="1"/>
  <c r="U39"/>
  <c r="T39" s="1"/>
  <c r="S39" s="1"/>
  <c r="R39"/>
  <c r="P39"/>
  <c r="O39"/>
  <c r="M39"/>
  <c r="V38" s="1"/>
  <c r="U38"/>
  <c r="T38" s="1"/>
  <c r="S38" s="1"/>
  <c r="R38"/>
  <c r="P38"/>
  <c r="O38"/>
  <c r="M38"/>
  <c r="V37" s="1"/>
  <c r="U37"/>
  <c r="T37" s="1"/>
  <c r="S37" s="1"/>
  <c r="R37"/>
  <c r="P37"/>
  <c r="O37"/>
  <c r="M37"/>
  <c r="V36" s="1"/>
  <c r="U36"/>
  <c r="T36" s="1"/>
  <c r="S36" s="1"/>
  <c r="R36"/>
  <c r="P36"/>
  <c r="O36"/>
  <c r="M36"/>
  <c r="V35" s="1"/>
  <c r="U35"/>
  <c r="T35" s="1"/>
  <c r="S35" s="1"/>
  <c r="R35"/>
  <c r="P35"/>
  <c r="O35"/>
  <c r="M35"/>
  <c r="V34" s="1"/>
  <c r="U34"/>
  <c r="T34" s="1"/>
  <c r="S34" s="1"/>
  <c r="R34"/>
  <c r="P34"/>
  <c r="O34"/>
  <c r="M34"/>
  <c r="V33" s="1"/>
  <c r="U33"/>
  <c r="T33" s="1"/>
  <c r="S33" s="1"/>
  <c r="R33"/>
  <c r="P33"/>
  <c r="O33"/>
  <c r="M33"/>
  <c r="V32" s="1"/>
  <c r="U32"/>
  <c r="T32" s="1"/>
  <c r="S32" s="1"/>
  <c r="R32"/>
  <c r="P32"/>
  <c r="O32"/>
  <c r="M32"/>
  <c r="V31" s="1"/>
  <c r="U31"/>
  <c r="T31" s="1"/>
  <c r="S31" s="1"/>
  <c r="R31"/>
  <c r="P31"/>
  <c r="O31"/>
  <c r="M31"/>
  <c r="V30" s="1"/>
  <c r="U30"/>
  <c r="T30" s="1"/>
  <c r="S30" s="1"/>
  <c r="R30"/>
  <c r="P30"/>
  <c r="O30"/>
  <c r="M30"/>
  <c r="V29" s="1"/>
  <c r="U29"/>
  <c r="T29" s="1"/>
  <c r="S29" s="1"/>
  <c r="R29"/>
  <c r="P29"/>
  <c r="O29"/>
  <c r="M29"/>
  <c r="V28" s="1"/>
  <c r="U28"/>
  <c r="T28" s="1"/>
  <c r="S28" s="1"/>
  <c r="R28"/>
  <c r="P28"/>
  <c r="O28"/>
  <c r="M28"/>
  <c r="V27" s="1"/>
  <c r="U27"/>
  <c r="T27" s="1"/>
  <c r="S27" s="1"/>
  <c r="R27"/>
  <c r="P27"/>
  <c r="O27"/>
  <c r="M27"/>
  <c r="V26" s="1"/>
  <c r="U26"/>
  <c r="T26" s="1"/>
  <c r="S26" s="1"/>
  <c r="R26"/>
  <c r="P26"/>
  <c r="O26"/>
  <c r="M26"/>
  <c r="V25" s="1"/>
  <c r="U25"/>
  <c r="T25" s="1"/>
  <c r="S25" s="1"/>
  <c r="R25"/>
  <c r="P25"/>
  <c r="O25"/>
  <c r="M25"/>
  <c r="V24" s="1"/>
  <c r="U24"/>
  <c r="T24" s="1"/>
  <c r="S24" s="1"/>
  <c r="R24"/>
  <c r="P24"/>
  <c r="O24"/>
  <c r="M24"/>
  <c r="V23" s="1"/>
  <c r="U23"/>
  <c r="T23" s="1"/>
  <c r="S23" s="1"/>
  <c r="R23"/>
  <c r="P23"/>
  <c r="O23"/>
  <c r="M23"/>
  <c r="V22" s="1"/>
  <c r="U22"/>
  <c r="T22" s="1"/>
  <c r="S22" s="1"/>
  <c r="R22"/>
  <c r="O22"/>
  <c r="M22"/>
  <c r="V21" s="1"/>
  <c r="U21"/>
  <c r="T21" s="1"/>
  <c r="S21" s="1"/>
  <c r="R21"/>
  <c r="P21"/>
  <c r="O21"/>
  <c r="M21"/>
  <c r="V20" s="1"/>
  <c r="U20"/>
  <c r="T20" s="1"/>
  <c r="S20" s="1"/>
  <c r="R20"/>
  <c r="O20"/>
  <c r="M20"/>
  <c r="V19" s="1"/>
  <c r="U19"/>
  <c r="T19" s="1"/>
  <c r="S19" s="1"/>
  <c r="R19"/>
  <c r="O19"/>
  <c r="M19"/>
  <c r="V18" s="1"/>
  <c r="U18"/>
  <c r="T18" s="1"/>
  <c r="S18" s="1"/>
  <c r="R18"/>
  <c r="O18"/>
  <c r="M18"/>
  <c r="V17" s="1"/>
  <c r="U17"/>
  <c r="T17" s="1"/>
  <c r="S17" s="1"/>
  <c r="R17"/>
  <c r="O17"/>
  <c r="M17"/>
  <c r="V16" s="1"/>
  <c r="U16"/>
  <c r="T16"/>
  <c r="S16" s="1"/>
  <c r="R16" s="1"/>
  <c r="O16"/>
  <c r="M16"/>
  <c r="Q14"/>
  <c r="Q76" s="1"/>
  <c r="C5"/>
  <c r="J112" l="1"/>
  <c r="M115"/>
  <c r="M116"/>
  <c r="M300"/>
  <c r="J118"/>
  <c r="O66"/>
  <c r="M79"/>
  <c r="M80"/>
  <c r="M85"/>
  <c r="J90"/>
  <c r="S94"/>
  <c r="J102"/>
  <c r="M106"/>
  <c r="S110"/>
  <c r="S118"/>
  <c r="J122"/>
  <c r="J85"/>
  <c r="S122"/>
  <c r="V66"/>
  <c r="M103"/>
  <c r="Q24"/>
  <c r="Q16"/>
  <c r="P16" s="1"/>
  <c r="Q22"/>
  <c r="P22" s="1"/>
  <c r="Q30"/>
  <c r="Q38"/>
  <c r="J79"/>
  <c r="M82"/>
  <c r="S90"/>
  <c r="J94"/>
  <c r="M102"/>
  <c r="P102"/>
  <c r="J107"/>
  <c r="M109"/>
  <c r="J110"/>
  <c r="M111"/>
  <c r="J116"/>
  <c r="J119"/>
  <c r="J123"/>
  <c r="Q32"/>
  <c r="P79"/>
  <c r="O79" s="1"/>
  <c r="P123"/>
  <c r="O123" s="1"/>
  <c r="Q20"/>
  <c r="P20" s="1"/>
  <c r="Q26"/>
  <c r="Q34"/>
  <c r="J95"/>
  <c r="M100"/>
  <c r="M112"/>
  <c r="R66"/>
  <c r="Q19"/>
  <c r="P19" s="1"/>
  <c r="Q28"/>
  <c r="Q36"/>
  <c r="J169"/>
  <c r="S109"/>
  <c r="M117"/>
  <c r="M123"/>
  <c r="D140"/>
  <c r="E202"/>
  <c r="J140"/>
  <c r="P140"/>
  <c r="K202"/>
  <c r="F145"/>
  <c r="G207"/>
  <c r="L207"/>
  <c r="M145"/>
  <c r="F146"/>
  <c r="G208"/>
  <c r="K146"/>
  <c r="K208" s="1"/>
  <c r="L208"/>
  <c r="F147"/>
  <c r="G209"/>
  <c r="U147"/>
  <c r="D141"/>
  <c r="E203"/>
  <c r="P141"/>
  <c r="H141"/>
  <c r="I203"/>
  <c r="O141"/>
  <c r="F142"/>
  <c r="G204"/>
  <c r="F143"/>
  <c r="G205"/>
  <c r="U143"/>
  <c r="K143"/>
  <c r="K205" s="1"/>
  <c r="K267" s="1"/>
  <c r="L205"/>
  <c r="F144"/>
  <c r="G206"/>
  <c r="K144"/>
  <c r="M144" s="1"/>
  <c r="L206"/>
  <c r="K266"/>
  <c r="D145"/>
  <c r="E207"/>
  <c r="J145"/>
  <c r="I145" s="1"/>
  <c r="P145"/>
  <c r="D146"/>
  <c r="E208"/>
  <c r="P146"/>
  <c r="J146"/>
  <c r="I146" s="1"/>
  <c r="H140"/>
  <c r="I202"/>
  <c r="O140"/>
  <c r="Q127"/>
  <c r="Q126"/>
  <c r="Q122"/>
  <c r="Q121"/>
  <c r="Q117"/>
  <c r="Q115"/>
  <c r="Q112"/>
  <c r="P112" s="1"/>
  <c r="Q109"/>
  <c r="Q107"/>
  <c r="Q101"/>
  <c r="Q98"/>
  <c r="Q97"/>
  <c r="Q93"/>
  <c r="R93" s="1"/>
  <c r="Q89"/>
  <c r="Q86"/>
  <c r="Q84"/>
  <c r="Q80"/>
  <c r="Q78"/>
  <c r="Q119"/>
  <c r="Q118"/>
  <c r="Q116"/>
  <c r="P116" s="1"/>
  <c r="R116" s="1"/>
  <c r="T116" s="1"/>
  <c r="Q110"/>
  <c r="Q108"/>
  <c r="Q104"/>
  <c r="Q99"/>
  <c r="Q95"/>
  <c r="Q94"/>
  <c r="Q90"/>
  <c r="Q87"/>
  <c r="Q81"/>
  <c r="Q138"/>
  <c r="Q123"/>
  <c r="Q120"/>
  <c r="P120" s="1"/>
  <c r="O120" s="1"/>
  <c r="Q114"/>
  <c r="Q113"/>
  <c r="Q106"/>
  <c r="P106" s="1"/>
  <c r="Q105"/>
  <c r="Q102"/>
  <c r="Q100"/>
  <c r="P100" s="1"/>
  <c r="O100" s="1"/>
  <c r="Q96"/>
  <c r="Q91"/>
  <c r="Q88"/>
  <c r="Q85"/>
  <c r="Q83"/>
  <c r="Q82"/>
  <c r="P82" s="1"/>
  <c r="O82" s="1"/>
  <c r="Q79"/>
  <c r="Q125"/>
  <c r="Q124"/>
  <c r="Q111"/>
  <c r="Q103"/>
  <c r="Q92"/>
  <c r="F140"/>
  <c r="G202"/>
  <c r="L202"/>
  <c r="S140"/>
  <c r="M140"/>
  <c r="F141"/>
  <c r="G203"/>
  <c r="D142"/>
  <c r="E204"/>
  <c r="J204" s="1"/>
  <c r="P142"/>
  <c r="O142" s="1"/>
  <c r="J142"/>
  <c r="H142"/>
  <c r="I204"/>
  <c r="D144"/>
  <c r="E206"/>
  <c r="P144"/>
  <c r="J144"/>
  <c r="I144" s="1"/>
  <c r="H144" s="1"/>
  <c r="K147"/>
  <c r="K209" s="1"/>
  <c r="L209"/>
  <c r="J141"/>
  <c r="D149"/>
  <c r="E211"/>
  <c r="J149"/>
  <c r="I149" s="1"/>
  <c r="P149"/>
  <c r="F150"/>
  <c r="G212"/>
  <c r="J150"/>
  <c r="K212"/>
  <c r="L214"/>
  <c r="M152"/>
  <c r="F153"/>
  <c r="G215"/>
  <c r="D155"/>
  <c r="E217"/>
  <c r="J155"/>
  <c r="I155" s="1"/>
  <c r="P155"/>
  <c r="L218"/>
  <c r="S156"/>
  <c r="M156"/>
  <c r="L219"/>
  <c r="M157"/>
  <c r="F158"/>
  <c r="G220"/>
  <c r="D160"/>
  <c r="E222"/>
  <c r="P160"/>
  <c r="J160"/>
  <c r="I160" s="1"/>
  <c r="D161"/>
  <c r="E223"/>
  <c r="P161"/>
  <c r="J161"/>
  <c r="I161" s="1"/>
  <c r="F162"/>
  <c r="G224"/>
  <c r="L226"/>
  <c r="M164"/>
  <c r="F165"/>
  <c r="G227"/>
  <c r="D166"/>
  <c r="E228"/>
  <c r="P166"/>
  <c r="H166"/>
  <c r="I228"/>
  <c r="O166"/>
  <c r="M166" s="1"/>
  <c r="F167"/>
  <c r="G229"/>
  <c r="U167"/>
  <c r="F168"/>
  <c r="G230"/>
  <c r="D169"/>
  <c r="E231"/>
  <c r="P169"/>
  <c r="H169"/>
  <c r="I231"/>
  <c r="O169"/>
  <c r="L294"/>
  <c r="S232"/>
  <c r="M232"/>
  <c r="F171"/>
  <c r="G233"/>
  <c r="U171"/>
  <c r="L234"/>
  <c r="M172"/>
  <c r="F173"/>
  <c r="G235"/>
  <c r="D174"/>
  <c r="E236"/>
  <c r="P174"/>
  <c r="J174"/>
  <c r="I174" s="1"/>
  <c r="F175"/>
  <c r="G237"/>
  <c r="U175"/>
  <c r="F176"/>
  <c r="G238"/>
  <c r="L240"/>
  <c r="M178"/>
  <c r="L242"/>
  <c r="M180"/>
  <c r="L243"/>
  <c r="M181"/>
  <c r="F182"/>
  <c r="G244"/>
  <c r="D184"/>
  <c r="E246"/>
  <c r="J184"/>
  <c r="I184" s="1"/>
  <c r="K185"/>
  <c r="K247" s="1"/>
  <c r="K309" s="1"/>
  <c r="L247"/>
  <c r="D188"/>
  <c r="E250"/>
  <c r="P188"/>
  <c r="J188"/>
  <c r="I188" s="1"/>
  <c r="D189"/>
  <c r="E251"/>
  <c r="J189"/>
  <c r="I189" s="1"/>
  <c r="Q17"/>
  <c r="P17" s="1"/>
  <c r="Q23"/>
  <c r="Q25"/>
  <c r="Q27"/>
  <c r="Q29"/>
  <c r="Q31"/>
  <c r="Q33"/>
  <c r="Q35"/>
  <c r="Q37"/>
  <c r="Q39"/>
  <c r="Q46"/>
  <c r="Q48"/>
  <c r="Q50"/>
  <c r="Q52"/>
  <c r="Q54"/>
  <c r="Q61"/>
  <c r="Q63"/>
  <c r="Q65"/>
  <c r="S66"/>
  <c r="J78"/>
  <c r="P78"/>
  <c r="J80"/>
  <c r="P80"/>
  <c r="O80" s="1"/>
  <c r="M81"/>
  <c r="S82"/>
  <c r="R82" s="1"/>
  <c r="J84"/>
  <c r="P84"/>
  <c r="S85"/>
  <c r="R85" s="1"/>
  <c r="T85" s="1"/>
  <c r="J86"/>
  <c r="P86"/>
  <c r="M87"/>
  <c r="J89"/>
  <c r="P89"/>
  <c r="O89" s="1"/>
  <c r="J92"/>
  <c r="P93"/>
  <c r="J97"/>
  <c r="P97"/>
  <c r="O97" s="1"/>
  <c r="P98"/>
  <c r="O98" s="1"/>
  <c r="M98" s="1"/>
  <c r="M99"/>
  <c r="J101"/>
  <c r="P101"/>
  <c r="O101" s="1"/>
  <c r="O104"/>
  <c r="M104" s="1"/>
  <c r="S105"/>
  <c r="S106"/>
  <c r="R106" s="1"/>
  <c r="P107"/>
  <c r="P109"/>
  <c r="S113"/>
  <c r="S114"/>
  <c r="J115"/>
  <c r="P115"/>
  <c r="J117"/>
  <c r="P117"/>
  <c r="J121"/>
  <c r="P121"/>
  <c r="O121" s="1"/>
  <c r="P122"/>
  <c r="J124"/>
  <c r="J125"/>
  <c r="P126"/>
  <c r="O126" s="1"/>
  <c r="M126" s="1"/>
  <c r="P127"/>
  <c r="K128"/>
  <c r="L141"/>
  <c r="L142"/>
  <c r="L204" s="1"/>
  <c r="L266" s="1"/>
  <c r="E143"/>
  <c r="D148"/>
  <c r="V147" s="1"/>
  <c r="E210"/>
  <c r="P148"/>
  <c r="H148"/>
  <c r="I210"/>
  <c r="O148"/>
  <c r="M148" s="1"/>
  <c r="K149"/>
  <c r="M149" s="1"/>
  <c r="L211"/>
  <c r="D151"/>
  <c r="E213"/>
  <c r="J151"/>
  <c r="I151" s="1"/>
  <c r="F152"/>
  <c r="G214"/>
  <c r="D154"/>
  <c r="E216"/>
  <c r="P154"/>
  <c r="H154"/>
  <c r="I216"/>
  <c r="O154"/>
  <c r="M154" s="1"/>
  <c r="L217"/>
  <c r="M155"/>
  <c r="F156"/>
  <c r="G218"/>
  <c r="F157"/>
  <c r="G219"/>
  <c r="K281"/>
  <c r="D159"/>
  <c r="E221"/>
  <c r="P159"/>
  <c r="J159"/>
  <c r="I159" s="1"/>
  <c r="L284"/>
  <c r="M222"/>
  <c r="K161"/>
  <c r="M161" s="1"/>
  <c r="L223"/>
  <c r="D163"/>
  <c r="E225"/>
  <c r="J163"/>
  <c r="I163" s="1"/>
  <c r="F164"/>
  <c r="G226"/>
  <c r="J164"/>
  <c r="I164" s="1"/>
  <c r="K226"/>
  <c r="K288" s="1"/>
  <c r="L290"/>
  <c r="L231"/>
  <c r="M169"/>
  <c r="F170"/>
  <c r="G232"/>
  <c r="F172"/>
  <c r="G234"/>
  <c r="L236"/>
  <c r="M174"/>
  <c r="D177"/>
  <c r="E239"/>
  <c r="P177"/>
  <c r="J177"/>
  <c r="I177" s="1"/>
  <c r="F178"/>
  <c r="G240"/>
  <c r="D179"/>
  <c r="E241"/>
  <c r="J179"/>
  <c r="I179" s="1"/>
  <c r="F180"/>
  <c r="G242"/>
  <c r="F181"/>
  <c r="G243"/>
  <c r="K305"/>
  <c r="D183"/>
  <c r="E245"/>
  <c r="P183"/>
  <c r="J183"/>
  <c r="I183" s="1"/>
  <c r="L246"/>
  <c r="M184"/>
  <c r="F185"/>
  <c r="G247"/>
  <c r="D186"/>
  <c r="E248"/>
  <c r="J248" s="1"/>
  <c r="J186"/>
  <c r="I186" s="1"/>
  <c r="P186"/>
  <c r="D187"/>
  <c r="E249"/>
  <c r="J187"/>
  <c r="I187" s="1"/>
  <c r="L312"/>
  <c r="M250"/>
  <c r="L251"/>
  <c r="M189"/>
  <c r="Q42"/>
  <c r="Q44"/>
  <c r="Q57"/>
  <c r="Q59"/>
  <c r="M78"/>
  <c r="S81"/>
  <c r="R81" s="1"/>
  <c r="T81" s="1"/>
  <c r="J82"/>
  <c r="J83"/>
  <c r="M84"/>
  <c r="O86"/>
  <c r="M86" s="1"/>
  <c r="J88"/>
  <c r="M89"/>
  <c r="J91"/>
  <c r="P92"/>
  <c r="O92" s="1"/>
  <c r="M92" s="1"/>
  <c r="J96"/>
  <c r="M97"/>
  <c r="J100"/>
  <c r="M101"/>
  <c r="J103"/>
  <c r="P103"/>
  <c r="O103" s="1"/>
  <c r="S104"/>
  <c r="J105"/>
  <c r="J106"/>
  <c r="J109"/>
  <c r="O109"/>
  <c r="J111"/>
  <c r="P111"/>
  <c r="O111" s="1"/>
  <c r="J113"/>
  <c r="J114"/>
  <c r="J120"/>
  <c r="M121"/>
  <c r="P124"/>
  <c r="O124" s="1"/>
  <c r="M124" s="1"/>
  <c r="P125"/>
  <c r="O125" s="1"/>
  <c r="M125" s="1"/>
  <c r="E147"/>
  <c r="L272"/>
  <c r="F149"/>
  <c r="G211"/>
  <c r="D150"/>
  <c r="E212"/>
  <c r="P150"/>
  <c r="H150"/>
  <c r="I212"/>
  <c r="O150"/>
  <c r="K151"/>
  <c r="K213" s="1"/>
  <c r="L213"/>
  <c r="S151"/>
  <c r="D153"/>
  <c r="E215"/>
  <c r="P153"/>
  <c r="J153"/>
  <c r="I153" s="1"/>
  <c r="F155"/>
  <c r="G217"/>
  <c r="U155"/>
  <c r="D158"/>
  <c r="E220"/>
  <c r="J158"/>
  <c r="I158" s="1"/>
  <c r="P158"/>
  <c r="K159"/>
  <c r="K221" s="1"/>
  <c r="L221"/>
  <c r="F160"/>
  <c r="G222"/>
  <c r="F161"/>
  <c r="G223"/>
  <c r="D162"/>
  <c r="E224"/>
  <c r="P162"/>
  <c r="J162"/>
  <c r="I162" s="1"/>
  <c r="K163"/>
  <c r="K225" s="1"/>
  <c r="K287" s="1"/>
  <c r="L225"/>
  <c r="D165"/>
  <c r="E227"/>
  <c r="P165"/>
  <c r="H165"/>
  <c r="I227"/>
  <c r="O165"/>
  <c r="F166"/>
  <c r="G228"/>
  <c r="J166"/>
  <c r="K228"/>
  <c r="M228" s="1"/>
  <c r="D167"/>
  <c r="E229"/>
  <c r="J167"/>
  <c r="I167" s="1"/>
  <c r="D168"/>
  <c r="E230"/>
  <c r="P168"/>
  <c r="J168"/>
  <c r="I168" s="1"/>
  <c r="F169"/>
  <c r="G231"/>
  <c r="D171"/>
  <c r="E233"/>
  <c r="P171"/>
  <c r="H171"/>
  <c r="I233"/>
  <c r="O171"/>
  <c r="D173"/>
  <c r="E235"/>
  <c r="P173"/>
  <c r="J173"/>
  <c r="I173" s="1"/>
  <c r="F174"/>
  <c r="G236"/>
  <c r="D175"/>
  <c r="E237"/>
  <c r="J175"/>
  <c r="I175" s="1"/>
  <c r="P175"/>
  <c r="D176"/>
  <c r="V175" s="1"/>
  <c r="E238"/>
  <c r="P176"/>
  <c r="J176"/>
  <c r="I176" s="1"/>
  <c r="L239"/>
  <c r="L301" s="1"/>
  <c r="M177"/>
  <c r="L241"/>
  <c r="M179"/>
  <c r="D182"/>
  <c r="E244"/>
  <c r="P182"/>
  <c r="J182"/>
  <c r="I182" s="1"/>
  <c r="K183"/>
  <c r="K245" s="1"/>
  <c r="L245"/>
  <c r="F184"/>
  <c r="G246"/>
  <c r="L248"/>
  <c r="M186"/>
  <c r="L249"/>
  <c r="L311" s="1"/>
  <c r="M311" s="1"/>
  <c r="S187"/>
  <c r="F188"/>
  <c r="G250"/>
  <c r="J250"/>
  <c r="K312"/>
  <c r="F189"/>
  <c r="G251"/>
  <c r="J251"/>
  <c r="K313"/>
  <c r="Q40"/>
  <c r="Q45"/>
  <c r="Q47"/>
  <c r="Q49"/>
  <c r="Q51"/>
  <c r="Q53"/>
  <c r="Q55"/>
  <c r="Q60"/>
  <c r="Q62"/>
  <c r="Q64"/>
  <c r="P83"/>
  <c r="O83" s="1"/>
  <c r="M83" s="1"/>
  <c r="S86"/>
  <c r="R86" s="1"/>
  <c r="P88"/>
  <c r="O88" s="1"/>
  <c r="M88" s="1"/>
  <c r="S89"/>
  <c r="R89" s="1"/>
  <c r="T89" s="1"/>
  <c r="P91"/>
  <c r="O91" s="1"/>
  <c r="M91" s="1"/>
  <c r="P96"/>
  <c r="O96" s="1"/>
  <c r="M96" s="1"/>
  <c r="S97"/>
  <c r="R97" s="1"/>
  <c r="R98"/>
  <c r="S101"/>
  <c r="P105"/>
  <c r="O105" s="1"/>
  <c r="M105" s="1"/>
  <c r="R109"/>
  <c r="T109" s="1"/>
  <c r="S112"/>
  <c r="R112" s="1"/>
  <c r="P113"/>
  <c r="O113" s="1"/>
  <c r="M113" s="1"/>
  <c r="P114"/>
  <c r="O114" s="1"/>
  <c r="M114" s="1"/>
  <c r="S115"/>
  <c r="R115" s="1"/>
  <c r="T115" s="1"/>
  <c r="S121"/>
  <c r="R121" s="1"/>
  <c r="R122"/>
  <c r="S126"/>
  <c r="R126" s="1"/>
  <c r="F148"/>
  <c r="G210"/>
  <c r="J148"/>
  <c r="K210"/>
  <c r="L212"/>
  <c r="M150"/>
  <c r="F151"/>
  <c r="G213"/>
  <c r="U151"/>
  <c r="D152"/>
  <c r="E214"/>
  <c r="P152"/>
  <c r="J152"/>
  <c r="I152" s="1"/>
  <c r="H152" s="1"/>
  <c r="L277"/>
  <c r="K277" s="1"/>
  <c r="M215"/>
  <c r="F154"/>
  <c r="G216"/>
  <c r="J154"/>
  <c r="K216"/>
  <c r="D156"/>
  <c r="V155" s="1"/>
  <c r="E218"/>
  <c r="J156"/>
  <c r="I156" s="1"/>
  <c r="P156"/>
  <c r="D157"/>
  <c r="E219"/>
  <c r="J157"/>
  <c r="I157" s="1"/>
  <c r="L220"/>
  <c r="M158"/>
  <c r="F159"/>
  <c r="G221"/>
  <c r="U159"/>
  <c r="K162"/>
  <c r="K224" s="1"/>
  <c r="K286" s="1"/>
  <c r="L224"/>
  <c r="F163"/>
  <c r="G225"/>
  <c r="U163"/>
  <c r="D164"/>
  <c r="E226"/>
  <c r="K165"/>
  <c r="L227"/>
  <c r="L229"/>
  <c r="M167"/>
  <c r="L230"/>
  <c r="M168"/>
  <c r="D170"/>
  <c r="E232"/>
  <c r="P170"/>
  <c r="J170"/>
  <c r="I170" s="1"/>
  <c r="K171"/>
  <c r="L233"/>
  <c r="D172"/>
  <c r="V171" s="1"/>
  <c r="E234"/>
  <c r="J172"/>
  <c r="I172" s="1"/>
  <c r="K173"/>
  <c r="M173" s="1"/>
  <c r="L235"/>
  <c r="L299"/>
  <c r="M299" s="1"/>
  <c r="M237"/>
  <c r="S237"/>
  <c r="F177"/>
  <c r="G239"/>
  <c r="D178"/>
  <c r="E240"/>
  <c r="P178"/>
  <c r="J178"/>
  <c r="I178" s="1"/>
  <c r="F179"/>
  <c r="G241"/>
  <c r="U179"/>
  <c r="D180"/>
  <c r="E242"/>
  <c r="P180"/>
  <c r="J180"/>
  <c r="I180" s="1"/>
  <c r="D181"/>
  <c r="E243"/>
  <c r="J181"/>
  <c r="I181" s="1"/>
  <c r="K182"/>
  <c r="K244" s="1"/>
  <c r="K306" s="1"/>
  <c r="L244"/>
  <c r="F183"/>
  <c r="G245"/>
  <c r="U183"/>
  <c r="D185"/>
  <c r="E247"/>
  <c r="P185"/>
  <c r="J185"/>
  <c r="I185" s="1"/>
  <c r="F186"/>
  <c r="G248"/>
  <c r="K310"/>
  <c r="F187"/>
  <c r="G249"/>
  <c r="U187"/>
  <c r="Q18"/>
  <c r="P18" s="1"/>
  <c r="Q21"/>
  <c r="Q41"/>
  <c r="Q43"/>
  <c r="Q56"/>
  <c r="Q58"/>
  <c r="T66"/>
  <c r="J81"/>
  <c r="J87"/>
  <c r="P87"/>
  <c r="P90"/>
  <c r="O90" s="1"/>
  <c r="M90" s="1"/>
  <c r="J93"/>
  <c r="P94"/>
  <c r="O94" s="1"/>
  <c r="M94" s="1"/>
  <c r="P95"/>
  <c r="J98"/>
  <c r="J99"/>
  <c r="P99"/>
  <c r="J104"/>
  <c r="P104"/>
  <c r="T106"/>
  <c r="P108"/>
  <c r="P110"/>
  <c r="O110" s="1"/>
  <c r="M110" s="1"/>
  <c r="P118"/>
  <c r="O118" s="1"/>
  <c r="M118" s="1"/>
  <c r="P119"/>
  <c r="S124"/>
  <c r="R124" s="1"/>
  <c r="J126"/>
  <c r="J127"/>
  <c r="L128"/>
  <c r="V167" l="1"/>
  <c r="R101"/>
  <c r="T101" s="1"/>
  <c r="J245"/>
  <c r="O176"/>
  <c r="M176" s="1"/>
  <c r="O178"/>
  <c r="O152"/>
  <c r="L190"/>
  <c r="P66"/>
  <c r="J208"/>
  <c r="O170"/>
  <c r="M170" s="1"/>
  <c r="M143"/>
  <c r="O119"/>
  <c r="M119" s="1"/>
  <c r="H185"/>
  <c r="I247"/>
  <c r="O185"/>
  <c r="D242"/>
  <c r="E304"/>
  <c r="P242"/>
  <c r="J242"/>
  <c r="I242" s="1"/>
  <c r="D240"/>
  <c r="P240"/>
  <c r="J240"/>
  <c r="K235"/>
  <c r="M235" s="1"/>
  <c r="L297"/>
  <c r="S235"/>
  <c r="L291"/>
  <c r="M229"/>
  <c r="D226"/>
  <c r="E288"/>
  <c r="J226"/>
  <c r="L282"/>
  <c r="M220"/>
  <c r="H156"/>
  <c r="I218"/>
  <c r="O156"/>
  <c r="D214"/>
  <c r="E276"/>
  <c r="P214"/>
  <c r="J214"/>
  <c r="I214" s="1"/>
  <c r="F251"/>
  <c r="G313"/>
  <c r="F250"/>
  <c r="G312"/>
  <c r="F312" s="1"/>
  <c r="H182"/>
  <c r="I244"/>
  <c r="O182"/>
  <c r="M182" s="1"/>
  <c r="D237"/>
  <c r="J237"/>
  <c r="H173"/>
  <c r="I235"/>
  <c r="F231"/>
  <c r="G293"/>
  <c r="H227"/>
  <c r="I289"/>
  <c r="O227"/>
  <c r="H153"/>
  <c r="I215"/>
  <c r="O153"/>
  <c r="M153" s="1"/>
  <c r="J213"/>
  <c r="K275"/>
  <c r="L313"/>
  <c r="M251"/>
  <c r="D249"/>
  <c r="E311"/>
  <c r="P249"/>
  <c r="J249"/>
  <c r="F242"/>
  <c r="G304"/>
  <c r="H177"/>
  <c r="I239"/>
  <c r="F232"/>
  <c r="G294"/>
  <c r="F226"/>
  <c r="U226"/>
  <c r="D225"/>
  <c r="E287"/>
  <c r="P225"/>
  <c r="J225"/>
  <c r="F218"/>
  <c r="G280"/>
  <c r="H189"/>
  <c r="I251"/>
  <c r="O189"/>
  <c r="H188"/>
  <c r="I250"/>
  <c r="O188"/>
  <c r="M188" s="1"/>
  <c r="D246"/>
  <c r="E308"/>
  <c r="J246"/>
  <c r="P246"/>
  <c r="F235"/>
  <c r="U235"/>
  <c r="F230"/>
  <c r="G292"/>
  <c r="F227"/>
  <c r="G289"/>
  <c r="F224"/>
  <c r="G286"/>
  <c r="H149"/>
  <c r="I211"/>
  <c r="O149"/>
  <c r="H204"/>
  <c r="I266"/>
  <c r="O204"/>
  <c r="M204" s="1"/>
  <c r="L264"/>
  <c r="S202"/>
  <c r="M202"/>
  <c r="H145"/>
  <c r="I207"/>
  <c r="O145"/>
  <c r="F206"/>
  <c r="U206"/>
  <c r="F204"/>
  <c r="G266"/>
  <c r="F208"/>
  <c r="G270"/>
  <c r="F207"/>
  <c r="G269"/>
  <c r="U207"/>
  <c r="M183"/>
  <c r="O168"/>
  <c r="R90"/>
  <c r="T90" s="1"/>
  <c r="R114"/>
  <c r="T114" s="1"/>
  <c r="M185"/>
  <c r="O174"/>
  <c r="O160"/>
  <c r="M160" s="1"/>
  <c r="M142"/>
  <c r="O108"/>
  <c r="M108" s="1"/>
  <c r="O87"/>
  <c r="L306"/>
  <c r="M244"/>
  <c r="D243"/>
  <c r="E305"/>
  <c r="J305" s="1"/>
  <c r="P243"/>
  <c r="F241"/>
  <c r="G303"/>
  <c r="U241"/>
  <c r="D234"/>
  <c r="E296"/>
  <c r="J234"/>
  <c r="J171"/>
  <c r="K233"/>
  <c r="J233" s="1"/>
  <c r="D232"/>
  <c r="E294"/>
  <c r="J232"/>
  <c r="J165"/>
  <c r="K227"/>
  <c r="F225"/>
  <c r="G287"/>
  <c r="U225"/>
  <c r="D219"/>
  <c r="P219"/>
  <c r="J216"/>
  <c r="K278"/>
  <c r="M278" s="1"/>
  <c r="F213"/>
  <c r="G275"/>
  <c r="U213"/>
  <c r="J210"/>
  <c r="K272"/>
  <c r="D238"/>
  <c r="E300"/>
  <c r="P238"/>
  <c r="J238"/>
  <c r="H175"/>
  <c r="I237"/>
  <c r="D235"/>
  <c r="J235"/>
  <c r="H168"/>
  <c r="I230"/>
  <c r="H167"/>
  <c r="I229"/>
  <c r="J228"/>
  <c r="K290"/>
  <c r="D227"/>
  <c r="V226" s="1"/>
  <c r="P227"/>
  <c r="D224"/>
  <c r="E286"/>
  <c r="J286" s="1"/>
  <c r="J224"/>
  <c r="P224"/>
  <c r="F222"/>
  <c r="U222"/>
  <c r="J221"/>
  <c r="K283"/>
  <c r="D220"/>
  <c r="E282"/>
  <c r="J220"/>
  <c r="P220"/>
  <c r="D215"/>
  <c r="E277"/>
  <c r="J215"/>
  <c r="P215"/>
  <c r="L275"/>
  <c r="M213"/>
  <c r="F211"/>
  <c r="U211"/>
  <c r="D147"/>
  <c r="E209"/>
  <c r="J147"/>
  <c r="I147" s="1"/>
  <c r="P147"/>
  <c r="H187"/>
  <c r="I249"/>
  <c r="O187"/>
  <c r="M187" s="1"/>
  <c r="H186"/>
  <c r="I248"/>
  <c r="O186"/>
  <c r="F247"/>
  <c r="G309"/>
  <c r="H183"/>
  <c r="I245"/>
  <c r="O183"/>
  <c r="D241"/>
  <c r="E303"/>
  <c r="J241"/>
  <c r="P241"/>
  <c r="K231"/>
  <c r="L293"/>
  <c r="H164"/>
  <c r="I226"/>
  <c r="O164"/>
  <c r="H163"/>
  <c r="I225"/>
  <c r="O163"/>
  <c r="K223"/>
  <c r="K285" s="1"/>
  <c r="L285"/>
  <c r="H159"/>
  <c r="I221"/>
  <c r="O159"/>
  <c r="L279"/>
  <c r="M217"/>
  <c r="F214"/>
  <c r="G276"/>
  <c r="D213"/>
  <c r="P213"/>
  <c r="D143"/>
  <c r="E205"/>
  <c r="P143"/>
  <c r="J143"/>
  <c r="I143" s="1"/>
  <c r="O127"/>
  <c r="M127" s="1"/>
  <c r="H184"/>
  <c r="I246"/>
  <c r="O184"/>
  <c r="K242"/>
  <c r="K304" s="1"/>
  <c r="L304"/>
  <c r="S242"/>
  <c r="H174"/>
  <c r="I236"/>
  <c r="L296"/>
  <c r="M234"/>
  <c r="H231"/>
  <c r="I293"/>
  <c r="O231"/>
  <c r="F229"/>
  <c r="G291"/>
  <c r="U229"/>
  <c r="L288"/>
  <c r="M226"/>
  <c r="H161"/>
  <c r="I223"/>
  <c r="O161"/>
  <c r="H160"/>
  <c r="I222"/>
  <c r="F220"/>
  <c r="G282"/>
  <c r="H155"/>
  <c r="I217"/>
  <c r="O155"/>
  <c r="F215"/>
  <c r="G277"/>
  <c r="U215"/>
  <c r="J212"/>
  <c r="K274"/>
  <c r="F203"/>
  <c r="G265"/>
  <c r="Q200"/>
  <c r="Q175"/>
  <c r="Q174"/>
  <c r="Q172"/>
  <c r="P172" s="1"/>
  <c r="O172" s="1"/>
  <c r="Q159"/>
  <c r="Q153"/>
  <c r="Q151"/>
  <c r="P151" s="1"/>
  <c r="Q188"/>
  <c r="Q185"/>
  <c r="Q184"/>
  <c r="P184" s="1"/>
  <c r="Q180"/>
  <c r="Q176"/>
  <c r="Q168"/>
  <c r="Q161"/>
  <c r="Q160"/>
  <c r="Q157"/>
  <c r="P157" s="1"/>
  <c r="Q148"/>
  <c r="Q189"/>
  <c r="P189" s="1"/>
  <c r="Q182"/>
  <c r="Q181"/>
  <c r="P181" s="1"/>
  <c r="Q177"/>
  <c r="Q170"/>
  <c r="Q163"/>
  <c r="P163" s="1"/>
  <c r="Q162"/>
  <c r="Q156"/>
  <c r="R156" s="1"/>
  <c r="T156" s="1"/>
  <c r="Q187"/>
  <c r="P187" s="1"/>
  <c r="Q186"/>
  <c r="Q183"/>
  <c r="Q179"/>
  <c r="P179" s="1"/>
  <c r="O179" s="1"/>
  <c r="Q178"/>
  <c r="Q173"/>
  <c r="Q171"/>
  <c r="Q169"/>
  <c r="Q167"/>
  <c r="P167" s="1"/>
  <c r="Q166"/>
  <c r="Q165"/>
  <c r="Q164"/>
  <c r="P164" s="1"/>
  <c r="Q158"/>
  <c r="Q155"/>
  <c r="Q152"/>
  <c r="Q149"/>
  <c r="Q154"/>
  <c r="Q150"/>
  <c r="Q147"/>
  <c r="Q146"/>
  <c r="Q145"/>
  <c r="Q140"/>
  <c r="Q143"/>
  <c r="Q142"/>
  <c r="Q144"/>
  <c r="Q141"/>
  <c r="H202"/>
  <c r="I264"/>
  <c r="O202"/>
  <c r="L267"/>
  <c r="M267" s="1"/>
  <c r="M205"/>
  <c r="H203"/>
  <c r="I265"/>
  <c r="O203"/>
  <c r="D203"/>
  <c r="E265"/>
  <c r="P203"/>
  <c r="F209"/>
  <c r="G271"/>
  <c r="U209"/>
  <c r="L269"/>
  <c r="M269" s="1"/>
  <c r="M207"/>
  <c r="K264"/>
  <c r="D202"/>
  <c r="E264"/>
  <c r="J202"/>
  <c r="P202"/>
  <c r="R104"/>
  <c r="T104" s="1"/>
  <c r="R105"/>
  <c r="V187"/>
  <c r="T112"/>
  <c r="O99"/>
  <c r="D247"/>
  <c r="E309"/>
  <c r="J247"/>
  <c r="P247"/>
  <c r="H181"/>
  <c r="I243"/>
  <c r="O181"/>
  <c r="F239"/>
  <c r="G301"/>
  <c r="U239"/>
  <c r="H172"/>
  <c r="I234"/>
  <c r="L295"/>
  <c r="M233"/>
  <c r="L292"/>
  <c r="M292" s="1"/>
  <c r="M230"/>
  <c r="L289"/>
  <c r="M227"/>
  <c r="L286"/>
  <c r="M224"/>
  <c r="H157"/>
  <c r="I219"/>
  <c r="O157"/>
  <c r="L274"/>
  <c r="M212"/>
  <c r="F246"/>
  <c r="G308"/>
  <c r="D244"/>
  <c r="E306"/>
  <c r="J244"/>
  <c r="P244"/>
  <c r="F236"/>
  <c r="G298"/>
  <c r="H233"/>
  <c r="I295"/>
  <c r="O233"/>
  <c r="D233"/>
  <c r="E295"/>
  <c r="P233"/>
  <c r="L287"/>
  <c r="M225"/>
  <c r="L283"/>
  <c r="M221"/>
  <c r="F217"/>
  <c r="G279"/>
  <c r="U217"/>
  <c r="H212"/>
  <c r="I274"/>
  <c r="O212"/>
  <c r="L308"/>
  <c r="M246"/>
  <c r="D245"/>
  <c r="P245"/>
  <c r="F243"/>
  <c r="G305"/>
  <c r="H179"/>
  <c r="I241"/>
  <c r="D239"/>
  <c r="E301"/>
  <c r="P239"/>
  <c r="O239" s="1"/>
  <c r="M239" s="1"/>
  <c r="J239"/>
  <c r="F234"/>
  <c r="G296"/>
  <c r="K284"/>
  <c r="M284" s="1"/>
  <c r="D221"/>
  <c r="P221"/>
  <c r="F219"/>
  <c r="G281"/>
  <c r="H151"/>
  <c r="I213"/>
  <c r="O151"/>
  <c r="K211"/>
  <c r="J211" s="1"/>
  <c r="L273"/>
  <c r="O78"/>
  <c r="P128"/>
  <c r="D250"/>
  <c r="E312"/>
  <c r="P250"/>
  <c r="F244"/>
  <c r="G306"/>
  <c r="F238"/>
  <c r="G300"/>
  <c r="F300" s="1"/>
  <c r="D236"/>
  <c r="V235" s="1"/>
  <c r="E298"/>
  <c r="P236"/>
  <c r="J236"/>
  <c r="D231"/>
  <c r="E293"/>
  <c r="P231"/>
  <c r="H228"/>
  <c r="I290"/>
  <c r="O228"/>
  <c r="D228"/>
  <c r="E290"/>
  <c r="P228"/>
  <c r="L281"/>
  <c r="M219"/>
  <c r="K214"/>
  <c r="K276" s="1"/>
  <c r="L276"/>
  <c r="D211"/>
  <c r="E273"/>
  <c r="P211"/>
  <c r="D206"/>
  <c r="E268"/>
  <c r="P206"/>
  <c r="J206"/>
  <c r="I206" s="1"/>
  <c r="R140"/>
  <c r="T140" s="1"/>
  <c r="H146"/>
  <c r="I208"/>
  <c r="O146"/>
  <c r="K206"/>
  <c r="K268" s="1"/>
  <c r="L268"/>
  <c r="F205"/>
  <c r="G267"/>
  <c r="U205"/>
  <c r="V205" s="1"/>
  <c r="L270"/>
  <c r="M208"/>
  <c r="R187"/>
  <c r="R151"/>
  <c r="R118"/>
  <c r="M312"/>
  <c r="V159"/>
  <c r="K190"/>
  <c r="O95"/>
  <c r="M95" s="1"/>
  <c r="F249"/>
  <c r="G311"/>
  <c r="U249"/>
  <c r="F248"/>
  <c r="G310"/>
  <c r="F245"/>
  <c r="G307"/>
  <c r="U245"/>
  <c r="H180"/>
  <c r="O180"/>
  <c r="H178"/>
  <c r="I240"/>
  <c r="H170"/>
  <c r="I232"/>
  <c r="F221"/>
  <c r="G283"/>
  <c r="F283" s="1"/>
  <c r="E283" s="1"/>
  <c r="U221"/>
  <c r="D218"/>
  <c r="E280"/>
  <c r="P218"/>
  <c r="J218"/>
  <c r="F216"/>
  <c r="G278"/>
  <c r="F210"/>
  <c r="G272"/>
  <c r="U210"/>
  <c r="L310"/>
  <c r="M248"/>
  <c r="L307"/>
  <c r="M245"/>
  <c r="K241"/>
  <c r="M241" s="1"/>
  <c r="L303"/>
  <c r="K303" s="1"/>
  <c r="H176"/>
  <c r="I238"/>
  <c r="D230"/>
  <c r="V229" s="1"/>
  <c r="E292"/>
  <c r="J230"/>
  <c r="P230"/>
  <c r="D229"/>
  <c r="E291"/>
  <c r="J229"/>
  <c r="F228"/>
  <c r="G290"/>
  <c r="H162"/>
  <c r="I224"/>
  <c r="O162"/>
  <c r="F223"/>
  <c r="U223"/>
  <c r="H158"/>
  <c r="I220"/>
  <c r="O158"/>
  <c r="D212"/>
  <c r="V211" s="1"/>
  <c r="E274"/>
  <c r="P212"/>
  <c r="D248"/>
  <c r="E310"/>
  <c r="P248"/>
  <c r="F240"/>
  <c r="G302"/>
  <c r="L298"/>
  <c r="M236"/>
  <c r="H216"/>
  <c r="I278"/>
  <c r="O216"/>
  <c r="M216" s="1"/>
  <c r="D216"/>
  <c r="P216"/>
  <c r="H210"/>
  <c r="I272"/>
  <c r="O210"/>
  <c r="D210"/>
  <c r="V209" s="1"/>
  <c r="E272"/>
  <c r="P210"/>
  <c r="L203"/>
  <c r="L252" s="1"/>
  <c r="M141"/>
  <c r="O122"/>
  <c r="M122" s="1"/>
  <c r="T122"/>
  <c r="O107"/>
  <c r="M107" s="1"/>
  <c r="O93"/>
  <c r="M93" s="1"/>
  <c r="T93"/>
  <c r="O84"/>
  <c r="D251"/>
  <c r="P251"/>
  <c r="L309"/>
  <c r="M247"/>
  <c r="L305"/>
  <c r="M243"/>
  <c r="L302"/>
  <c r="S302" s="1"/>
  <c r="S240"/>
  <c r="M240"/>
  <c r="F237"/>
  <c r="G299"/>
  <c r="U237"/>
  <c r="F233"/>
  <c r="G295"/>
  <c r="U233"/>
  <c r="K294"/>
  <c r="M294" s="1"/>
  <c r="D223"/>
  <c r="V222" s="1"/>
  <c r="E285"/>
  <c r="P223"/>
  <c r="J223"/>
  <c r="D222"/>
  <c r="E284"/>
  <c r="P222"/>
  <c r="J222"/>
  <c r="K218"/>
  <c r="K280" s="1"/>
  <c r="L280"/>
  <c r="S218"/>
  <c r="D217"/>
  <c r="E279"/>
  <c r="J217"/>
  <c r="P217"/>
  <c r="F212"/>
  <c r="G274"/>
  <c r="L271"/>
  <c r="M209"/>
  <c r="D204"/>
  <c r="P204"/>
  <c r="F202"/>
  <c r="G264"/>
  <c r="D208"/>
  <c r="V207" s="1"/>
  <c r="P208"/>
  <c r="D207"/>
  <c r="V206" s="1"/>
  <c r="E269"/>
  <c r="J207"/>
  <c r="P207"/>
  <c r="V143"/>
  <c r="V179"/>
  <c r="M171"/>
  <c r="M165"/>
  <c r="V163"/>
  <c r="M162"/>
  <c r="V151"/>
  <c r="O175"/>
  <c r="M175" s="1"/>
  <c r="O173"/>
  <c r="M163"/>
  <c r="M159"/>
  <c r="M151"/>
  <c r="M210"/>
  <c r="R110"/>
  <c r="T110" s="1"/>
  <c r="R94"/>
  <c r="J243"/>
  <c r="O177"/>
  <c r="J219"/>
  <c r="R113"/>
  <c r="V183"/>
  <c r="O144"/>
  <c r="M146"/>
  <c r="F286" l="1"/>
  <c r="F292"/>
  <c r="H235"/>
  <c r="M218"/>
  <c r="V215"/>
  <c r="F310"/>
  <c r="M214"/>
  <c r="M242"/>
  <c r="F275"/>
  <c r="E275" s="1"/>
  <c r="J275" s="1"/>
  <c r="V221"/>
  <c r="V217"/>
  <c r="F296"/>
  <c r="H264"/>
  <c r="F278"/>
  <c r="E278" s="1"/>
  <c r="F307"/>
  <c r="E307" s="1"/>
  <c r="M211"/>
  <c r="F271"/>
  <c r="F265"/>
  <c r="F291"/>
  <c r="M206"/>
  <c r="M304"/>
  <c r="F309"/>
  <c r="T187"/>
  <c r="O143"/>
  <c r="G198" i="15"/>
  <c r="F68" i="17" s="1"/>
  <c r="F306" i="7"/>
  <c r="F298"/>
  <c r="F301"/>
  <c r="F287"/>
  <c r="D269"/>
  <c r="P269"/>
  <c r="J269"/>
  <c r="K271"/>
  <c r="M271" s="1"/>
  <c r="D272"/>
  <c r="P272"/>
  <c r="D310"/>
  <c r="P310"/>
  <c r="J310"/>
  <c r="D291"/>
  <c r="P291"/>
  <c r="J291"/>
  <c r="D280"/>
  <c r="P280"/>
  <c r="J280"/>
  <c r="D307"/>
  <c r="J307"/>
  <c r="K273"/>
  <c r="J273" s="1"/>
  <c r="D306"/>
  <c r="P306"/>
  <c r="K295"/>
  <c r="M295" s="1"/>
  <c r="D309"/>
  <c r="P309"/>
  <c r="J309"/>
  <c r="D264"/>
  <c r="J264"/>
  <c r="P264"/>
  <c r="H217"/>
  <c r="I279"/>
  <c r="O217"/>
  <c r="H222"/>
  <c r="I284"/>
  <c r="O222"/>
  <c r="D205"/>
  <c r="J205"/>
  <c r="P205"/>
  <c r="H225"/>
  <c r="I287"/>
  <c r="H147"/>
  <c r="I209"/>
  <c r="O147"/>
  <c r="M147" s="1"/>
  <c r="M190" s="1"/>
  <c r="H230"/>
  <c r="I292"/>
  <c r="O230"/>
  <c r="M264"/>
  <c r="H250"/>
  <c r="I312"/>
  <c r="O250"/>
  <c r="H289"/>
  <c r="O289"/>
  <c r="F267"/>
  <c r="E267" s="1"/>
  <c r="M128"/>
  <c r="M223"/>
  <c r="V223"/>
  <c r="J272"/>
  <c r="F270"/>
  <c r="E270" s="1"/>
  <c r="O225"/>
  <c r="V225"/>
  <c r="O242"/>
  <c r="H272"/>
  <c r="O272"/>
  <c r="M272" s="1"/>
  <c r="D274"/>
  <c r="P274"/>
  <c r="H224"/>
  <c r="I286"/>
  <c r="O224"/>
  <c r="H238"/>
  <c r="O238"/>
  <c r="M238" s="1"/>
  <c r="D278"/>
  <c r="P278"/>
  <c r="O278" s="1"/>
  <c r="J278"/>
  <c r="D283"/>
  <c r="P283"/>
  <c r="H240"/>
  <c r="I302"/>
  <c r="O240"/>
  <c r="H213"/>
  <c r="I275"/>
  <c r="O213"/>
  <c r="H241"/>
  <c r="O241"/>
  <c r="H274"/>
  <c r="O274"/>
  <c r="M274" s="1"/>
  <c r="H219"/>
  <c r="I281"/>
  <c r="O219"/>
  <c r="H243"/>
  <c r="I305"/>
  <c r="O243"/>
  <c r="D265"/>
  <c r="P265"/>
  <c r="O265" s="1"/>
  <c r="J265"/>
  <c r="Q262"/>
  <c r="Q251"/>
  <c r="Q247"/>
  <c r="Q244"/>
  <c r="R244" s="1"/>
  <c r="Q243"/>
  <c r="Q250"/>
  <c r="Q248"/>
  <c r="Q246"/>
  <c r="Q245"/>
  <c r="Q242"/>
  <c r="Q241"/>
  <c r="Q249"/>
  <c r="R249" s="1"/>
  <c r="Q240"/>
  <c r="R240" s="1"/>
  <c r="Q235"/>
  <c r="P235" s="1"/>
  <c r="Q232"/>
  <c r="P232" s="1"/>
  <c r="Q227"/>
  <c r="Q219"/>
  <c r="Q216"/>
  <c r="R216" s="1"/>
  <c r="Q212"/>
  <c r="Q205"/>
  <c r="Q209"/>
  <c r="Q202"/>
  <c r="Q238"/>
  <c r="R238" s="1"/>
  <c r="Q236"/>
  <c r="Q234"/>
  <c r="P234" s="1"/>
  <c r="O234" s="1"/>
  <c r="Q226"/>
  <c r="P226" s="1"/>
  <c r="R226" s="1"/>
  <c r="Q222"/>
  <c r="Q221"/>
  <c r="R221" s="1"/>
  <c r="Q218"/>
  <c r="R218" s="1"/>
  <c r="T218" s="1"/>
  <c r="Q213"/>
  <c r="Q211"/>
  <c r="Q203"/>
  <c r="R203" s="1"/>
  <c r="Q239"/>
  <c r="Q237"/>
  <c r="P237" s="1"/>
  <c r="Q230"/>
  <c r="Q228"/>
  <c r="R228" s="1"/>
  <c r="Q224"/>
  <c r="Q215"/>
  <c r="Q208"/>
  <c r="Q204"/>
  <c r="Q233"/>
  <c r="R233" s="1"/>
  <c r="Q231"/>
  <c r="Q229"/>
  <c r="P229" s="1"/>
  <c r="O229" s="1"/>
  <c r="Q225"/>
  <c r="Q223"/>
  <c r="Q220"/>
  <c r="Q217"/>
  <c r="Q214"/>
  <c r="Q210"/>
  <c r="Q207"/>
  <c r="Q206"/>
  <c r="R206" s="1"/>
  <c r="H223"/>
  <c r="I285"/>
  <c r="O223"/>
  <c r="H293"/>
  <c r="O293"/>
  <c r="H236"/>
  <c r="I298"/>
  <c r="O236"/>
  <c r="H226"/>
  <c r="I288"/>
  <c r="O226"/>
  <c r="J231"/>
  <c r="K293"/>
  <c r="J293" s="1"/>
  <c r="D282"/>
  <c r="P282"/>
  <c r="J282"/>
  <c r="D286"/>
  <c r="P286"/>
  <c r="D275"/>
  <c r="P275"/>
  <c r="O275" s="1"/>
  <c r="M275" s="1"/>
  <c r="H207"/>
  <c r="I269"/>
  <c r="O207"/>
  <c r="H251"/>
  <c r="I313"/>
  <c r="O251"/>
  <c r="H239"/>
  <c r="I301"/>
  <c r="H214"/>
  <c r="I276"/>
  <c r="O214"/>
  <c r="D288"/>
  <c r="P288"/>
  <c r="O288" s="1"/>
  <c r="M288" s="1"/>
  <c r="J288"/>
  <c r="H242"/>
  <c r="I304"/>
  <c r="V249"/>
  <c r="V237"/>
  <c r="V233"/>
  <c r="J306"/>
  <c r="V213"/>
  <c r="V241"/>
  <c r="H220"/>
  <c r="I282"/>
  <c r="O220"/>
  <c r="K270"/>
  <c r="J270" s="1"/>
  <c r="H208"/>
  <c r="I270"/>
  <c r="O208"/>
  <c r="H206"/>
  <c r="O206"/>
  <c r="D290"/>
  <c r="P290"/>
  <c r="O290" s="1"/>
  <c r="M290" s="1"/>
  <c r="J290"/>
  <c r="D298"/>
  <c r="P298"/>
  <c r="O298" s="1"/>
  <c r="M298" s="1"/>
  <c r="J298"/>
  <c r="D312"/>
  <c r="P312"/>
  <c r="O312" s="1"/>
  <c r="J312"/>
  <c r="D295"/>
  <c r="P295"/>
  <c r="O295" s="1"/>
  <c r="J295"/>
  <c r="O167"/>
  <c r="H246"/>
  <c r="I308"/>
  <c r="O246"/>
  <c r="H143"/>
  <c r="I205"/>
  <c r="H221"/>
  <c r="I283"/>
  <c r="O221"/>
  <c r="D303"/>
  <c r="P303"/>
  <c r="J303"/>
  <c r="I303" s="1"/>
  <c r="H303" s="1"/>
  <c r="H248"/>
  <c r="I310"/>
  <c r="H310" s="1"/>
  <c r="O248"/>
  <c r="D277"/>
  <c r="P277"/>
  <c r="H229"/>
  <c r="I291"/>
  <c r="D300"/>
  <c r="P300"/>
  <c r="J300"/>
  <c r="I300" s="1"/>
  <c r="D296"/>
  <c r="J296"/>
  <c r="I296" s="1"/>
  <c r="D311"/>
  <c r="P311"/>
  <c r="J311"/>
  <c r="D276"/>
  <c r="J276"/>
  <c r="P276"/>
  <c r="O276" s="1"/>
  <c r="M276" s="1"/>
  <c r="D304"/>
  <c r="P304"/>
  <c r="O304" s="1"/>
  <c r="J304"/>
  <c r="F295"/>
  <c r="V210"/>
  <c r="O128"/>
  <c r="F279"/>
  <c r="F308"/>
  <c r="H265"/>
  <c r="J274"/>
  <c r="F282"/>
  <c r="F269"/>
  <c r="F266"/>
  <c r="E266" s="1"/>
  <c r="R202"/>
  <c r="H266"/>
  <c r="V245"/>
  <c r="F293"/>
  <c r="V239"/>
  <c r="D279"/>
  <c r="P279"/>
  <c r="O279" s="1"/>
  <c r="M279" s="1"/>
  <c r="J279"/>
  <c r="D284"/>
  <c r="P284"/>
  <c r="O284" s="1"/>
  <c r="J284"/>
  <c r="D285"/>
  <c r="P285"/>
  <c r="O285" s="1"/>
  <c r="J285"/>
  <c r="K203"/>
  <c r="M203" s="1"/>
  <c r="L265"/>
  <c r="D292"/>
  <c r="P292"/>
  <c r="J292"/>
  <c r="K307"/>
  <c r="M307" s="1"/>
  <c r="S307"/>
  <c r="H232"/>
  <c r="I294"/>
  <c r="D268"/>
  <c r="J268"/>
  <c r="I268" s="1"/>
  <c r="H268" s="1"/>
  <c r="G268" s="1"/>
  <c r="F268" s="1"/>
  <c r="P268"/>
  <c r="D273"/>
  <c r="P273"/>
  <c r="D293"/>
  <c r="P293"/>
  <c r="D301"/>
  <c r="P301"/>
  <c r="O301" s="1"/>
  <c r="M301" s="1"/>
  <c r="J301"/>
  <c r="H245"/>
  <c r="I307"/>
  <c r="O245"/>
  <c r="H249"/>
  <c r="I311"/>
  <c r="O249"/>
  <c r="M249" s="1"/>
  <c r="D209"/>
  <c r="E271"/>
  <c r="P209"/>
  <c r="J209"/>
  <c r="J227"/>
  <c r="K289"/>
  <c r="D294"/>
  <c r="J294"/>
  <c r="P294"/>
  <c r="D305"/>
  <c r="P305"/>
  <c r="H211"/>
  <c r="I273"/>
  <c r="O211"/>
  <c r="D308"/>
  <c r="P308"/>
  <c r="J308"/>
  <c r="D287"/>
  <c r="P287"/>
  <c r="O287" s="1"/>
  <c r="M287" s="1"/>
  <c r="J287"/>
  <c r="H215"/>
  <c r="I277"/>
  <c r="O215"/>
  <c r="H244"/>
  <c r="I306"/>
  <c r="O244"/>
  <c r="H218"/>
  <c r="I280"/>
  <c r="O218"/>
  <c r="K297"/>
  <c r="M297" s="1"/>
  <c r="H247"/>
  <c r="I309"/>
  <c r="O247"/>
  <c r="F264"/>
  <c r="F274"/>
  <c r="F299"/>
  <c r="E299" s="1"/>
  <c r="H278"/>
  <c r="F302"/>
  <c r="E302" s="1"/>
  <c r="F290"/>
  <c r="F272"/>
  <c r="F311"/>
  <c r="H290"/>
  <c r="F281"/>
  <c r="E281" s="1"/>
  <c r="F305"/>
  <c r="H295"/>
  <c r="H234"/>
  <c r="T151"/>
  <c r="F277"/>
  <c r="R242"/>
  <c r="T242" s="1"/>
  <c r="F276"/>
  <c r="M285"/>
  <c r="M231"/>
  <c r="J283"/>
  <c r="H237"/>
  <c r="F303"/>
  <c r="P190"/>
  <c r="J277"/>
  <c r="F289"/>
  <c r="E289" s="1"/>
  <c r="F280"/>
  <c r="F294"/>
  <c r="F304"/>
  <c r="F313"/>
  <c r="E313" s="1"/>
  <c r="L227" i="6"/>
  <c r="L339" s="1"/>
  <c r="K227"/>
  <c r="K339" s="1"/>
  <c r="I227"/>
  <c r="H227"/>
  <c r="H339" s="1"/>
  <c r="G227"/>
  <c r="G339" s="1"/>
  <c r="F227"/>
  <c r="E227"/>
  <c r="E339" s="1"/>
  <c r="D227"/>
  <c r="L226"/>
  <c r="K226"/>
  <c r="K338" s="1"/>
  <c r="I226"/>
  <c r="H226"/>
  <c r="G226"/>
  <c r="G338" s="1"/>
  <c r="F226"/>
  <c r="E226"/>
  <c r="E338" s="1"/>
  <c r="D226"/>
  <c r="L225"/>
  <c r="L337" s="1"/>
  <c r="K225"/>
  <c r="K337" s="1"/>
  <c r="I225"/>
  <c r="H225"/>
  <c r="H337" s="1"/>
  <c r="G225"/>
  <c r="G337" s="1"/>
  <c r="F225"/>
  <c r="E225"/>
  <c r="J225" s="1"/>
  <c r="D225"/>
  <c r="L224"/>
  <c r="L336" s="1"/>
  <c r="K224"/>
  <c r="K336" s="1"/>
  <c r="I224"/>
  <c r="H224"/>
  <c r="H336" s="1"/>
  <c r="G224"/>
  <c r="G336" s="1"/>
  <c r="F224"/>
  <c r="E224"/>
  <c r="D224"/>
  <c r="L223"/>
  <c r="L335" s="1"/>
  <c r="K223"/>
  <c r="K335" s="1"/>
  <c r="I223"/>
  <c r="H223"/>
  <c r="H335" s="1"/>
  <c r="G223"/>
  <c r="G335" s="1"/>
  <c r="F223"/>
  <c r="E223"/>
  <c r="E335" s="1"/>
  <c r="D223"/>
  <c r="L222"/>
  <c r="K222"/>
  <c r="K334" s="1"/>
  <c r="I222"/>
  <c r="H222"/>
  <c r="H334" s="1"/>
  <c r="G222"/>
  <c r="G334" s="1"/>
  <c r="F222"/>
  <c r="E222"/>
  <c r="E334" s="1"/>
  <c r="D222"/>
  <c r="L221"/>
  <c r="L333" s="1"/>
  <c r="K221"/>
  <c r="K333" s="1"/>
  <c r="I221"/>
  <c r="H221"/>
  <c r="H333" s="1"/>
  <c r="G221"/>
  <c r="G333" s="1"/>
  <c r="F221"/>
  <c r="E221"/>
  <c r="D221"/>
  <c r="L220"/>
  <c r="L332" s="1"/>
  <c r="K220"/>
  <c r="K332" s="1"/>
  <c r="I220"/>
  <c r="H220"/>
  <c r="G220"/>
  <c r="G332" s="1"/>
  <c r="F220"/>
  <c r="E220"/>
  <c r="E332" s="1"/>
  <c r="D220"/>
  <c r="L219"/>
  <c r="S219" s="1"/>
  <c r="K219"/>
  <c r="K331" s="1"/>
  <c r="I219"/>
  <c r="H219"/>
  <c r="H331" s="1"/>
  <c r="G219"/>
  <c r="G331" s="1"/>
  <c r="F219"/>
  <c r="E219"/>
  <c r="E331" s="1"/>
  <c r="D219"/>
  <c r="L218"/>
  <c r="L330" s="1"/>
  <c r="K218"/>
  <c r="K330" s="1"/>
  <c r="I218"/>
  <c r="H218"/>
  <c r="G218"/>
  <c r="G330" s="1"/>
  <c r="F218"/>
  <c r="E218"/>
  <c r="E330" s="1"/>
  <c r="D218"/>
  <c r="L217"/>
  <c r="L329" s="1"/>
  <c r="K217"/>
  <c r="K329" s="1"/>
  <c r="I217"/>
  <c r="H217"/>
  <c r="H329" s="1"/>
  <c r="G217"/>
  <c r="G329" s="1"/>
  <c r="F217"/>
  <c r="E217"/>
  <c r="D217"/>
  <c r="L216"/>
  <c r="L328" s="1"/>
  <c r="K216"/>
  <c r="K328" s="1"/>
  <c r="I216"/>
  <c r="H216"/>
  <c r="G216"/>
  <c r="G328" s="1"/>
  <c r="F216"/>
  <c r="E216"/>
  <c r="E328" s="1"/>
  <c r="D216"/>
  <c r="L215"/>
  <c r="L327" s="1"/>
  <c r="K215"/>
  <c r="K327" s="1"/>
  <c r="I215"/>
  <c r="H215"/>
  <c r="H327" s="1"/>
  <c r="G215"/>
  <c r="G327" s="1"/>
  <c r="F215"/>
  <c r="E215"/>
  <c r="E327" s="1"/>
  <c r="D215"/>
  <c r="L214"/>
  <c r="L326" s="1"/>
  <c r="K214"/>
  <c r="K326" s="1"/>
  <c r="I214"/>
  <c r="H214"/>
  <c r="G214"/>
  <c r="G326" s="1"/>
  <c r="F214"/>
  <c r="E214"/>
  <c r="E326" s="1"/>
  <c r="D214"/>
  <c r="L213"/>
  <c r="L325" s="1"/>
  <c r="K213"/>
  <c r="K325" s="1"/>
  <c r="I213"/>
  <c r="H213"/>
  <c r="H325" s="1"/>
  <c r="H437" s="1"/>
  <c r="G213"/>
  <c r="G325" s="1"/>
  <c r="F213"/>
  <c r="E213"/>
  <c r="D213"/>
  <c r="L212"/>
  <c r="L324" s="1"/>
  <c r="K212"/>
  <c r="K324" s="1"/>
  <c r="I212"/>
  <c r="H212"/>
  <c r="H324" s="1"/>
  <c r="G212"/>
  <c r="G324" s="1"/>
  <c r="F212"/>
  <c r="E212"/>
  <c r="E324" s="1"/>
  <c r="D212"/>
  <c r="L211"/>
  <c r="L323" s="1"/>
  <c r="K211"/>
  <c r="K323" s="1"/>
  <c r="I211"/>
  <c r="H211"/>
  <c r="H323" s="1"/>
  <c r="G211"/>
  <c r="G323" s="1"/>
  <c r="F211"/>
  <c r="E211"/>
  <c r="E323" s="1"/>
  <c r="D211"/>
  <c r="L210"/>
  <c r="L322" s="1"/>
  <c r="K210"/>
  <c r="K322" s="1"/>
  <c r="I210"/>
  <c r="H210"/>
  <c r="H322" s="1"/>
  <c r="G210"/>
  <c r="G322" s="1"/>
  <c r="F210"/>
  <c r="E210"/>
  <c r="E322" s="1"/>
  <c r="D210"/>
  <c r="L209"/>
  <c r="L321" s="1"/>
  <c r="K209"/>
  <c r="K321" s="1"/>
  <c r="I209"/>
  <c r="H209"/>
  <c r="H321" s="1"/>
  <c r="G209"/>
  <c r="G321" s="1"/>
  <c r="F209"/>
  <c r="E209"/>
  <c r="D209"/>
  <c r="L208"/>
  <c r="K208"/>
  <c r="K320" s="1"/>
  <c r="I208"/>
  <c r="H208"/>
  <c r="G208"/>
  <c r="G320" s="1"/>
  <c r="F208"/>
  <c r="E208"/>
  <c r="E320" s="1"/>
  <c r="D208"/>
  <c r="L207"/>
  <c r="S207" s="1"/>
  <c r="K207"/>
  <c r="K319" s="1"/>
  <c r="I207"/>
  <c r="H207"/>
  <c r="H319" s="1"/>
  <c r="G207"/>
  <c r="G319" s="1"/>
  <c r="F207"/>
  <c r="E207"/>
  <c r="E319" s="1"/>
  <c r="D207"/>
  <c r="L206"/>
  <c r="L318" s="1"/>
  <c r="K206"/>
  <c r="K318" s="1"/>
  <c r="I206"/>
  <c r="H206"/>
  <c r="H318" s="1"/>
  <c r="G206"/>
  <c r="G318" s="1"/>
  <c r="F206"/>
  <c r="E206"/>
  <c r="D206"/>
  <c r="L205"/>
  <c r="L317" s="1"/>
  <c r="K205"/>
  <c r="K317" s="1"/>
  <c r="I205"/>
  <c r="H205"/>
  <c r="H317" s="1"/>
  <c r="H429" s="1"/>
  <c r="H541" s="1"/>
  <c r="G205"/>
  <c r="G317" s="1"/>
  <c r="F205"/>
  <c r="E205"/>
  <c r="D205"/>
  <c r="L204"/>
  <c r="K204"/>
  <c r="K316" s="1"/>
  <c r="K428" s="1"/>
  <c r="I204"/>
  <c r="H204"/>
  <c r="G204"/>
  <c r="G316" s="1"/>
  <c r="F204"/>
  <c r="E204"/>
  <c r="E316" s="1"/>
  <c r="D204"/>
  <c r="L203"/>
  <c r="L315" s="1"/>
  <c r="K203"/>
  <c r="K315" s="1"/>
  <c r="I203"/>
  <c r="H203"/>
  <c r="H315" s="1"/>
  <c r="G203"/>
  <c r="G315" s="1"/>
  <c r="F203"/>
  <c r="E203"/>
  <c r="E315" s="1"/>
  <c r="D203"/>
  <c r="L202"/>
  <c r="L314" s="1"/>
  <c r="K202"/>
  <c r="K314" s="1"/>
  <c r="I202"/>
  <c r="H202"/>
  <c r="G202"/>
  <c r="G314" s="1"/>
  <c r="F202"/>
  <c r="E202"/>
  <c r="D202"/>
  <c r="L201"/>
  <c r="L313" s="1"/>
  <c r="K201"/>
  <c r="K313" s="1"/>
  <c r="I201"/>
  <c r="H201"/>
  <c r="H313" s="1"/>
  <c r="G201"/>
  <c r="G313" s="1"/>
  <c r="F201"/>
  <c r="E201"/>
  <c r="E313" s="1"/>
  <c r="D201"/>
  <c r="L200"/>
  <c r="K200"/>
  <c r="K312" s="1"/>
  <c r="K424" s="1"/>
  <c r="K536" s="1"/>
  <c r="I200"/>
  <c r="H200"/>
  <c r="G200"/>
  <c r="G312" s="1"/>
  <c r="F200"/>
  <c r="E200"/>
  <c r="E312" s="1"/>
  <c r="D200"/>
  <c r="L199"/>
  <c r="S199" s="1"/>
  <c r="K199"/>
  <c r="K311" s="1"/>
  <c r="I199"/>
  <c r="H199"/>
  <c r="H311" s="1"/>
  <c r="G199"/>
  <c r="G311" s="1"/>
  <c r="F199"/>
  <c r="E199"/>
  <c r="E311" s="1"/>
  <c r="D199"/>
  <c r="L198"/>
  <c r="L310" s="1"/>
  <c r="K198"/>
  <c r="K310" s="1"/>
  <c r="I198"/>
  <c r="H198"/>
  <c r="G198"/>
  <c r="G310" s="1"/>
  <c r="F198"/>
  <c r="E198"/>
  <c r="D198"/>
  <c r="L197"/>
  <c r="L309" s="1"/>
  <c r="K197"/>
  <c r="K309" s="1"/>
  <c r="I197"/>
  <c r="H197"/>
  <c r="H309" s="1"/>
  <c r="H421" s="1"/>
  <c r="G197"/>
  <c r="G309" s="1"/>
  <c r="F197"/>
  <c r="E197"/>
  <c r="J197" s="1"/>
  <c r="D197"/>
  <c r="L196"/>
  <c r="K196"/>
  <c r="K308" s="1"/>
  <c r="I196"/>
  <c r="H196"/>
  <c r="H308" s="1"/>
  <c r="G196"/>
  <c r="G308" s="1"/>
  <c r="F196"/>
  <c r="E196"/>
  <c r="E308" s="1"/>
  <c r="D196"/>
  <c r="L195"/>
  <c r="L307" s="1"/>
  <c r="K195"/>
  <c r="K307" s="1"/>
  <c r="I195"/>
  <c r="H195"/>
  <c r="H307" s="1"/>
  <c r="G195"/>
  <c r="G307" s="1"/>
  <c r="F195"/>
  <c r="E195"/>
  <c r="E307" s="1"/>
  <c r="D195"/>
  <c r="L194"/>
  <c r="L306" s="1"/>
  <c r="K194"/>
  <c r="K306" s="1"/>
  <c r="I194"/>
  <c r="H194"/>
  <c r="G194"/>
  <c r="G306" s="1"/>
  <c r="F194"/>
  <c r="E194"/>
  <c r="D194"/>
  <c r="L193"/>
  <c r="L305" s="1"/>
  <c r="K193"/>
  <c r="K305" s="1"/>
  <c r="I193"/>
  <c r="H193"/>
  <c r="H305" s="1"/>
  <c r="G193"/>
  <c r="G305" s="1"/>
  <c r="F193"/>
  <c r="E193"/>
  <c r="J193" s="1"/>
  <c r="D193"/>
  <c r="L192"/>
  <c r="L304" s="1"/>
  <c r="K192"/>
  <c r="K304" s="1"/>
  <c r="I192"/>
  <c r="H192"/>
  <c r="H304" s="1"/>
  <c r="G192"/>
  <c r="G304" s="1"/>
  <c r="F192"/>
  <c r="E192"/>
  <c r="E304" s="1"/>
  <c r="D192"/>
  <c r="L191"/>
  <c r="S191" s="1"/>
  <c r="K191"/>
  <c r="K303" s="1"/>
  <c r="I191"/>
  <c r="H191"/>
  <c r="H303" s="1"/>
  <c r="G191"/>
  <c r="G303" s="1"/>
  <c r="F191"/>
  <c r="E191"/>
  <c r="E303" s="1"/>
  <c r="D191"/>
  <c r="S190"/>
  <c r="L190"/>
  <c r="L302" s="1"/>
  <c r="K190"/>
  <c r="K302" s="1"/>
  <c r="K414" s="1"/>
  <c r="K526" s="1"/>
  <c r="I190"/>
  <c r="H190"/>
  <c r="H302" s="1"/>
  <c r="G190"/>
  <c r="G302" s="1"/>
  <c r="F190"/>
  <c r="E190"/>
  <c r="E302" s="1"/>
  <c r="D190"/>
  <c r="L189"/>
  <c r="L301" s="1"/>
  <c r="K189"/>
  <c r="K301" s="1"/>
  <c r="I189"/>
  <c r="H189"/>
  <c r="H301" s="1"/>
  <c r="G189"/>
  <c r="G301" s="1"/>
  <c r="F189"/>
  <c r="E189"/>
  <c r="J189" s="1"/>
  <c r="D189"/>
  <c r="L188"/>
  <c r="L300" s="1"/>
  <c r="K188"/>
  <c r="K300" s="1"/>
  <c r="I188"/>
  <c r="H188"/>
  <c r="G188"/>
  <c r="G300" s="1"/>
  <c r="F188"/>
  <c r="E188"/>
  <c r="E300" s="1"/>
  <c r="D188"/>
  <c r="L187"/>
  <c r="L299" s="1"/>
  <c r="K187"/>
  <c r="K299" s="1"/>
  <c r="K411" s="1"/>
  <c r="I187"/>
  <c r="H187"/>
  <c r="H299" s="1"/>
  <c r="G187"/>
  <c r="G299" s="1"/>
  <c r="F187"/>
  <c r="E187"/>
  <c r="E299" s="1"/>
  <c r="D187"/>
  <c r="L186"/>
  <c r="L298" s="1"/>
  <c r="K186"/>
  <c r="K298" s="1"/>
  <c r="I186"/>
  <c r="H186"/>
  <c r="G186"/>
  <c r="G298" s="1"/>
  <c r="F186"/>
  <c r="E186"/>
  <c r="E298" s="1"/>
  <c r="D186"/>
  <c r="L185"/>
  <c r="L297" s="1"/>
  <c r="K185"/>
  <c r="K297" s="1"/>
  <c r="I185"/>
  <c r="H185"/>
  <c r="H297" s="1"/>
  <c r="G185"/>
  <c r="G297" s="1"/>
  <c r="F185"/>
  <c r="E185"/>
  <c r="E297" s="1"/>
  <c r="D185"/>
  <c r="L184"/>
  <c r="L296" s="1"/>
  <c r="K184"/>
  <c r="K296" s="1"/>
  <c r="I184"/>
  <c r="H184"/>
  <c r="G184"/>
  <c r="G296" s="1"/>
  <c r="F184"/>
  <c r="E184"/>
  <c r="E296" s="1"/>
  <c r="D184"/>
  <c r="L183"/>
  <c r="L295" s="1"/>
  <c r="K183"/>
  <c r="K295" s="1"/>
  <c r="I183"/>
  <c r="H183"/>
  <c r="H295" s="1"/>
  <c r="G183"/>
  <c r="G295" s="1"/>
  <c r="F183"/>
  <c r="E183"/>
  <c r="E295" s="1"/>
  <c r="D183"/>
  <c r="L182"/>
  <c r="L294" s="1"/>
  <c r="K182"/>
  <c r="K294" s="1"/>
  <c r="I182"/>
  <c r="H182"/>
  <c r="G182"/>
  <c r="G294" s="1"/>
  <c r="F182"/>
  <c r="E182"/>
  <c r="E294" s="1"/>
  <c r="D182"/>
  <c r="L181"/>
  <c r="L293" s="1"/>
  <c r="K181"/>
  <c r="K293" s="1"/>
  <c r="I181"/>
  <c r="H181"/>
  <c r="H293" s="1"/>
  <c r="H405" s="1"/>
  <c r="G181"/>
  <c r="G293" s="1"/>
  <c r="F181"/>
  <c r="E181"/>
  <c r="E293" s="1"/>
  <c r="D181"/>
  <c r="L180"/>
  <c r="L292" s="1"/>
  <c r="K180"/>
  <c r="K292" s="1"/>
  <c r="I180"/>
  <c r="H180"/>
  <c r="H292" s="1"/>
  <c r="G180"/>
  <c r="G292" s="1"/>
  <c r="F180"/>
  <c r="E180"/>
  <c r="E292" s="1"/>
  <c r="D180"/>
  <c r="L179"/>
  <c r="K179"/>
  <c r="K291" s="1"/>
  <c r="K403" s="1"/>
  <c r="K515" s="1"/>
  <c r="I179"/>
  <c r="H179"/>
  <c r="H291" s="1"/>
  <c r="G179"/>
  <c r="G291" s="1"/>
  <c r="F179"/>
  <c r="E179"/>
  <c r="D179"/>
  <c r="L178"/>
  <c r="L290" s="1"/>
  <c r="K178"/>
  <c r="K290" s="1"/>
  <c r="I178"/>
  <c r="H178"/>
  <c r="H290" s="1"/>
  <c r="G178"/>
  <c r="G290" s="1"/>
  <c r="F178"/>
  <c r="E178"/>
  <c r="E290" s="1"/>
  <c r="D178"/>
  <c r="L177"/>
  <c r="K177"/>
  <c r="K289" s="1"/>
  <c r="I177"/>
  <c r="H177"/>
  <c r="H289" s="1"/>
  <c r="G177"/>
  <c r="G289" s="1"/>
  <c r="F177"/>
  <c r="E177"/>
  <c r="D177"/>
  <c r="L176"/>
  <c r="L288" s="1"/>
  <c r="K176"/>
  <c r="K288" s="1"/>
  <c r="I176"/>
  <c r="H176"/>
  <c r="G176"/>
  <c r="G288" s="1"/>
  <c r="F176"/>
  <c r="E176"/>
  <c r="E288" s="1"/>
  <c r="D176"/>
  <c r="L175"/>
  <c r="L287" s="1"/>
  <c r="K175"/>
  <c r="K287" s="1"/>
  <c r="I175"/>
  <c r="H175"/>
  <c r="H287" s="1"/>
  <c r="G175"/>
  <c r="G287" s="1"/>
  <c r="F175"/>
  <c r="E175"/>
  <c r="E287" s="1"/>
  <c r="D175"/>
  <c r="L174"/>
  <c r="L286" s="1"/>
  <c r="K174"/>
  <c r="K286" s="1"/>
  <c r="I174"/>
  <c r="H174"/>
  <c r="H286" s="1"/>
  <c r="G174"/>
  <c r="G286" s="1"/>
  <c r="F174"/>
  <c r="E174"/>
  <c r="E286" s="1"/>
  <c r="D174"/>
  <c r="L173"/>
  <c r="L285" s="1"/>
  <c r="K173"/>
  <c r="K285" s="1"/>
  <c r="I173"/>
  <c r="H173"/>
  <c r="H285" s="1"/>
  <c r="H397" s="1"/>
  <c r="G173"/>
  <c r="G285" s="1"/>
  <c r="F173"/>
  <c r="E173"/>
  <c r="D173"/>
  <c r="L172"/>
  <c r="L284" s="1"/>
  <c r="K172"/>
  <c r="K284" s="1"/>
  <c r="I172"/>
  <c r="H172"/>
  <c r="G172"/>
  <c r="G284" s="1"/>
  <c r="F172"/>
  <c r="E172"/>
  <c r="E284" s="1"/>
  <c r="D172"/>
  <c r="L171"/>
  <c r="S171" s="1"/>
  <c r="K171"/>
  <c r="K283" s="1"/>
  <c r="I171"/>
  <c r="H171"/>
  <c r="H283" s="1"/>
  <c r="G171"/>
  <c r="G283" s="1"/>
  <c r="F171"/>
  <c r="E171"/>
  <c r="E283" s="1"/>
  <c r="D171"/>
  <c r="L170"/>
  <c r="L282" s="1"/>
  <c r="K170"/>
  <c r="K282" s="1"/>
  <c r="I170"/>
  <c r="H170"/>
  <c r="G170"/>
  <c r="G282" s="1"/>
  <c r="F170"/>
  <c r="E170"/>
  <c r="E282" s="1"/>
  <c r="D170"/>
  <c r="L169"/>
  <c r="L281" s="1"/>
  <c r="K169"/>
  <c r="K281" s="1"/>
  <c r="I169"/>
  <c r="H169"/>
  <c r="H281" s="1"/>
  <c r="G169"/>
  <c r="G281" s="1"/>
  <c r="F169"/>
  <c r="E169"/>
  <c r="D169"/>
  <c r="L168"/>
  <c r="L280" s="1"/>
  <c r="K168"/>
  <c r="K280" s="1"/>
  <c r="K392" s="1"/>
  <c r="K504" s="1"/>
  <c r="I168"/>
  <c r="H168"/>
  <c r="G168"/>
  <c r="G280" s="1"/>
  <c r="F168"/>
  <c r="E168"/>
  <c r="E280" s="1"/>
  <c r="D168"/>
  <c r="L167"/>
  <c r="L279" s="1"/>
  <c r="K167"/>
  <c r="K279" s="1"/>
  <c r="I167"/>
  <c r="H167"/>
  <c r="H279" s="1"/>
  <c r="G167"/>
  <c r="G279" s="1"/>
  <c r="F167"/>
  <c r="E167"/>
  <c r="E279" s="1"/>
  <c r="D167"/>
  <c r="L166"/>
  <c r="L278" s="1"/>
  <c r="K166"/>
  <c r="K278" s="1"/>
  <c r="I166"/>
  <c r="H166"/>
  <c r="G166"/>
  <c r="G278" s="1"/>
  <c r="F166"/>
  <c r="E166"/>
  <c r="E278" s="1"/>
  <c r="D166"/>
  <c r="L165"/>
  <c r="L277" s="1"/>
  <c r="K165"/>
  <c r="K277" s="1"/>
  <c r="I165"/>
  <c r="H165"/>
  <c r="H277" s="1"/>
  <c r="H389" s="1"/>
  <c r="G165"/>
  <c r="G277" s="1"/>
  <c r="F165"/>
  <c r="E165"/>
  <c r="E277" s="1"/>
  <c r="D165"/>
  <c r="L164"/>
  <c r="L276" s="1"/>
  <c r="K164"/>
  <c r="K276" s="1"/>
  <c r="I164"/>
  <c r="H164"/>
  <c r="H276" s="1"/>
  <c r="G164"/>
  <c r="G276" s="1"/>
  <c r="F164"/>
  <c r="E164"/>
  <c r="E276" s="1"/>
  <c r="D164"/>
  <c r="L163"/>
  <c r="S163" s="1"/>
  <c r="K163"/>
  <c r="K275" s="1"/>
  <c r="I163"/>
  <c r="H163"/>
  <c r="H275" s="1"/>
  <c r="G163"/>
  <c r="G275" s="1"/>
  <c r="F163"/>
  <c r="E163"/>
  <c r="E275" s="1"/>
  <c r="D163"/>
  <c r="L162"/>
  <c r="L274" s="1"/>
  <c r="K162"/>
  <c r="K274" s="1"/>
  <c r="I162"/>
  <c r="H162"/>
  <c r="G162"/>
  <c r="G274" s="1"/>
  <c r="F162"/>
  <c r="E162"/>
  <c r="E274" s="1"/>
  <c r="D162"/>
  <c r="L161"/>
  <c r="L273" s="1"/>
  <c r="K161"/>
  <c r="K273" s="1"/>
  <c r="I161"/>
  <c r="H161"/>
  <c r="H273" s="1"/>
  <c r="G161"/>
  <c r="G273" s="1"/>
  <c r="F161"/>
  <c r="E161"/>
  <c r="D161"/>
  <c r="L160"/>
  <c r="S160" s="1"/>
  <c r="K160"/>
  <c r="K272" s="1"/>
  <c r="I160"/>
  <c r="H160"/>
  <c r="H272" s="1"/>
  <c r="G160"/>
  <c r="G272" s="1"/>
  <c r="F160"/>
  <c r="E160"/>
  <c r="E272" s="1"/>
  <c r="D160"/>
  <c r="L159"/>
  <c r="L271" s="1"/>
  <c r="K159"/>
  <c r="K271" s="1"/>
  <c r="I159"/>
  <c r="H159"/>
  <c r="H271" s="1"/>
  <c r="G159"/>
  <c r="G271" s="1"/>
  <c r="F159"/>
  <c r="E159"/>
  <c r="E271" s="1"/>
  <c r="D159"/>
  <c r="L158"/>
  <c r="L270" s="1"/>
  <c r="K158"/>
  <c r="I158"/>
  <c r="H158"/>
  <c r="H270" s="1"/>
  <c r="G158"/>
  <c r="G270" s="1"/>
  <c r="F158"/>
  <c r="E158"/>
  <c r="D158"/>
  <c r="L157"/>
  <c r="L269" s="1"/>
  <c r="K157"/>
  <c r="K269" s="1"/>
  <c r="I157"/>
  <c r="H157"/>
  <c r="G157"/>
  <c r="G269" s="1"/>
  <c r="F157"/>
  <c r="E157"/>
  <c r="D157"/>
  <c r="L156"/>
  <c r="L268" s="1"/>
  <c r="K156"/>
  <c r="I156"/>
  <c r="H156"/>
  <c r="G156"/>
  <c r="G268" s="1"/>
  <c r="F156"/>
  <c r="E156"/>
  <c r="D156"/>
  <c r="L155"/>
  <c r="S155" s="1"/>
  <c r="K155"/>
  <c r="I155"/>
  <c r="H155"/>
  <c r="H267" s="1"/>
  <c r="G155"/>
  <c r="G267" s="1"/>
  <c r="F155"/>
  <c r="E155"/>
  <c r="E267" s="1"/>
  <c r="D155"/>
  <c r="L154"/>
  <c r="L266" s="1"/>
  <c r="K154"/>
  <c r="I154"/>
  <c r="H154"/>
  <c r="G154"/>
  <c r="G266" s="1"/>
  <c r="F154"/>
  <c r="E154"/>
  <c r="D154"/>
  <c r="L153"/>
  <c r="L265" s="1"/>
  <c r="K153"/>
  <c r="K265" s="1"/>
  <c r="I153"/>
  <c r="H153"/>
  <c r="H265" s="1"/>
  <c r="G153"/>
  <c r="G265" s="1"/>
  <c r="F153"/>
  <c r="E153"/>
  <c r="D153"/>
  <c r="L152"/>
  <c r="S152" s="1"/>
  <c r="K152"/>
  <c r="K264" s="1"/>
  <c r="I152"/>
  <c r="H152"/>
  <c r="G152"/>
  <c r="G264" s="1"/>
  <c r="F152"/>
  <c r="E152"/>
  <c r="E264" s="1"/>
  <c r="D152"/>
  <c r="L151"/>
  <c r="L263" s="1"/>
  <c r="K151"/>
  <c r="K263" s="1"/>
  <c r="I151"/>
  <c r="H151"/>
  <c r="H263" s="1"/>
  <c r="G151"/>
  <c r="G263" s="1"/>
  <c r="F151"/>
  <c r="E151"/>
  <c r="D151"/>
  <c r="L150"/>
  <c r="L262" s="1"/>
  <c r="K150"/>
  <c r="I150"/>
  <c r="H150"/>
  <c r="G150"/>
  <c r="G262" s="1"/>
  <c r="F150"/>
  <c r="E150"/>
  <c r="E262" s="1"/>
  <c r="D150"/>
  <c r="L149"/>
  <c r="L261" s="1"/>
  <c r="K149"/>
  <c r="K261" s="1"/>
  <c r="I149"/>
  <c r="H149"/>
  <c r="H261" s="1"/>
  <c r="H373" s="1"/>
  <c r="G149"/>
  <c r="G261" s="1"/>
  <c r="F149"/>
  <c r="E149"/>
  <c r="D149"/>
  <c r="U148"/>
  <c r="L148"/>
  <c r="L260" s="1"/>
  <c r="K148"/>
  <c r="K260" s="1"/>
  <c r="I148"/>
  <c r="H148"/>
  <c r="H260" s="1"/>
  <c r="G148"/>
  <c r="G260" s="1"/>
  <c r="F148"/>
  <c r="E148"/>
  <c r="J148" s="1"/>
  <c r="D148"/>
  <c r="L147"/>
  <c r="L259" s="1"/>
  <c r="K147"/>
  <c r="I147"/>
  <c r="H147"/>
  <c r="H259" s="1"/>
  <c r="G147"/>
  <c r="G259" s="1"/>
  <c r="F147"/>
  <c r="E147"/>
  <c r="E259" s="1"/>
  <c r="D147"/>
  <c r="L146"/>
  <c r="L258" s="1"/>
  <c r="K146"/>
  <c r="I146"/>
  <c r="H146"/>
  <c r="G146"/>
  <c r="G258" s="1"/>
  <c r="F146"/>
  <c r="E146"/>
  <c r="E258" s="1"/>
  <c r="D146"/>
  <c r="L145"/>
  <c r="L257" s="1"/>
  <c r="K145"/>
  <c r="K257" s="1"/>
  <c r="I145"/>
  <c r="H145"/>
  <c r="G145"/>
  <c r="G257" s="1"/>
  <c r="F145"/>
  <c r="E145"/>
  <c r="J145" s="1"/>
  <c r="D145"/>
  <c r="L144"/>
  <c r="L256" s="1"/>
  <c r="K144"/>
  <c r="K256" s="1"/>
  <c r="I144"/>
  <c r="H144"/>
  <c r="G144"/>
  <c r="G256" s="1"/>
  <c r="F144"/>
  <c r="E144"/>
  <c r="J144" s="1"/>
  <c r="D144"/>
  <c r="L143"/>
  <c r="S143" s="1"/>
  <c r="K143"/>
  <c r="K255" s="1"/>
  <c r="I143"/>
  <c r="H143"/>
  <c r="H255" s="1"/>
  <c r="G143"/>
  <c r="G255" s="1"/>
  <c r="F143"/>
  <c r="E143"/>
  <c r="E255" s="1"/>
  <c r="D143"/>
  <c r="L142"/>
  <c r="L254" s="1"/>
  <c r="K142"/>
  <c r="I142"/>
  <c r="H142"/>
  <c r="H254" s="1"/>
  <c r="G142"/>
  <c r="G254" s="1"/>
  <c r="F142"/>
  <c r="E142"/>
  <c r="E254" s="1"/>
  <c r="D142"/>
  <c r="L141"/>
  <c r="L253" s="1"/>
  <c r="K141"/>
  <c r="K253" s="1"/>
  <c r="I141"/>
  <c r="H141"/>
  <c r="H253" s="1"/>
  <c r="H365" s="1"/>
  <c r="H477" s="1"/>
  <c r="G141"/>
  <c r="G253" s="1"/>
  <c r="F141"/>
  <c r="E141"/>
  <c r="D141"/>
  <c r="L140"/>
  <c r="L252" s="1"/>
  <c r="K140"/>
  <c r="K252" s="1"/>
  <c r="K364" s="1"/>
  <c r="K476" s="1"/>
  <c r="I140"/>
  <c r="H140"/>
  <c r="G140"/>
  <c r="G252" s="1"/>
  <c r="F140"/>
  <c r="E140"/>
  <c r="D140"/>
  <c r="L139"/>
  <c r="L251" s="1"/>
  <c r="K139"/>
  <c r="K251" s="1"/>
  <c r="I139"/>
  <c r="H139"/>
  <c r="H251" s="1"/>
  <c r="G139"/>
  <c r="G251" s="1"/>
  <c r="F139"/>
  <c r="E139"/>
  <c r="E251" s="1"/>
  <c r="D139"/>
  <c r="L138"/>
  <c r="L250" s="1"/>
  <c r="K138"/>
  <c r="K250" s="1"/>
  <c r="K362" s="1"/>
  <c r="K474" s="1"/>
  <c r="I138"/>
  <c r="H138"/>
  <c r="G138"/>
  <c r="G250" s="1"/>
  <c r="F138"/>
  <c r="E138"/>
  <c r="D138"/>
  <c r="L137"/>
  <c r="S137" s="1"/>
  <c r="K137"/>
  <c r="K249" s="1"/>
  <c r="I137"/>
  <c r="H137"/>
  <c r="H249" s="1"/>
  <c r="G137"/>
  <c r="G249" s="1"/>
  <c r="F137"/>
  <c r="E137"/>
  <c r="D137"/>
  <c r="L136"/>
  <c r="L248" s="1"/>
  <c r="K136"/>
  <c r="I136"/>
  <c r="H136"/>
  <c r="G136"/>
  <c r="G248" s="1"/>
  <c r="F136"/>
  <c r="E136"/>
  <c r="E248" s="1"/>
  <c r="D136"/>
  <c r="L135"/>
  <c r="L247" s="1"/>
  <c r="K135"/>
  <c r="K247" s="1"/>
  <c r="I135"/>
  <c r="H135"/>
  <c r="H247" s="1"/>
  <c r="G135"/>
  <c r="G247" s="1"/>
  <c r="F135"/>
  <c r="E135"/>
  <c r="J135" s="1"/>
  <c r="D135"/>
  <c r="L134"/>
  <c r="L246" s="1"/>
  <c r="K134"/>
  <c r="K246" s="1"/>
  <c r="I134"/>
  <c r="H134"/>
  <c r="G134"/>
  <c r="U134" s="1"/>
  <c r="F134"/>
  <c r="E134"/>
  <c r="E246" s="1"/>
  <c r="D134"/>
  <c r="L133"/>
  <c r="L245" s="1"/>
  <c r="K133"/>
  <c r="K245" s="1"/>
  <c r="I133"/>
  <c r="H133"/>
  <c r="H245" s="1"/>
  <c r="H357" s="1"/>
  <c r="G133"/>
  <c r="G245" s="1"/>
  <c r="F133"/>
  <c r="E133"/>
  <c r="E245" s="1"/>
  <c r="D133"/>
  <c r="L132"/>
  <c r="S132" s="1"/>
  <c r="K132"/>
  <c r="K244" s="1"/>
  <c r="I132"/>
  <c r="H132"/>
  <c r="H244" s="1"/>
  <c r="G132"/>
  <c r="G244" s="1"/>
  <c r="F132"/>
  <c r="E132"/>
  <c r="E244" s="1"/>
  <c r="D132"/>
  <c r="L131"/>
  <c r="L243" s="1"/>
  <c r="K131"/>
  <c r="K243" s="1"/>
  <c r="K355" s="1"/>
  <c r="I131"/>
  <c r="H131"/>
  <c r="H243" s="1"/>
  <c r="G131"/>
  <c r="G243" s="1"/>
  <c r="F131"/>
  <c r="E131"/>
  <c r="E243" s="1"/>
  <c r="D131"/>
  <c r="L130"/>
  <c r="L242" s="1"/>
  <c r="K130"/>
  <c r="K242" s="1"/>
  <c r="I130"/>
  <c r="H130"/>
  <c r="G130"/>
  <c r="G242" s="1"/>
  <c r="F130"/>
  <c r="E130"/>
  <c r="D130"/>
  <c r="L129"/>
  <c r="L241" s="1"/>
  <c r="K129"/>
  <c r="K241" s="1"/>
  <c r="I129"/>
  <c r="H129"/>
  <c r="H241" s="1"/>
  <c r="G129"/>
  <c r="G241" s="1"/>
  <c r="F129"/>
  <c r="E129"/>
  <c r="E241" s="1"/>
  <c r="D129"/>
  <c r="L128"/>
  <c r="L240" s="1"/>
  <c r="K128"/>
  <c r="K240" s="1"/>
  <c r="I128"/>
  <c r="H128"/>
  <c r="H240" s="1"/>
  <c r="G128"/>
  <c r="G240" s="1"/>
  <c r="F128"/>
  <c r="E128"/>
  <c r="E240" s="1"/>
  <c r="D128"/>
  <c r="U116"/>
  <c r="L116"/>
  <c r="K116"/>
  <c r="U115"/>
  <c r="M115"/>
  <c r="U114"/>
  <c r="R114"/>
  <c r="M114"/>
  <c r="U113"/>
  <c r="M113"/>
  <c r="U112"/>
  <c r="M112"/>
  <c r="U111"/>
  <c r="M111"/>
  <c r="U110"/>
  <c r="M110"/>
  <c r="U109"/>
  <c r="M109"/>
  <c r="U108"/>
  <c r="M108"/>
  <c r="U107"/>
  <c r="M107"/>
  <c r="U106"/>
  <c r="M106"/>
  <c r="U105"/>
  <c r="M105"/>
  <c r="U104"/>
  <c r="M104"/>
  <c r="U103"/>
  <c r="M103"/>
  <c r="U102"/>
  <c r="M102"/>
  <c r="U101"/>
  <c r="M101"/>
  <c r="U100"/>
  <c r="M100"/>
  <c r="U99"/>
  <c r="M99"/>
  <c r="U98"/>
  <c r="M98"/>
  <c r="U97"/>
  <c r="M97"/>
  <c r="U96"/>
  <c r="M96"/>
  <c r="U95"/>
  <c r="M95"/>
  <c r="U94"/>
  <c r="M94"/>
  <c r="U93"/>
  <c r="M93"/>
  <c r="U92"/>
  <c r="M92"/>
  <c r="U91"/>
  <c r="M91"/>
  <c r="U90"/>
  <c r="M90"/>
  <c r="U89"/>
  <c r="M89"/>
  <c r="U88"/>
  <c r="M88"/>
  <c r="U87"/>
  <c r="M87"/>
  <c r="U86"/>
  <c r="M86"/>
  <c r="U85"/>
  <c r="M85"/>
  <c r="U84"/>
  <c r="M84"/>
  <c r="U83"/>
  <c r="M83"/>
  <c r="U82"/>
  <c r="M82"/>
  <c r="U81"/>
  <c r="M81"/>
  <c r="U80"/>
  <c r="M80"/>
  <c r="U79"/>
  <c r="M79"/>
  <c r="U78"/>
  <c r="M78"/>
  <c r="U77"/>
  <c r="M77"/>
  <c r="U76"/>
  <c r="M76"/>
  <c r="U75"/>
  <c r="M75"/>
  <c r="U74"/>
  <c r="M74"/>
  <c r="U73"/>
  <c r="M73"/>
  <c r="U72"/>
  <c r="M72"/>
  <c r="U71"/>
  <c r="M71"/>
  <c r="U70"/>
  <c r="M70"/>
  <c r="U69"/>
  <c r="M69"/>
  <c r="U68"/>
  <c r="M68"/>
  <c r="U67"/>
  <c r="M67"/>
  <c r="U66"/>
  <c r="M66"/>
  <c r="U65"/>
  <c r="M65"/>
  <c r="U64"/>
  <c r="M64"/>
  <c r="U63"/>
  <c r="M63"/>
  <c r="U62"/>
  <c r="M62"/>
  <c r="U61"/>
  <c r="M61"/>
  <c r="U60"/>
  <c r="M60"/>
  <c r="U59"/>
  <c r="M59"/>
  <c r="U58"/>
  <c r="M58"/>
  <c r="U57"/>
  <c r="M57"/>
  <c r="U56"/>
  <c r="M56"/>
  <c r="U55"/>
  <c r="M55"/>
  <c r="U54"/>
  <c r="M54"/>
  <c r="U53"/>
  <c r="M53"/>
  <c r="U52"/>
  <c r="M52"/>
  <c r="U51"/>
  <c r="M51"/>
  <c r="U50"/>
  <c r="M50"/>
  <c r="U49"/>
  <c r="M49"/>
  <c r="U48"/>
  <c r="M48"/>
  <c r="U47"/>
  <c r="M47"/>
  <c r="U46"/>
  <c r="M46"/>
  <c r="U45"/>
  <c r="M45"/>
  <c r="U44"/>
  <c r="M44"/>
  <c r="U43"/>
  <c r="M43"/>
  <c r="U42"/>
  <c r="M42"/>
  <c r="U41"/>
  <c r="M41"/>
  <c r="U40"/>
  <c r="M40"/>
  <c r="U39"/>
  <c r="M39"/>
  <c r="U38"/>
  <c r="M38"/>
  <c r="U37"/>
  <c r="M37"/>
  <c r="U36"/>
  <c r="M36"/>
  <c r="U35"/>
  <c r="M35"/>
  <c r="U34"/>
  <c r="M34"/>
  <c r="U33"/>
  <c r="M33"/>
  <c r="U32"/>
  <c r="M32"/>
  <c r="U31"/>
  <c r="M31"/>
  <c r="U30"/>
  <c r="M30"/>
  <c r="U29"/>
  <c r="M29"/>
  <c r="U28"/>
  <c r="M28"/>
  <c r="U27"/>
  <c r="M27"/>
  <c r="U26"/>
  <c r="M26"/>
  <c r="U25"/>
  <c r="M25"/>
  <c r="U24"/>
  <c r="M24"/>
  <c r="U23"/>
  <c r="M23"/>
  <c r="U22"/>
  <c r="M22"/>
  <c r="U21"/>
  <c r="M21"/>
  <c r="U20"/>
  <c r="M20"/>
  <c r="U19"/>
  <c r="M19"/>
  <c r="U18"/>
  <c r="M18"/>
  <c r="U17"/>
  <c r="M17"/>
  <c r="U16"/>
  <c r="S16"/>
  <c r="M16"/>
  <c r="Q14"/>
  <c r="Q114" s="1"/>
  <c r="P114" s="1"/>
  <c r="C5"/>
  <c r="I137" i="5"/>
  <c r="I136"/>
  <c r="I135"/>
  <c r="I134"/>
  <c r="I132"/>
  <c r="I131"/>
  <c r="I130"/>
  <c r="I126"/>
  <c r="E118"/>
  <c r="E457" i="6" s="1"/>
  <c r="E117" i="5"/>
  <c r="O112"/>
  <c r="O111"/>
  <c r="O110"/>
  <c r="O109"/>
  <c r="O108"/>
  <c r="I108"/>
  <c r="O107"/>
  <c r="O106"/>
  <c r="I106"/>
  <c r="O105"/>
  <c r="I105"/>
  <c r="O104"/>
  <c r="I104"/>
  <c r="O103"/>
  <c r="O101"/>
  <c r="I101"/>
  <c r="O100"/>
  <c r="O99"/>
  <c r="I99"/>
  <c r="E91"/>
  <c r="E195" i="7" s="1"/>
  <c r="E90" i="5"/>
  <c r="E194" i="7" s="1"/>
  <c r="O85" i="5"/>
  <c r="I85"/>
  <c r="O84"/>
  <c r="I84"/>
  <c r="O83"/>
  <c r="I83"/>
  <c r="O82"/>
  <c r="I82"/>
  <c r="O81"/>
  <c r="O80"/>
  <c r="O79"/>
  <c r="I79"/>
  <c r="O78"/>
  <c r="O77"/>
  <c r="O76"/>
  <c r="I75"/>
  <c r="O74"/>
  <c r="I74"/>
  <c r="O73"/>
  <c r="O72"/>
  <c r="E64"/>
  <c r="E133" i="7" s="1"/>
  <c r="E63" i="5"/>
  <c r="E232" i="6" s="1"/>
  <c r="O57" i="5"/>
  <c r="L57"/>
  <c r="L85" s="1"/>
  <c r="L112" s="1"/>
  <c r="L139" s="1"/>
  <c r="K57"/>
  <c r="K85" s="1"/>
  <c r="I57"/>
  <c r="H57"/>
  <c r="G57"/>
  <c r="G85" s="1"/>
  <c r="G112" s="1"/>
  <c r="F57"/>
  <c r="E57"/>
  <c r="E85" s="1"/>
  <c r="D57"/>
  <c r="L56"/>
  <c r="K56"/>
  <c r="K84" s="1"/>
  <c r="K111" s="1"/>
  <c r="K138" s="1"/>
  <c r="I56"/>
  <c r="H56"/>
  <c r="G56"/>
  <c r="G84" s="1"/>
  <c r="G111" s="1"/>
  <c r="F56"/>
  <c r="E56"/>
  <c r="E84" s="1"/>
  <c r="P84" s="1"/>
  <c r="D56"/>
  <c r="L55"/>
  <c r="K55"/>
  <c r="I55"/>
  <c r="H55"/>
  <c r="G55"/>
  <c r="G83" s="1"/>
  <c r="F55"/>
  <c r="E55"/>
  <c r="E83" s="1"/>
  <c r="D55"/>
  <c r="L54"/>
  <c r="K54"/>
  <c r="I54"/>
  <c r="H54"/>
  <c r="G54"/>
  <c r="G82" s="1"/>
  <c r="F54"/>
  <c r="E54"/>
  <c r="D54"/>
  <c r="L53"/>
  <c r="L81" s="1"/>
  <c r="K53"/>
  <c r="I53"/>
  <c r="H53"/>
  <c r="G53"/>
  <c r="G81" s="1"/>
  <c r="F53"/>
  <c r="E53"/>
  <c r="D53"/>
  <c r="L52"/>
  <c r="K52"/>
  <c r="K80" s="1"/>
  <c r="I52"/>
  <c r="H52"/>
  <c r="G52"/>
  <c r="G80" s="1"/>
  <c r="F52"/>
  <c r="E52"/>
  <c r="D52"/>
  <c r="L51"/>
  <c r="L79" s="1"/>
  <c r="K51"/>
  <c r="I51"/>
  <c r="H51"/>
  <c r="G51"/>
  <c r="G79" s="1"/>
  <c r="F51"/>
  <c r="E51"/>
  <c r="D51"/>
  <c r="L50"/>
  <c r="L78" s="1"/>
  <c r="K50"/>
  <c r="I50"/>
  <c r="H50"/>
  <c r="G50"/>
  <c r="G78" s="1"/>
  <c r="F50"/>
  <c r="E50"/>
  <c r="J50" s="1"/>
  <c r="D50"/>
  <c r="L49"/>
  <c r="L77" s="1"/>
  <c r="K49"/>
  <c r="I49"/>
  <c r="H49"/>
  <c r="G49"/>
  <c r="G77" s="1"/>
  <c r="F49"/>
  <c r="E49"/>
  <c r="E77" s="1"/>
  <c r="D49"/>
  <c r="L48"/>
  <c r="M48" s="1"/>
  <c r="K48"/>
  <c r="K76" s="1"/>
  <c r="K103" s="1"/>
  <c r="I48"/>
  <c r="H48"/>
  <c r="G48"/>
  <c r="G76" s="1"/>
  <c r="F76" s="1"/>
  <c r="F48"/>
  <c r="E48"/>
  <c r="E76" s="1"/>
  <c r="D48"/>
  <c r="L47"/>
  <c r="L75" s="1"/>
  <c r="K47"/>
  <c r="I47"/>
  <c r="H47"/>
  <c r="G47"/>
  <c r="G75" s="1"/>
  <c r="F47"/>
  <c r="E47"/>
  <c r="E75" s="1"/>
  <c r="D47"/>
  <c r="S141" i="6" l="1"/>
  <c r="M154"/>
  <c r="S181"/>
  <c r="P252" i="7"/>
  <c r="O292"/>
  <c r="I240" i="6"/>
  <c r="M167"/>
  <c r="I198" i="15"/>
  <c r="H300" i="7"/>
  <c r="S53" i="5"/>
  <c r="S161" i="6"/>
  <c r="S198"/>
  <c r="O294" i="7"/>
  <c r="H276"/>
  <c r="H269"/>
  <c r="H287"/>
  <c r="M273"/>
  <c r="J168" i="6"/>
  <c r="T114"/>
  <c r="S114" s="1"/>
  <c r="J176"/>
  <c r="O176" s="1"/>
  <c r="I255"/>
  <c r="I269"/>
  <c r="I271"/>
  <c r="I312"/>
  <c r="I313"/>
  <c r="I256"/>
  <c r="O144"/>
  <c r="P144" s="1"/>
  <c r="I272"/>
  <c r="I384" s="1"/>
  <c r="I273"/>
  <c r="I287"/>
  <c r="I254"/>
  <c r="I261"/>
  <c r="I262"/>
  <c r="I263"/>
  <c r="I264"/>
  <c r="I265"/>
  <c r="I377" s="1"/>
  <c r="I266"/>
  <c r="I267"/>
  <c r="I268"/>
  <c r="I281"/>
  <c r="I393" s="1"/>
  <c r="I282"/>
  <c r="I283"/>
  <c r="I284"/>
  <c r="I285"/>
  <c r="I397" s="1"/>
  <c r="I303"/>
  <c r="I304"/>
  <c r="I305"/>
  <c r="O193"/>
  <c r="I308"/>
  <c r="I309"/>
  <c r="O197"/>
  <c r="M179"/>
  <c r="M203"/>
  <c r="M226"/>
  <c r="I241"/>
  <c r="I242"/>
  <c r="I354" s="1"/>
  <c r="I243"/>
  <c r="I244"/>
  <c r="I245"/>
  <c r="I246"/>
  <c r="I247"/>
  <c r="O135"/>
  <c r="I249"/>
  <c r="I250"/>
  <c r="I362" s="1"/>
  <c r="I251"/>
  <c r="I252"/>
  <c r="I253"/>
  <c r="I260"/>
  <c r="O148"/>
  <c r="I280"/>
  <c r="O168"/>
  <c r="I294"/>
  <c r="I406" s="1"/>
  <c r="I295"/>
  <c r="I296"/>
  <c r="I297"/>
  <c r="I298"/>
  <c r="I410" s="1"/>
  <c r="I299"/>
  <c r="I300"/>
  <c r="I301"/>
  <c r="O189"/>
  <c r="I302"/>
  <c r="I257"/>
  <c r="O145"/>
  <c r="P145" s="1"/>
  <c r="I275"/>
  <c r="I276"/>
  <c r="I277"/>
  <c r="I279"/>
  <c r="I289"/>
  <c r="I291"/>
  <c r="I292"/>
  <c r="I293"/>
  <c r="I316"/>
  <c r="I317"/>
  <c r="I318"/>
  <c r="I320"/>
  <c r="I321"/>
  <c r="I433" s="1"/>
  <c r="I323"/>
  <c r="I324"/>
  <c r="I325"/>
  <c r="I327"/>
  <c r="I439" s="1"/>
  <c r="I328"/>
  <c r="I329"/>
  <c r="I331"/>
  <c r="I332"/>
  <c r="I444" s="1"/>
  <c r="I333"/>
  <c r="I334"/>
  <c r="I335"/>
  <c r="I336"/>
  <c r="I448" s="1"/>
  <c r="I339"/>
  <c r="F197" i="15"/>
  <c r="F199" s="1"/>
  <c r="O166" i="6"/>
  <c r="O225"/>
  <c r="M116"/>
  <c r="M136"/>
  <c r="S139"/>
  <c r="J129"/>
  <c r="O129" s="1"/>
  <c r="S136"/>
  <c r="U144"/>
  <c r="M150"/>
  <c r="U160"/>
  <c r="J166"/>
  <c r="S167"/>
  <c r="M307"/>
  <c r="M196"/>
  <c r="J199"/>
  <c r="O199" s="1"/>
  <c r="S201"/>
  <c r="J204"/>
  <c r="O204" s="1"/>
  <c r="M224"/>
  <c r="M130"/>
  <c r="J133"/>
  <c r="O133" s="1"/>
  <c r="M141"/>
  <c r="S157"/>
  <c r="M201"/>
  <c r="U204"/>
  <c r="K79" i="5"/>
  <c r="K106" s="1"/>
  <c r="K133" s="1"/>
  <c r="M140" i="6"/>
  <c r="M157"/>
  <c r="M158"/>
  <c r="M172"/>
  <c r="S179"/>
  <c r="M204"/>
  <c r="M270" i="7"/>
  <c r="J56" i="5"/>
  <c r="Q26" i="6"/>
  <c r="P26" s="1"/>
  <c r="R26" s="1"/>
  <c r="Q30"/>
  <c r="P30" s="1"/>
  <c r="R30" s="1"/>
  <c r="Q34"/>
  <c r="P34" s="1"/>
  <c r="R34" s="1"/>
  <c r="Q38"/>
  <c r="P38" s="1"/>
  <c r="Q56"/>
  <c r="P56" s="1"/>
  <c r="R56" s="1"/>
  <c r="Q60"/>
  <c r="P60" s="1"/>
  <c r="R60" s="1"/>
  <c r="Q64"/>
  <c r="P64" s="1"/>
  <c r="R64" s="1"/>
  <c r="Q68"/>
  <c r="P68" s="1"/>
  <c r="R68" s="1"/>
  <c r="Q90"/>
  <c r="P90" s="1"/>
  <c r="R90" s="1"/>
  <c r="Q94"/>
  <c r="P94" s="1"/>
  <c r="R94" s="1"/>
  <c r="Q99"/>
  <c r="P99" s="1"/>
  <c r="R99" s="1"/>
  <c r="J132"/>
  <c r="O132" s="1"/>
  <c r="J137"/>
  <c r="O137" s="1"/>
  <c r="P137" s="1"/>
  <c r="J159"/>
  <c r="O159" s="1"/>
  <c r="M169"/>
  <c r="M182"/>
  <c r="J183"/>
  <c r="O183" s="1"/>
  <c r="M184"/>
  <c r="J186"/>
  <c r="O186" s="1"/>
  <c r="M191"/>
  <c r="O300" i="7"/>
  <c r="F164" i="15"/>
  <c r="P56" i="5"/>
  <c r="O56" s="1"/>
  <c r="Q19" i="6"/>
  <c r="P19" s="1"/>
  <c r="R19" s="1"/>
  <c r="Q25"/>
  <c r="P25" s="1"/>
  <c r="R25" s="1"/>
  <c r="Q29"/>
  <c r="P29" s="1"/>
  <c r="R29" s="1"/>
  <c r="Q33"/>
  <c r="P33" s="1"/>
  <c r="R33" s="1"/>
  <c r="Q37"/>
  <c r="P37" s="1"/>
  <c r="R37" s="1"/>
  <c r="Q55"/>
  <c r="P55" s="1"/>
  <c r="R55" s="1"/>
  <c r="Q59"/>
  <c r="P59" s="1"/>
  <c r="R59" s="1"/>
  <c r="Q63"/>
  <c r="P63" s="1"/>
  <c r="R63" s="1"/>
  <c r="Q67"/>
  <c r="P67" s="1"/>
  <c r="R67" s="1"/>
  <c r="Q89"/>
  <c r="P89" s="1"/>
  <c r="R89" s="1"/>
  <c r="Q93"/>
  <c r="P93" s="1"/>
  <c r="R93" s="1"/>
  <c r="Q97"/>
  <c r="P97" s="1"/>
  <c r="R97" s="1"/>
  <c r="P132"/>
  <c r="M142"/>
  <c r="U168"/>
  <c r="P186"/>
  <c r="P197"/>
  <c r="S202"/>
  <c r="P204"/>
  <c r="J205"/>
  <c r="O205" s="1"/>
  <c r="P205" s="1"/>
  <c r="J210"/>
  <c r="O210" s="1"/>
  <c r="J215"/>
  <c r="O215" s="1"/>
  <c r="P215" s="1"/>
  <c r="J217"/>
  <c r="O217" s="1"/>
  <c r="P217" s="1"/>
  <c r="M222"/>
  <c r="S224"/>
  <c r="H275" i="7"/>
  <c r="M53" i="5"/>
  <c r="M54"/>
  <c r="J55"/>
  <c r="M56"/>
  <c r="J57"/>
  <c r="P57"/>
  <c r="Q16" i="6"/>
  <c r="P16" s="1"/>
  <c r="Q18"/>
  <c r="P18" s="1"/>
  <c r="R18" s="1"/>
  <c r="Q24"/>
  <c r="P24" s="1"/>
  <c r="R24" s="1"/>
  <c r="Q28"/>
  <c r="P28" s="1"/>
  <c r="R28" s="1"/>
  <c r="Q32"/>
  <c r="P32" s="1"/>
  <c r="R32" s="1"/>
  <c r="Q36"/>
  <c r="P36" s="1"/>
  <c r="R36" s="1"/>
  <c r="Q58"/>
  <c r="P58" s="1"/>
  <c r="R58" s="1"/>
  <c r="Q62"/>
  <c r="P62" s="1"/>
  <c r="R62" s="1"/>
  <c r="Q66"/>
  <c r="P66" s="1"/>
  <c r="R66" s="1"/>
  <c r="Q70"/>
  <c r="P70" s="1"/>
  <c r="Q88"/>
  <c r="P88" s="1"/>
  <c r="R88" s="1"/>
  <c r="Q92"/>
  <c r="P92" s="1"/>
  <c r="R92" s="1"/>
  <c r="Q96"/>
  <c r="P96" s="1"/>
  <c r="R96" s="1"/>
  <c r="P129"/>
  <c r="J131"/>
  <c r="O131" s="1"/>
  <c r="P133"/>
  <c r="J138"/>
  <c r="O138" s="1"/>
  <c r="P138" s="1"/>
  <c r="M139"/>
  <c r="S142"/>
  <c r="J143"/>
  <c r="O143" s="1"/>
  <c r="M147"/>
  <c r="S149"/>
  <c r="S151"/>
  <c r="S153"/>
  <c r="M155"/>
  <c r="M156"/>
  <c r="M161"/>
  <c r="J163"/>
  <c r="O163" s="1"/>
  <c r="P168"/>
  <c r="M174"/>
  <c r="J175"/>
  <c r="O175" s="1"/>
  <c r="P176"/>
  <c r="J178"/>
  <c r="O178" s="1"/>
  <c r="J180"/>
  <c r="O180" s="1"/>
  <c r="M181"/>
  <c r="J187"/>
  <c r="O187" s="1"/>
  <c r="P187" s="1"/>
  <c r="P189"/>
  <c r="S194"/>
  <c r="J214"/>
  <c r="O214" s="1"/>
  <c r="J220"/>
  <c r="O220" s="1"/>
  <c r="P220" s="1"/>
  <c r="J223"/>
  <c r="O223" s="1"/>
  <c r="O303" i="7"/>
  <c r="M303" s="1"/>
  <c r="M50" i="5"/>
  <c r="M51"/>
  <c r="P55"/>
  <c r="O55" s="1"/>
  <c r="O116" i="6"/>
  <c r="Q17"/>
  <c r="P17" s="1"/>
  <c r="R17" s="1"/>
  <c r="Q23"/>
  <c r="P23" s="1"/>
  <c r="R23" s="1"/>
  <c r="Q27"/>
  <c r="P27" s="1"/>
  <c r="R27" s="1"/>
  <c r="Q31"/>
  <c r="P31" s="1"/>
  <c r="R31" s="1"/>
  <c r="Q35"/>
  <c r="P35" s="1"/>
  <c r="R35" s="1"/>
  <c r="Q57"/>
  <c r="P57" s="1"/>
  <c r="R57" s="1"/>
  <c r="Q61"/>
  <c r="P61" s="1"/>
  <c r="R61" s="1"/>
  <c r="Q65"/>
  <c r="P65" s="1"/>
  <c r="R65" s="1"/>
  <c r="Q69"/>
  <c r="P69" s="1"/>
  <c r="R69" s="1"/>
  <c r="Q87"/>
  <c r="P87" s="1"/>
  <c r="R87" s="1"/>
  <c r="Q91"/>
  <c r="P91" s="1"/>
  <c r="R91" s="1"/>
  <c r="Q95"/>
  <c r="P95" s="1"/>
  <c r="R95" s="1"/>
  <c r="Q101"/>
  <c r="P101" s="1"/>
  <c r="J128"/>
  <c r="J240" s="1"/>
  <c r="J134"/>
  <c r="O134" s="1"/>
  <c r="U140"/>
  <c r="M146"/>
  <c r="S147"/>
  <c r="M149"/>
  <c r="J150"/>
  <c r="O150" s="1"/>
  <c r="P150" s="1"/>
  <c r="M151"/>
  <c r="J152"/>
  <c r="O152" s="1"/>
  <c r="M153"/>
  <c r="S156"/>
  <c r="J160"/>
  <c r="O160" s="1"/>
  <c r="M164"/>
  <c r="J165"/>
  <c r="O165" s="1"/>
  <c r="S169"/>
  <c r="S173"/>
  <c r="S182"/>
  <c r="S184"/>
  <c r="J185"/>
  <c r="O185" s="1"/>
  <c r="P185" s="1"/>
  <c r="J188"/>
  <c r="O188" s="1"/>
  <c r="P188" s="1"/>
  <c r="J195"/>
  <c r="O195" s="1"/>
  <c r="P195" s="1"/>
  <c r="S203"/>
  <c r="J206"/>
  <c r="O206" s="1"/>
  <c r="P206" s="1"/>
  <c r="J209"/>
  <c r="O209" s="1"/>
  <c r="P209" s="1"/>
  <c r="J211"/>
  <c r="O211" s="1"/>
  <c r="S212"/>
  <c r="J218"/>
  <c r="O218" s="1"/>
  <c r="J222"/>
  <c r="O222" s="1"/>
  <c r="F75" i="5"/>
  <c r="G102"/>
  <c r="F77"/>
  <c r="G104"/>
  <c r="K77"/>
  <c r="M77" s="1"/>
  <c r="L104"/>
  <c r="F78"/>
  <c r="E78" s="1"/>
  <c r="U78"/>
  <c r="G105"/>
  <c r="F79"/>
  <c r="G106"/>
  <c r="U111"/>
  <c r="F82"/>
  <c r="E82" s="1"/>
  <c r="G109"/>
  <c r="U82"/>
  <c r="G139"/>
  <c r="U112"/>
  <c r="D76"/>
  <c r="P76"/>
  <c r="J76"/>
  <c r="I76" s="1"/>
  <c r="H76" s="1"/>
  <c r="F81"/>
  <c r="G108"/>
  <c r="K75"/>
  <c r="K102" s="1"/>
  <c r="K129" s="1"/>
  <c r="S75"/>
  <c r="F83"/>
  <c r="G110"/>
  <c r="D240" i="6"/>
  <c r="E352"/>
  <c r="I352"/>
  <c r="F241"/>
  <c r="G353"/>
  <c r="U241"/>
  <c r="H242"/>
  <c r="H355"/>
  <c r="H467" s="1"/>
  <c r="S243"/>
  <c r="M243"/>
  <c r="F245"/>
  <c r="G357"/>
  <c r="D246"/>
  <c r="E358"/>
  <c r="H246"/>
  <c r="G246" s="1"/>
  <c r="I358"/>
  <c r="F247"/>
  <c r="G359"/>
  <c r="D248"/>
  <c r="E360"/>
  <c r="S250"/>
  <c r="M250"/>
  <c r="I365"/>
  <c r="F254"/>
  <c r="G366"/>
  <c r="L366"/>
  <c r="S254"/>
  <c r="H367"/>
  <c r="H479" s="1"/>
  <c r="F257"/>
  <c r="E257" s="1"/>
  <c r="G369"/>
  <c r="U257"/>
  <c r="D258"/>
  <c r="H371"/>
  <c r="H483" s="1"/>
  <c r="F261"/>
  <c r="E261" s="1"/>
  <c r="G373"/>
  <c r="U261"/>
  <c r="L373"/>
  <c r="S261"/>
  <c r="M261"/>
  <c r="D262"/>
  <c r="E374"/>
  <c r="J262"/>
  <c r="H262"/>
  <c r="F263"/>
  <c r="G375"/>
  <c r="U263"/>
  <c r="V263" s="1"/>
  <c r="L375"/>
  <c r="S263"/>
  <c r="M263"/>
  <c r="D264"/>
  <c r="E376"/>
  <c r="H264"/>
  <c r="F265"/>
  <c r="E265" s="1"/>
  <c r="G377"/>
  <c r="U265"/>
  <c r="L377"/>
  <c r="S265"/>
  <c r="M265"/>
  <c r="H266"/>
  <c r="I378"/>
  <c r="H379"/>
  <c r="H491" s="1"/>
  <c r="I381"/>
  <c r="F270"/>
  <c r="G382"/>
  <c r="L382"/>
  <c r="S270"/>
  <c r="D272"/>
  <c r="E384"/>
  <c r="J272"/>
  <c r="S48" i="5"/>
  <c r="S49"/>
  <c r="J47"/>
  <c r="P47"/>
  <c r="O47" s="1"/>
  <c r="J48"/>
  <c r="J49"/>
  <c r="M52"/>
  <c r="J85"/>
  <c r="L102"/>
  <c r="L106"/>
  <c r="D75"/>
  <c r="P75"/>
  <c r="O75" s="1"/>
  <c r="D77"/>
  <c r="P77"/>
  <c r="J77"/>
  <c r="I77" s="1"/>
  <c r="H77" s="1"/>
  <c r="P50"/>
  <c r="O50" s="1"/>
  <c r="P51"/>
  <c r="O51" s="1"/>
  <c r="J51"/>
  <c r="E79"/>
  <c r="F80"/>
  <c r="E80" s="1"/>
  <c r="G107"/>
  <c r="E81"/>
  <c r="J53"/>
  <c r="K81"/>
  <c r="K108" s="1"/>
  <c r="K135" s="1"/>
  <c r="L352" i="6"/>
  <c r="M240"/>
  <c r="F243"/>
  <c r="G355"/>
  <c r="D244"/>
  <c r="J244"/>
  <c r="H356"/>
  <c r="H468" s="1"/>
  <c r="L358"/>
  <c r="S246"/>
  <c r="M246"/>
  <c r="I361"/>
  <c r="F250"/>
  <c r="G362"/>
  <c r="D251"/>
  <c r="E363"/>
  <c r="F252"/>
  <c r="G364"/>
  <c r="U252"/>
  <c r="L364"/>
  <c r="S364" s="1"/>
  <c r="M252"/>
  <c r="S252"/>
  <c r="F255"/>
  <c r="G367"/>
  <c r="H256"/>
  <c r="I368"/>
  <c r="F259"/>
  <c r="G371"/>
  <c r="S259"/>
  <c r="H372"/>
  <c r="H484" s="1"/>
  <c r="F267"/>
  <c r="G379"/>
  <c r="U267"/>
  <c r="F268"/>
  <c r="G380"/>
  <c r="U268"/>
  <c r="L380"/>
  <c r="S268"/>
  <c r="D271"/>
  <c r="E383"/>
  <c r="J271"/>
  <c r="I383"/>
  <c r="M47" i="5"/>
  <c r="M49"/>
  <c r="D83"/>
  <c r="D85"/>
  <c r="J75"/>
  <c r="F84"/>
  <c r="F111" s="1"/>
  <c r="P85"/>
  <c r="M55"/>
  <c r="L83"/>
  <c r="K78"/>
  <c r="M78" s="1"/>
  <c r="F240" i="6"/>
  <c r="G352"/>
  <c r="K352"/>
  <c r="D241"/>
  <c r="E353"/>
  <c r="J241"/>
  <c r="I353"/>
  <c r="F242"/>
  <c r="G354"/>
  <c r="L354"/>
  <c r="S242"/>
  <c r="M242"/>
  <c r="D245"/>
  <c r="E357"/>
  <c r="J245"/>
  <c r="V134"/>
  <c r="F248"/>
  <c r="G360"/>
  <c r="U248"/>
  <c r="L360"/>
  <c r="S248"/>
  <c r="H361"/>
  <c r="H473" s="1"/>
  <c r="H363"/>
  <c r="H475" s="1"/>
  <c r="F253"/>
  <c r="E253" s="1"/>
  <c r="G365"/>
  <c r="U253"/>
  <c r="L365"/>
  <c r="S253"/>
  <c r="M253"/>
  <c r="D254"/>
  <c r="E366"/>
  <c r="L368"/>
  <c r="S256"/>
  <c r="M256"/>
  <c r="I369"/>
  <c r="F258"/>
  <c r="G370"/>
  <c r="L370"/>
  <c r="S258"/>
  <c r="L372"/>
  <c r="S260"/>
  <c r="M260"/>
  <c r="F262"/>
  <c r="G374"/>
  <c r="L374"/>
  <c r="S262"/>
  <c r="I375"/>
  <c r="F264"/>
  <c r="G376"/>
  <c r="U264"/>
  <c r="J264"/>
  <c r="K376"/>
  <c r="F266"/>
  <c r="G378"/>
  <c r="L378"/>
  <c r="S266"/>
  <c r="F269"/>
  <c r="E269" s="1"/>
  <c r="J269" s="1"/>
  <c r="G381"/>
  <c r="U269"/>
  <c r="S269"/>
  <c r="M269"/>
  <c r="H383"/>
  <c r="H495" s="1"/>
  <c r="L383"/>
  <c r="S271"/>
  <c r="M271"/>
  <c r="F272"/>
  <c r="G384"/>
  <c r="U272"/>
  <c r="H385"/>
  <c r="H497" s="1"/>
  <c r="J83" i="5"/>
  <c r="F85"/>
  <c r="F112" s="1"/>
  <c r="E112" s="1"/>
  <c r="G103"/>
  <c r="L105"/>
  <c r="P52"/>
  <c r="O52" s="1"/>
  <c r="J52"/>
  <c r="P54"/>
  <c r="O54" s="1"/>
  <c r="J54"/>
  <c r="D84"/>
  <c r="E111"/>
  <c r="E256" i="7"/>
  <c r="E456" i="6"/>
  <c r="H353"/>
  <c r="H465" s="1"/>
  <c r="L353"/>
  <c r="S241"/>
  <c r="M241"/>
  <c r="D243"/>
  <c r="E355"/>
  <c r="J243"/>
  <c r="F244"/>
  <c r="G356"/>
  <c r="U244"/>
  <c r="L357"/>
  <c r="S245"/>
  <c r="M245"/>
  <c r="H359"/>
  <c r="H471" s="1"/>
  <c r="L359"/>
  <c r="S247"/>
  <c r="M247"/>
  <c r="F249"/>
  <c r="G361"/>
  <c r="H250"/>
  <c r="F251"/>
  <c r="G363"/>
  <c r="L363"/>
  <c r="S251"/>
  <c r="M251"/>
  <c r="H252"/>
  <c r="I364"/>
  <c r="D255"/>
  <c r="E367"/>
  <c r="J255"/>
  <c r="F256"/>
  <c r="G368"/>
  <c r="U256"/>
  <c r="L369"/>
  <c r="S257"/>
  <c r="M257"/>
  <c r="D259"/>
  <c r="E371"/>
  <c r="F260"/>
  <c r="G372"/>
  <c r="U260"/>
  <c r="H485"/>
  <c r="H375"/>
  <c r="H487" s="1"/>
  <c r="H377"/>
  <c r="H489" s="1"/>
  <c r="D267"/>
  <c r="E379"/>
  <c r="I379"/>
  <c r="H268"/>
  <c r="I380"/>
  <c r="F271"/>
  <c r="G383"/>
  <c r="F273"/>
  <c r="E273" s="1"/>
  <c r="G385"/>
  <c r="M79" i="5"/>
  <c r="P83"/>
  <c r="J84"/>
  <c r="M85"/>
  <c r="K112"/>
  <c r="K139" s="1"/>
  <c r="L386" i="6"/>
  <c r="S274"/>
  <c r="M274"/>
  <c r="D275"/>
  <c r="E387"/>
  <c r="J275"/>
  <c r="D277"/>
  <c r="J277"/>
  <c r="I389"/>
  <c r="F278"/>
  <c r="G390"/>
  <c r="J278"/>
  <c r="I278" s="1"/>
  <c r="O278" s="1"/>
  <c r="K390"/>
  <c r="K502" s="1"/>
  <c r="F280"/>
  <c r="G392"/>
  <c r="U280"/>
  <c r="L394"/>
  <c r="S282"/>
  <c r="M282"/>
  <c r="H395"/>
  <c r="H507" s="1"/>
  <c r="H509"/>
  <c r="L397"/>
  <c r="S285"/>
  <c r="M285"/>
  <c r="F287"/>
  <c r="G399"/>
  <c r="D288"/>
  <c r="E400"/>
  <c r="J288"/>
  <c r="I288" s="1"/>
  <c r="O288" s="1"/>
  <c r="P288" s="1"/>
  <c r="H401"/>
  <c r="H513" s="1"/>
  <c r="D290"/>
  <c r="E402"/>
  <c r="H403"/>
  <c r="H515" s="1"/>
  <c r="F292"/>
  <c r="G404"/>
  <c r="U292"/>
  <c r="H517"/>
  <c r="L405"/>
  <c r="M293"/>
  <c r="L406"/>
  <c r="S294"/>
  <c r="M294"/>
  <c r="D295"/>
  <c r="E407"/>
  <c r="J295"/>
  <c r="I407"/>
  <c r="S296"/>
  <c r="M296"/>
  <c r="D297"/>
  <c r="E409"/>
  <c r="J297"/>
  <c r="D298"/>
  <c r="E410"/>
  <c r="J298"/>
  <c r="H298"/>
  <c r="D299"/>
  <c r="E411"/>
  <c r="J299"/>
  <c r="I411"/>
  <c r="D300"/>
  <c r="E412"/>
  <c r="J300"/>
  <c r="H300"/>
  <c r="H415"/>
  <c r="H527" s="1"/>
  <c r="F305"/>
  <c r="E305" s="1"/>
  <c r="G417"/>
  <c r="U305"/>
  <c r="D307"/>
  <c r="E419"/>
  <c r="D311"/>
  <c r="J311"/>
  <c r="I311" s="1"/>
  <c r="O311" s="1"/>
  <c r="P311" s="1"/>
  <c r="H425"/>
  <c r="H537" s="1"/>
  <c r="L425"/>
  <c r="S313"/>
  <c r="M313"/>
  <c r="H427"/>
  <c r="H539" s="1"/>
  <c r="L427"/>
  <c r="S315"/>
  <c r="M315"/>
  <c r="F316"/>
  <c r="G428"/>
  <c r="U316"/>
  <c r="F317"/>
  <c r="E317" s="1"/>
  <c r="G429"/>
  <c r="U317"/>
  <c r="F318"/>
  <c r="E318" s="1"/>
  <c r="G430"/>
  <c r="U318"/>
  <c r="D322"/>
  <c r="E434"/>
  <c r="J322"/>
  <c r="I322" s="1"/>
  <c r="O322" s="1"/>
  <c r="P322" s="1"/>
  <c r="F323"/>
  <c r="G435"/>
  <c r="D326"/>
  <c r="E438"/>
  <c r="J326"/>
  <c r="I326" s="1"/>
  <c r="F327"/>
  <c r="G439"/>
  <c r="U327"/>
  <c r="F329"/>
  <c r="E329" s="1"/>
  <c r="G441"/>
  <c r="F330"/>
  <c r="G442"/>
  <c r="H443"/>
  <c r="H555" s="1"/>
  <c r="F332"/>
  <c r="G444"/>
  <c r="U332"/>
  <c r="L445"/>
  <c r="S333"/>
  <c r="M333"/>
  <c r="J334"/>
  <c r="F335"/>
  <c r="G447"/>
  <c r="H451"/>
  <c r="H563" s="1"/>
  <c r="L451"/>
  <c r="S339"/>
  <c r="M339"/>
  <c r="E132" i="7"/>
  <c r="H75" i="5"/>
  <c r="H82"/>
  <c r="H84"/>
  <c r="H104"/>
  <c r="H131" s="1"/>
  <c r="Q20" i="6"/>
  <c r="P20" s="1"/>
  <c r="R20" s="1"/>
  <c r="Q22"/>
  <c r="P22" s="1"/>
  <c r="Q39"/>
  <c r="P39" s="1"/>
  <c r="R39" s="1"/>
  <c r="Q41"/>
  <c r="P41" s="1"/>
  <c r="R41" s="1"/>
  <c r="Q43"/>
  <c r="P43" s="1"/>
  <c r="R43" s="1"/>
  <c r="Q45"/>
  <c r="P45" s="1"/>
  <c r="R45" s="1"/>
  <c r="Q47"/>
  <c r="P47" s="1"/>
  <c r="R47" s="1"/>
  <c r="Q49"/>
  <c r="P49" s="1"/>
  <c r="R49" s="1"/>
  <c r="Q51"/>
  <c r="P51" s="1"/>
  <c r="R51" s="1"/>
  <c r="Q53"/>
  <c r="P53" s="1"/>
  <c r="R53" s="1"/>
  <c r="Q72"/>
  <c r="P72" s="1"/>
  <c r="R72" s="1"/>
  <c r="Q74"/>
  <c r="P74" s="1"/>
  <c r="R74" s="1"/>
  <c r="Q76"/>
  <c r="P76" s="1"/>
  <c r="R76" s="1"/>
  <c r="Q78"/>
  <c r="P78" s="1"/>
  <c r="R78" s="1"/>
  <c r="Q80"/>
  <c r="P80" s="1"/>
  <c r="R80" s="1"/>
  <c r="Q82"/>
  <c r="P82" s="1"/>
  <c r="R82" s="1"/>
  <c r="Q84"/>
  <c r="P84" s="1"/>
  <c r="R84" s="1"/>
  <c r="Q86"/>
  <c r="P86" s="1"/>
  <c r="Q106"/>
  <c r="P106" s="1"/>
  <c r="R106" s="1"/>
  <c r="Q113"/>
  <c r="P113" s="1"/>
  <c r="Q126"/>
  <c r="M129"/>
  <c r="J130"/>
  <c r="O130" s="1"/>
  <c r="P130" s="1"/>
  <c r="P131"/>
  <c r="M134"/>
  <c r="P135"/>
  <c r="M137"/>
  <c r="J139"/>
  <c r="O139" s="1"/>
  <c r="J140"/>
  <c r="O140" s="1"/>
  <c r="P140" s="1"/>
  <c r="J141"/>
  <c r="O141" s="1"/>
  <c r="P141" s="1"/>
  <c r="P143"/>
  <c r="M145"/>
  <c r="S145"/>
  <c r="P148"/>
  <c r="J149"/>
  <c r="O149" s="1"/>
  <c r="P149" s="1"/>
  <c r="J151"/>
  <c r="O151" s="1"/>
  <c r="P151" s="1"/>
  <c r="P152"/>
  <c r="J153"/>
  <c r="O153" s="1"/>
  <c r="P153" s="1"/>
  <c r="S154"/>
  <c r="J157"/>
  <c r="O157" s="1"/>
  <c r="P157" s="1"/>
  <c r="S158"/>
  <c r="M159"/>
  <c r="P160"/>
  <c r="J161"/>
  <c r="O161" s="1"/>
  <c r="P161" s="1"/>
  <c r="S162"/>
  <c r="M163"/>
  <c r="J164"/>
  <c r="O164" s="1"/>
  <c r="U164"/>
  <c r="M165"/>
  <c r="S165"/>
  <c r="P166"/>
  <c r="J167"/>
  <c r="O167" s="1"/>
  <c r="J169"/>
  <c r="O169" s="1"/>
  <c r="P169" s="1"/>
  <c r="J172"/>
  <c r="O172" s="1"/>
  <c r="P172"/>
  <c r="U172"/>
  <c r="J174"/>
  <c r="O174" s="1"/>
  <c r="S175"/>
  <c r="M176"/>
  <c r="M178"/>
  <c r="S178"/>
  <c r="P180"/>
  <c r="M183"/>
  <c r="S183"/>
  <c r="M185"/>
  <c r="M186"/>
  <c r="M187"/>
  <c r="M188"/>
  <c r="S188"/>
  <c r="J190"/>
  <c r="O190" s="1"/>
  <c r="J192"/>
  <c r="O192" s="1"/>
  <c r="P192"/>
  <c r="J305"/>
  <c r="P193"/>
  <c r="J194"/>
  <c r="O194" s="1"/>
  <c r="P194" s="1"/>
  <c r="M195"/>
  <c r="S195"/>
  <c r="J198"/>
  <c r="O198" s="1"/>
  <c r="P198" s="1"/>
  <c r="M199"/>
  <c r="J200"/>
  <c r="O200" s="1"/>
  <c r="P200" s="1"/>
  <c r="J202"/>
  <c r="O202" s="1"/>
  <c r="P202" s="1"/>
  <c r="J317"/>
  <c r="J207"/>
  <c r="O207" s="1"/>
  <c r="M209"/>
  <c r="M210"/>
  <c r="S210"/>
  <c r="J323"/>
  <c r="P211"/>
  <c r="J212"/>
  <c r="O212" s="1"/>
  <c r="J213"/>
  <c r="O213" s="1"/>
  <c r="P213" s="1"/>
  <c r="M214"/>
  <c r="J216"/>
  <c r="O216" s="1"/>
  <c r="P216" s="1"/>
  <c r="S218"/>
  <c r="U220"/>
  <c r="S221"/>
  <c r="J335"/>
  <c r="P223"/>
  <c r="J224"/>
  <c r="O224" s="1"/>
  <c r="P224" s="1"/>
  <c r="U224"/>
  <c r="M225"/>
  <c r="S226"/>
  <c r="K228"/>
  <c r="E247"/>
  <c r="I248"/>
  <c r="E249"/>
  <c r="E250"/>
  <c r="E256"/>
  <c r="K258"/>
  <c r="M258" s="1"/>
  <c r="I259"/>
  <c r="E263"/>
  <c r="L264"/>
  <c r="E266"/>
  <c r="K266"/>
  <c r="M266" s="1"/>
  <c r="E268"/>
  <c r="K268"/>
  <c r="M268" s="1"/>
  <c r="L272"/>
  <c r="F274"/>
  <c r="G386"/>
  <c r="U274"/>
  <c r="H387"/>
  <c r="H499" s="1"/>
  <c r="D276"/>
  <c r="E388"/>
  <c r="I388"/>
  <c r="L389"/>
  <c r="S277"/>
  <c r="M277"/>
  <c r="D279"/>
  <c r="E391"/>
  <c r="J279"/>
  <c r="F282"/>
  <c r="G394"/>
  <c r="F283"/>
  <c r="G395"/>
  <c r="D284"/>
  <c r="E396"/>
  <c r="H284"/>
  <c r="I396"/>
  <c r="F285"/>
  <c r="E285" s="1"/>
  <c r="G397"/>
  <c r="U285"/>
  <c r="D286"/>
  <c r="L400"/>
  <c r="S288"/>
  <c r="M288"/>
  <c r="F289"/>
  <c r="E289" s="1"/>
  <c r="G401"/>
  <c r="L402"/>
  <c r="S290"/>
  <c r="M290"/>
  <c r="F291"/>
  <c r="E291" s="1"/>
  <c r="G403"/>
  <c r="F293"/>
  <c r="G405"/>
  <c r="U293"/>
  <c r="F294"/>
  <c r="G406"/>
  <c r="U294"/>
  <c r="H407"/>
  <c r="H519" s="1"/>
  <c r="L407"/>
  <c r="S295"/>
  <c r="M295"/>
  <c r="F296"/>
  <c r="G408"/>
  <c r="U296"/>
  <c r="H409"/>
  <c r="H521" s="1"/>
  <c r="L409"/>
  <c r="M297"/>
  <c r="S298"/>
  <c r="M298"/>
  <c r="H411"/>
  <c r="H523" s="1"/>
  <c r="L411"/>
  <c r="S299"/>
  <c r="M299"/>
  <c r="L412"/>
  <c r="S300"/>
  <c r="M300"/>
  <c r="I413"/>
  <c r="D302"/>
  <c r="E414"/>
  <c r="J302"/>
  <c r="F303"/>
  <c r="G415"/>
  <c r="D304"/>
  <c r="J304"/>
  <c r="I416"/>
  <c r="H419"/>
  <c r="H531" s="1"/>
  <c r="F308"/>
  <c r="G420"/>
  <c r="U308"/>
  <c r="I421"/>
  <c r="H423"/>
  <c r="H535" s="1"/>
  <c r="D312"/>
  <c r="E424"/>
  <c r="J312"/>
  <c r="H312"/>
  <c r="I424"/>
  <c r="F313"/>
  <c r="G425"/>
  <c r="U313"/>
  <c r="F315"/>
  <c r="G427"/>
  <c r="D319"/>
  <c r="E431"/>
  <c r="J319"/>
  <c r="I319" s="1"/>
  <c r="O319" s="1"/>
  <c r="P319" s="1"/>
  <c r="F320"/>
  <c r="G432"/>
  <c r="U320"/>
  <c r="H433"/>
  <c r="H545" s="1"/>
  <c r="L433"/>
  <c r="S321"/>
  <c r="M321"/>
  <c r="L434"/>
  <c r="S322"/>
  <c r="M322"/>
  <c r="D324"/>
  <c r="E436"/>
  <c r="J324"/>
  <c r="I437"/>
  <c r="L438"/>
  <c r="S326"/>
  <c r="M326"/>
  <c r="D328"/>
  <c r="E440"/>
  <c r="J328"/>
  <c r="H328"/>
  <c r="I440"/>
  <c r="F331"/>
  <c r="G443"/>
  <c r="U331"/>
  <c r="F333"/>
  <c r="E333" s="1"/>
  <c r="G445"/>
  <c r="D334"/>
  <c r="H449"/>
  <c r="H561" s="1"/>
  <c r="L449"/>
  <c r="S337"/>
  <c r="M337"/>
  <c r="F338"/>
  <c r="G450"/>
  <c r="U338"/>
  <c r="F339"/>
  <c r="G451"/>
  <c r="Q104"/>
  <c r="P104" s="1"/>
  <c r="R104" s="1"/>
  <c r="Q109"/>
  <c r="P109" s="1"/>
  <c r="R109" s="1"/>
  <c r="Q111"/>
  <c r="P111" s="1"/>
  <c r="U136"/>
  <c r="U156"/>
  <c r="S176"/>
  <c r="U184"/>
  <c r="S186"/>
  <c r="M189"/>
  <c r="M190"/>
  <c r="M192"/>
  <c r="M194"/>
  <c r="M197"/>
  <c r="M198"/>
  <c r="M200"/>
  <c r="M202"/>
  <c r="M207"/>
  <c r="M212"/>
  <c r="M213"/>
  <c r="M216"/>
  <c r="L244"/>
  <c r="E252"/>
  <c r="H257"/>
  <c r="H258"/>
  <c r="E260"/>
  <c r="K262"/>
  <c r="M262" s="1"/>
  <c r="H269"/>
  <c r="E270"/>
  <c r="K270"/>
  <c r="M270" s="1"/>
  <c r="L385"/>
  <c r="S273"/>
  <c r="M273"/>
  <c r="F275"/>
  <c r="G387"/>
  <c r="L388"/>
  <c r="S276"/>
  <c r="M276"/>
  <c r="F277"/>
  <c r="G389"/>
  <c r="D278"/>
  <c r="E390"/>
  <c r="P278"/>
  <c r="H391"/>
  <c r="H503" s="1"/>
  <c r="L391"/>
  <c r="S279"/>
  <c r="M279"/>
  <c r="D280"/>
  <c r="E392"/>
  <c r="J280"/>
  <c r="H280"/>
  <c r="I392"/>
  <c r="H393"/>
  <c r="H505" s="1"/>
  <c r="L393"/>
  <c r="S281"/>
  <c r="M281"/>
  <c r="L396"/>
  <c r="S396" s="1"/>
  <c r="S284"/>
  <c r="M284"/>
  <c r="L398"/>
  <c r="S286"/>
  <c r="M286"/>
  <c r="D287"/>
  <c r="E399"/>
  <c r="J287"/>
  <c r="F288"/>
  <c r="G400"/>
  <c r="U288"/>
  <c r="F290"/>
  <c r="G402"/>
  <c r="D292"/>
  <c r="E404"/>
  <c r="J292"/>
  <c r="F295"/>
  <c r="G407"/>
  <c r="U295"/>
  <c r="F297"/>
  <c r="G409"/>
  <c r="U297"/>
  <c r="F298"/>
  <c r="G410"/>
  <c r="F299"/>
  <c r="G411"/>
  <c r="U299"/>
  <c r="J411"/>
  <c r="K523"/>
  <c r="F300"/>
  <c r="G412"/>
  <c r="U300"/>
  <c r="L413"/>
  <c r="S301"/>
  <c r="M301"/>
  <c r="L414"/>
  <c r="S302"/>
  <c r="M302"/>
  <c r="L416"/>
  <c r="S304"/>
  <c r="M304"/>
  <c r="I417"/>
  <c r="L418"/>
  <c r="S306"/>
  <c r="M306"/>
  <c r="F307"/>
  <c r="G419"/>
  <c r="L421"/>
  <c r="S309"/>
  <c r="M309"/>
  <c r="L422"/>
  <c r="S310"/>
  <c r="M310"/>
  <c r="F311"/>
  <c r="G423"/>
  <c r="S314"/>
  <c r="M314"/>
  <c r="D316"/>
  <c r="E428"/>
  <c r="J316"/>
  <c r="H316"/>
  <c r="I429"/>
  <c r="H431"/>
  <c r="H543" s="1"/>
  <c r="F321"/>
  <c r="E321" s="1"/>
  <c r="G433"/>
  <c r="U321"/>
  <c r="F322"/>
  <c r="G434"/>
  <c r="D323"/>
  <c r="I435"/>
  <c r="L436"/>
  <c r="S324"/>
  <c r="M324"/>
  <c r="H549"/>
  <c r="L437"/>
  <c r="S325"/>
  <c r="M325"/>
  <c r="F326"/>
  <c r="G438"/>
  <c r="D327"/>
  <c r="E439"/>
  <c r="J327"/>
  <c r="L440"/>
  <c r="S328"/>
  <c r="M328"/>
  <c r="I441"/>
  <c r="D330"/>
  <c r="E442"/>
  <c r="J330"/>
  <c r="I330" s="1"/>
  <c r="D332"/>
  <c r="E444"/>
  <c r="J332"/>
  <c r="H332"/>
  <c r="F334"/>
  <c r="G446"/>
  <c r="U334"/>
  <c r="D335"/>
  <c r="E447"/>
  <c r="I447"/>
  <c r="L448"/>
  <c r="S336"/>
  <c r="M336"/>
  <c r="F337"/>
  <c r="E337" s="1"/>
  <c r="G449"/>
  <c r="M57" i="5"/>
  <c r="H79"/>
  <c r="H106" s="1"/>
  <c r="H83"/>
  <c r="H85"/>
  <c r="Q21" i="6"/>
  <c r="P21" s="1"/>
  <c r="R21" s="1"/>
  <c r="Q40"/>
  <c r="P40" s="1"/>
  <c r="R40" s="1"/>
  <c r="Q42"/>
  <c r="P42" s="1"/>
  <c r="R42" s="1"/>
  <c r="Q44"/>
  <c r="P44" s="1"/>
  <c r="R44" s="1"/>
  <c r="Q46"/>
  <c r="P46" s="1"/>
  <c r="R46" s="1"/>
  <c r="Q48"/>
  <c r="P48" s="1"/>
  <c r="R48" s="1"/>
  <c r="Q50"/>
  <c r="P50" s="1"/>
  <c r="R50" s="1"/>
  <c r="Q52"/>
  <c r="P52" s="1"/>
  <c r="R52" s="1"/>
  <c r="Q54"/>
  <c r="P54" s="1"/>
  <c r="Q71"/>
  <c r="P71" s="1"/>
  <c r="R71" s="1"/>
  <c r="Q73"/>
  <c r="P73" s="1"/>
  <c r="R73" s="1"/>
  <c r="Q75"/>
  <c r="P75" s="1"/>
  <c r="R75" s="1"/>
  <c r="Q77"/>
  <c r="P77" s="1"/>
  <c r="R77" s="1"/>
  <c r="Q79"/>
  <c r="P79" s="1"/>
  <c r="R79" s="1"/>
  <c r="Q81"/>
  <c r="P81" s="1"/>
  <c r="R81" s="1"/>
  <c r="Q83"/>
  <c r="P83" s="1"/>
  <c r="R83" s="1"/>
  <c r="Q85"/>
  <c r="P85" s="1"/>
  <c r="R85" s="1"/>
  <c r="Q102"/>
  <c r="P102" s="1"/>
  <c r="Q107"/>
  <c r="P107" s="1"/>
  <c r="Q112"/>
  <c r="P112" s="1"/>
  <c r="R112" s="1"/>
  <c r="M128"/>
  <c r="M131"/>
  <c r="S131"/>
  <c r="M132"/>
  <c r="U132"/>
  <c r="M133"/>
  <c r="P134"/>
  <c r="M135"/>
  <c r="J136"/>
  <c r="O136" s="1"/>
  <c r="P136" s="1"/>
  <c r="M138"/>
  <c r="J142"/>
  <c r="O142" s="1"/>
  <c r="P142" s="1"/>
  <c r="M143"/>
  <c r="M144"/>
  <c r="J146"/>
  <c r="O146" s="1"/>
  <c r="P146" s="1"/>
  <c r="J147"/>
  <c r="O147" s="1"/>
  <c r="P147" s="1"/>
  <c r="M148"/>
  <c r="M152"/>
  <c r="J154"/>
  <c r="O154" s="1"/>
  <c r="P154"/>
  <c r="J155"/>
  <c r="O155" s="1"/>
  <c r="P155" s="1"/>
  <c r="J156"/>
  <c r="O156" s="1"/>
  <c r="P156" s="1"/>
  <c r="J158"/>
  <c r="O158" s="1"/>
  <c r="P158" s="1"/>
  <c r="S159"/>
  <c r="M160"/>
  <c r="J162"/>
  <c r="O162" s="1"/>
  <c r="P162"/>
  <c r="P165"/>
  <c r="M166"/>
  <c r="S166"/>
  <c r="M168"/>
  <c r="J170"/>
  <c r="O170" s="1"/>
  <c r="P170" s="1"/>
  <c r="J171"/>
  <c r="O171" s="1"/>
  <c r="S172"/>
  <c r="J173"/>
  <c r="O173" s="1"/>
  <c r="P173" s="1"/>
  <c r="M175"/>
  <c r="J177"/>
  <c r="O177" s="1"/>
  <c r="P177" s="1"/>
  <c r="J290"/>
  <c r="I290" s="1"/>
  <c r="O290" s="1"/>
  <c r="P290" s="1"/>
  <c r="P178"/>
  <c r="J179"/>
  <c r="O179" s="1"/>
  <c r="P179" s="1"/>
  <c r="H404"/>
  <c r="M180"/>
  <c r="J181"/>
  <c r="O181" s="1"/>
  <c r="J182"/>
  <c r="O182" s="1"/>
  <c r="P183"/>
  <c r="J184"/>
  <c r="O184" s="1"/>
  <c r="P184" s="1"/>
  <c r="U188"/>
  <c r="J191"/>
  <c r="O191" s="1"/>
  <c r="U192"/>
  <c r="M193"/>
  <c r="J196"/>
  <c r="O196" s="1"/>
  <c r="P196" s="1"/>
  <c r="J201"/>
  <c r="O201" s="1"/>
  <c r="P201" s="1"/>
  <c r="J203"/>
  <c r="O203" s="1"/>
  <c r="P203" s="1"/>
  <c r="M205"/>
  <c r="M206"/>
  <c r="S206"/>
  <c r="J208"/>
  <c r="O208" s="1"/>
  <c r="P208"/>
  <c r="J321"/>
  <c r="P210"/>
  <c r="M211"/>
  <c r="S211"/>
  <c r="S214"/>
  <c r="M215"/>
  <c r="S215"/>
  <c r="M217"/>
  <c r="M218"/>
  <c r="J219"/>
  <c r="O219" s="1"/>
  <c r="P219" s="1"/>
  <c r="M220"/>
  <c r="S220"/>
  <c r="J221"/>
  <c r="O221" s="1"/>
  <c r="P221" s="1"/>
  <c r="M223"/>
  <c r="S223"/>
  <c r="P225"/>
  <c r="J226"/>
  <c r="O226" s="1"/>
  <c r="P226" s="1"/>
  <c r="J227"/>
  <c r="O227" s="1"/>
  <c r="P227" s="1"/>
  <c r="E242"/>
  <c r="K248"/>
  <c r="K360" s="1"/>
  <c r="L249"/>
  <c r="K254"/>
  <c r="J254" s="1"/>
  <c r="K259"/>
  <c r="M259" s="1"/>
  <c r="K267"/>
  <c r="D274"/>
  <c r="E386"/>
  <c r="J274"/>
  <c r="I274" s="1"/>
  <c r="F276"/>
  <c r="G388"/>
  <c r="U276"/>
  <c r="L390"/>
  <c r="S278"/>
  <c r="M278"/>
  <c r="F279"/>
  <c r="G391"/>
  <c r="L392"/>
  <c r="M280"/>
  <c r="S280"/>
  <c r="F281"/>
  <c r="E281" s="1"/>
  <c r="G393"/>
  <c r="U281"/>
  <c r="D282"/>
  <c r="E394"/>
  <c r="H282"/>
  <c r="D283"/>
  <c r="E395"/>
  <c r="J283"/>
  <c r="F284"/>
  <c r="G396"/>
  <c r="U284"/>
  <c r="J284"/>
  <c r="K396"/>
  <c r="F286"/>
  <c r="G398"/>
  <c r="H399"/>
  <c r="H511" s="1"/>
  <c r="L399"/>
  <c r="M287"/>
  <c r="L404"/>
  <c r="S292"/>
  <c r="M292"/>
  <c r="D293"/>
  <c r="E405"/>
  <c r="J293"/>
  <c r="D294"/>
  <c r="E406"/>
  <c r="J294"/>
  <c r="H294"/>
  <c r="D296"/>
  <c r="E408"/>
  <c r="H296"/>
  <c r="I408"/>
  <c r="F301"/>
  <c r="E301" s="1"/>
  <c r="J301" s="1"/>
  <c r="G413"/>
  <c r="F302"/>
  <c r="G414"/>
  <c r="D303"/>
  <c r="E415"/>
  <c r="J303"/>
  <c r="I415"/>
  <c r="F304"/>
  <c r="G416"/>
  <c r="U304"/>
  <c r="H417"/>
  <c r="H529" s="1"/>
  <c r="S305"/>
  <c r="M305"/>
  <c r="F306"/>
  <c r="E306" s="1"/>
  <c r="G418"/>
  <c r="U306"/>
  <c r="D308"/>
  <c r="E420"/>
  <c r="I420"/>
  <c r="F309"/>
  <c r="E309" s="1"/>
  <c r="J309" s="1"/>
  <c r="G421"/>
  <c r="U309"/>
  <c r="F310"/>
  <c r="E310" s="1"/>
  <c r="G422"/>
  <c r="F312"/>
  <c r="G424"/>
  <c r="U312"/>
  <c r="D313"/>
  <c r="I425"/>
  <c r="F314"/>
  <c r="E314" s="1"/>
  <c r="G426"/>
  <c r="U314"/>
  <c r="D315"/>
  <c r="E427"/>
  <c r="L429"/>
  <c r="S317"/>
  <c r="M317"/>
  <c r="L430"/>
  <c r="S318"/>
  <c r="M318"/>
  <c r="F319"/>
  <c r="G431"/>
  <c r="D320"/>
  <c r="J320"/>
  <c r="H320"/>
  <c r="I432"/>
  <c r="H435"/>
  <c r="H547" s="1"/>
  <c r="L435"/>
  <c r="S323"/>
  <c r="M323"/>
  <c r="F324"/>
  <c r="G436"/>
  <c r="U324"/>
  <c r="F325"/>
  <c r="E325" s="1"/>
  <c r="G437"/>
  <c r="H439"/>
  <c r="H551" s="1"/>
  <c r="L439"/>
  <c r="S327"/>
  <c r="M327"/>
  <c r="F328"/>
  <c r="G440"/>
  <c r="U328"/>
  <c r="H441"/>
  <c r="H553" s="1"/>
  <c r="L441"/>
  <c r="S329"/>
  <c r="M329"/>
  <c r="L442"/>
  <c r="S330"/>
  <c r="M330"/>
  <c r="D331"/>
  <c r="E443"/>
  <c r="I443"/>
  <c r="L444"/>
  <c r="S332"/>
  <c r="M332"/>
  <c r="I445"/>
  <c r="H447"/>
  <c r="H559" s="1"/>
  <c r="S335"/>
  <c r="M335"/>
  <c r="F336"/>
  <c r="E336" s="1"/>
  <c r="J336" s="1"/>
  <c r="G448"/>
  <c r="U336"/>
  <c r="D338"/>
  <c r="E450"/>
  <c r="D339"/>
  <c r="E451"/>
  <c r="J339"/>
  <c r="I451"/>
  <c r="Q98"/>
  <c r="P98" s="1"/>
  <c r="R98" s="1"/>
  <c r="Q100"/>
  <c r="P100" s="1"/>
  <c r="R100" s="1"/>
  <c r="Q103"/>
  <c r="P103" s="1"/>
  <c r="R103" s="1"/>
  <c r="Q105"/>
  <c r="P105" s="1"/>
  <c r="Q108"/>
  <c r="P108" s="1"/>
  <c r="R108" s="1"/>
  <c r="Q110"/>
  <c r="P110" s="1"/>
  <c r="R110" s="1"/>
  <c r="Q115"/>
  <c r="P115" s="1"/>
  <c r="S138"/>
  <c r="P139"/>
  <c r="S144"/>
  <c r="M162"/>
  <c r="J276"/>
  <c r="P164"/>
  <c r="S168"/>
  <c r="M170"/>
  <c r="M171"/>
  <c r="M173"/>
  <c r="J286"/>
  <c r="I286" s="1"/>
  <c r="O286" s="1"/>
  <c r="P286" s="1"/>
  <c r="P174"/>
  <c r="M177"/>
  <c r="M208"/>
  <c r="P212"/>
  <c r="J325"/>
  <c r="S217"/>
  <c r="M219"/>
  <c r="M221"/>
  <c r="P222"/>
  <c r="M227"/>
  <c r="S227"/>
  <c r="L228"/>
  <c r="D313" i="7"/>
  <c r="P313"/>
  <c r="J313"/>
  <c r="D289"/>
  <c r="P289"/>
  <c r="H309"/>
  <c r="O309"/>
  <c r="M309" s="1"/>
  <c r="H306"/>
  <c r="O306"/>
  <c r="M306" s="1"/>
  <c r="H307"/>
  <c r="O307"/>
  <c r="K265"/>
  <c r="K314" s="1"/>
  <c r="D266"/>
  <c r="P266"/>
  <c r="O266" s="1"/>
  <c r="M266" s="1"/>
  <c r="J266"/>
  <c r="H270"/>
  <c r="O270"/>
  <c r="O232"/>
  <c r="R232"/>
  <c r="T232" s="1"/>
  <c r="H305"/>
  <c r="O305"/>
  <c r="M305" s="1"/>
  <c r="D267"/>
  <c r="P267"/>
  <c r="J267"/>
  <c r="H209"/>
  <c r="I271"/>
  <c r="O209"/>
  <c r="H291"/>
  <c r="H304"/>
  <c r="H301"/>
  <c r="H312"/>
  <c r="H279"/>
  <c r="O280"/>
  <c r="M280" s="1"/>
  <c r="O291"/>
  <c r="M291" s="1"/>
  <c r="H198" i="15"/>
  <c r="D299" i="7"/>
  <c r="P299"/>
  <c r="J299"/>
  <c r="I299" s="1"/>
  <c r="H299" s="1"/>
  <c r="H277"/>
  <c r="O277"/>
  <c r="M277" s="1"/>
  <c r="T202"/>
  <c r="H205"/>
  <c r="I267"/>
  <c r="O205"/>
  <c r="H313"/>
  <c r="O313"/>
  <c r="M313" s="1"/>
  <c r="H281"/>
  <c r="O281"/>
  <c r="M281" s="1"/>
  <c r="M293"/>
  <c r="L314"/>
  <c r="O310"/>
  <c r="M310" s="1"/>
  <c r="O269"/>
  <c r="H273"/>
  <c r="G273" s="1"/>
  <c r="F273" s="1"/>
  <c r="O273"/>
  <c r="D271"/>
  <c r="P271"/>
  <c r="J271"/>
  <c r="H308"/>
  <c r="O308"/>
  <c r="M308" s="1"/>
  <c r="E257"/>
  <c r="Q312"/>
  <c r="R312" s="1"/>
  <c r="Q304"/>
  <c r="R304" s="1"/>
  <c r="Q296"/>
  <c r="P296" s="1"/>
  <c r="O296" s="1"/>
  <c r="M296" s="1"/>
  <c r="Q294"/>
  <c r="R294" s="1"/>
  <c r="Q293"/>
  <c r="Q289"/>
  <c r="Q286"/>
  <c r="Q277"/>
  <c r="Q276"/>
  <c r="Q313"/>
  <c r="Q310"/>
  <c r="Q309"/>
  <c r="Q307"/>
  <c r="P307" s="1"/>
  <c r="R307" s="1"/>
  <c r="Q306"/>
  <c r="R306" s="1"/>
  <c r="Q305"/>
  <c r="Q299"/>
  <c r="Q298"/>
  <c r="Q297"/>
  <c r="Q295"/>
  <c r="R295" s="1"/>
  <c r="Q291"/>
  <c r="Q290"/>
  <c r="Q288"/>
  <c r="Q287"/>
  <c r="Q278"/>
  <c r="R278" s="1"/>
  <c r="Q269"/>
  <c r="Q311"/>
  <c r="R311" s="1"/>
  <c r="Q303"/>
  <c r="Q302"/>
  <c r="Q300"/>
  <c r="R300" s="1"/>
  <c r="Q284"/>
  <c r="R284" s="1"/>
  <c r="Q283"/>
  <c r="R283" s="1"/>
  <c r="Q282"/>
  <c r="Q281"/>
  <c r="Q279"/>
  <c r="R279" s="1"/>
  <c r="Q273"/>
  <c r="Q271"/>
  <c r="Q308"/>
  <c r="Q301"/>
  <c r="Q292"/>
  <c r="Q285"/>
  <c r="Q280"/>
  <c r="Q275"/>
  <c r="R275" s="1"/>
  <c r="Q274"/>
  <c r="Q272"/>
  <c r="Q268"/>
  <c r="Q270"/>
  <c r="Q265"/>
  <c r="Q267"/>
  <c r="Q264"/>
  <c r="Q266"/>
  <c r="O264"/>
  <c r="J289"/>
  <c r="O268"/>
  <c r="M268" s="1"/>
  <c r="H294"/>
  <c r="H296"/>
  <c r="H288"/>
  <c r="G288" s="1"/>
  <c r="F288" s="1"/>
  <c r="H285"/>
  <c r="G285" s="1"/>
  <c r="F285" s="1"/>
  <c r="O190"/>
  <c r="H164" i="15"/>
  <c r="D281" i="7"/>
  <c r="P281"/>
  <c r="J281"/>
  <c r="D302"/>
  <c r="P302"/>
  <c r="O302" s="1"/>
  <c r="M302" s="1"/>
  <c r="J302"/>
  <c r="H311"/>
  <c r="O311"/>
  <c r="J203"/>
  <c r="K252"/>
  <c r="H283"/>
  <c r="O283"/>
  <c r="M283" s="1"/>
  <c r="O237"/>
  <c r="R237"/>
  <c r="T237" s="1"/>
  <c r="O235"/>
  <c r="H286"/>
  <c r="O286"/>
  <c r="M286" s="1"/>
  <c r="D270"/>
  <c r="P270"/>
  <c r="R270" s="1"/>
  <c r="H280"/>
  <c r="H282"/>
  <c r="O282"/>
  <c r="M282" s="1"/>
  <c r="H298"/>
  <c r="H302"/>
  <c r="R235"/>
  <c r="T235" s="1"/>
  <c r="M289"/>
  <c r="H292"/>
  <c r="H284"/>
  <c r="G284" s="1"/>
  <c r="F284" s="1"/>
  <c r="L46" i="5"/>
  <c r="K46"/>
  <c r="I46"/>
  <c r="H46"/>
  <c r="H74" s="1"/>
  <c r="H101" s="1"/>
  <c r="G46"/>
  <c r="G74" s="1"/>
  <c r="F46"/>
  <c r="E46"/>
  <c r="P46" s="1"/>
  <c r="O46" s="1"/>
  <c r="D46"/>
  <c r="O45"/>
  <c r="L45"/>
  <c r="L73" s="1"/>
  <c r="K45"/>
  <c r="K73" s="1"/>
  <c r="I45"/>
  <c r="H45"/>
  <c r="G45"/>
  <c r="G73" s="1"/>
  <c r="F45"/>
  <c r="E45"/>
  <c r="E73" s="1"/>
  <c r="D45"/>
  <c r="L44"/>
  <c r="L72" s="1"/>
  <c r="K44"/>
  <c r="K72" s="1"/>
  <c r="K99" s="1"/>
  <c r="I44"/>
  <c r="H44"/>
  <c r="G44"/>
  <c r="G72" s="1"/>
  <c r="F44"/>
  <c r="E44"/>
  <c r="J44" s="1"/>
  <c r="D44"/>
  <c r="L43"/>
  <c r="K43"/>
  <c r="I43"/>
  <c r="H43"/>
  <c r="G43"/>
  <c r="G71" s="1"/>
  <c r="G98" s="1"/>
  <c r="F43"/>
  <c r="F71" s="1"/>
  <c r="E43"/>
  <c r="D43"/>
  <c r="E36"/>
  <c r="E71" i="7" s="1"/>
  <c r="E35" i="5"/>
  <c r="E120" i="6" s="1"/>
  <c r="U31" i="5"/>
  <c r="M31"/>
  <c r="L31"/>
  <c r="K31"/>
  <c r="V30" s="1"/>
  <c r="U30"/>
  <c r="T30" s="1"/>
  <c r="S30"/>
  <c r="R30"/>
  <c r="O30"/>
  <c r="M30"/>
  <c r="V29" s="1"/>
  <c r="U29"/>
  <c r="T29" s="1"/>
  <c r="S29"/>
  <c r="R29"/>
  <c r="O29"/>
  <c r="M29"/>
  <c r="V28" s="1"/>
  <c r="U28"/>
  <c r="T28" s="1"/>
  <c r="S28"/>
  <c r="R28"/>
  <c r="P28"/>
  <c r="O28"/>
  <c r="M28"/>
  <c r="V27" s="1"/>
  <c r="U27"/>
  <c r="T27" s="1"/>
  <c r="S27" s="1"/>
  <c r="R27"/>
  <c r="P27"/>
  <c r="O27"/>
  <c r="M27"/>
  <c r="V26" s="1"/>
  <c r="U26"/>
  <c r="T26" s="1"/>
  <c r="S26"/>
  <c r="R26"/>
  <c r="P26"/>
  <c r="O26"/>
  <c r="M26"/>
  <c r="V25" s="1"/>
  <c r="U25"/>
  <c r="T25" s="1"/>
  <c r="S25"/>
  <c r="R25"/>
  <c r="P25"/>
  <c r="O25"/>
  <c r="M25"/>
  <c r="V24" s="1"/>
  <c r="U24"/>
  <c r="T24" s="1"/>
  <c r="S24"/>
  <c r="R24"/>
  <c r="O24"/>
  <c r="M24"/>
  <c r="V23" s="1"/>
  <c r="U23"/>
  <c r="T23" s="1"/>
  <c r="S23" s="1"/>
  <c r="R23"/>
  <c r="P23"/>
  <c r="O23"/>
  <c r="M23"/>
  <c r="V22" s="1"/>
  <c r="U22"/>
  <c r="T22" s="1"/>
  <c r="S22"/>
  <c r="R22"/>
  <c r="P22"/>
  <c r="O22"/>
  <c r="M22"/>
  <c r="V21" s="1"/>
  <c r="U21"/>
  <c r="T21" s="1"/>
  <c r="S21"/>
  <c r="R21"/>
  <c r="O21"/>
  <c r="M21"/>
  <c r="V20" s="1"/>
  <c r="U20"/>
  <c r="T20" s="1"/>
  <c r="S20"/>
  <c r="R20"/>
  <c r="P20"/>
  <c r="O20"/>
  <c r="M20"/>
  <c r="V19" s="1"/>
  <c r="U19"/>
  <c r="T19"/>
  <c r="S19"/>
  <c r="R19"/>
  <c r="O19"/>
  <c r="M19"/>
  <c r="V18" s="1"/>
  <c r="U18"/>
  <c r="T18" s="1"/>
  <c r="S18"/>
  <c r="R18"/>
  <c r="P18"/>
  <c r="O18"/>
  <c r="M18"/>
  <c r="V17" s="1"/>
  <c r="U17"/>
  <c r="T17" s="1"/>
  <c r="S17"/>
  <c r="R17"/>
  <c r="O17"/>
  <c r="M17"/>
  <c r="V16"/>
  <c r="U16"/>
  <c r="T16"/>
  <c r="S16"/>
  <c r="R16"/>
  <c r="P16"/>
  <c r="O240" i="6" l="1"/>
  <c r="P240" s="1"/>
  <c r="M75" i="5"/>
  <c r="O128" i="6"/>
  <c r="M43" i="5"/>
  <c r="J46"/>
  <c r="R115" i="6"/>
  <c r="T115" s="1"/>
  <c r="S115" s="1"/>
  <c r="R101"/>
  <c r="T101" s="1"/>
  <c r="S101" s="1"/>
  <c r="J267"/>
  <c r="T84"/>
  <c r="S84" s="1"/>
  <c r="T100"/>
  <c r="S100" s="1"/>
  <c r="T83"/>
  <c r="S83" s="1"/>
  <c r="T66"/>
  <c r="S66" s="1"/>
  <c r="T49"/>
  <c r="S49" s="1"/>
  <c r="T32"/>
  <c r="S32" s="1"/>
  <c r="T35"/>
  <c r="S35" s="1"/>
  <c r="T80"/>
  <c r="S80" s="1"/>
  <c r="T42"/>
  <c r="S42" s="1"/>
  <c r="T112"/>
  <c r="S112" s="1"/>
  <c r="T91"/>
  <c r="S91" s="1"/>
  <c r="T74"/>
  <c r="S74" s="1"/>
  <c r="T57"/>
  <c r="S57" s="1"/>
  <c r="T40"/>
  <c r="S40" s="1"/>
  <c r="T94"/>
  <c r="S94" s="1"/>
  <c r="T77"/>
  <c r="S77" s="1"/>
  <c r="T60"/>
  <c r="S60" s="1"/>
  <c r="T43"/>
  <c r="S43" s="1"/>
  <c r="T26"/>
  <c r="S26" s="1"/>
  <c r="T89"/>
  <c r="S89" s="1"/>
  <c r="T37"/>
  <c r="S37" s="1"/>
  <c r="R105"/>
  <c r="T105" s="1"/>
  <c r="S105" s="1"/>
  <c r="T54"/>
  <c r="S54" s="1"/>
  <c r="R54"/>
  <c r="R111"/>
  <c r="T111" s="1"/>
  <c r="S111" s="1"/>
  <c r="R86"/>
  <c r="T86" s="1"/>
  <c r="S86" s="1"/>
  <c r="R22"/>
  <c r="T22" s="1"/>
  <c r="S22" s="1"/>
  <c r="R38"/>
  <c r="T38" s="1"/>
  <c r="S38" s="1"/>
  <c r="J338"/>
  <c r="I338" s="1"/>
  <c r="O338" s="1"/>
  <c r="P338" s="1"/>
  <c r="J308"/>
  <c r="J315"/>
  <c r="I315" s="1"/>
  <c r="O315" s="1"/>
  <c r="P315" s="1"/>
  <c r="J376"/>
  <c r="I376" s="1"/>
  <c r="O376" s="1"/>
  <c r="J251"/>
  <c r="T93"/>
  <c r="S93" s="1"/>
  <c r="T108"/>
  <c r="S108" s="1"/>
  <c r="T88"/>
  <c r="S88" s="1"/>
  <c r="T71"/>
  <c r="S71" s="1"/>
  <c r="T53"/>
  <c r="S53" s="1"/>
  <c r="T36"/>
  <c r="S36" s="1"/>
  <c r="T19"/>
  <c r="S19" s="1"/>
  <c r="T18"/>
  <c r="S18" s="1"/>
  <c r="T50"/>
  <c r="S50" s="1"/>
  <c r="T95"/>
  <c r="S95" s="1"/>
  <c r="T78"/>
  <c r="S78" s="1"/>
  <c r="T61"/>
  <c r="S61" s="1"/>
  <c r="T44"/>
  <c r="S44" s="1"/>
  <c r="T98"/>
  <c r="S98" s="1"/>
  <c r="T81"/>
  <c r="S81" s="1"/>
  <c r="T64"/>
  <c r="S64" s="1"/>
  <c r="T47"/>
  <c r="S47" s="1"/>
  <c r="T30"/>
  <c r="S30" s="1"/>
  <c r="T103"/>
  <c r="S103" s="1"/>
  <c r="T46"/>
  <c r="S46" s="1"/>
  <c r="T102"/>
  <c r="S102" s="1"/>
  <c r="R102"/>
  <c r="J313"/>
  <c r="J273"/>
  <c r="J259"/>
  <c r="J307"/>
  <c r="I307" s="1"/>
  <c r="J246"/>
  <c r="O246" s="1"/>
  <c r="P246" s="1"/>
  <c r="J282"/>
  <c r="T97"/>
  <c r="S97" s="1"/>
  <c r="T25"/>
  <c r="S25" s="1"/>
  <c r="T92"/>
  <c r="S92" s="1"/>
  <c r="T75"/>
  <c r="S75" s="1"/>
  <c r="T58"/>
  <c r="S58" s="1"/>
  <c r="T41"/>
  <c r="S41" s="1"/>
  <c r="T24"/>
  <c r="S24" s="1"/>
  <c r="T27"/>
  <c r="S27" s="1"/>
  <c r="T55"/>
  <c r="S55" s="1"/>
  <c r="T99"/>
  <c r="S99" s="1"/>
  <c r="T82"/>
  <c r="S82" s="1"/>
  <c r="T65"/>
  <c r="S65" s="1"/>
  <c r="T48"/>
  <c r="S48" s="1"/>
  <c r="T76"/>
  <c r="S76" s="1"/>
  <c r="T104"/>
  <c r="S104" s="1"/>
  <c r="T85"/>
  <c r="S85" s="1"/>
  <c r="T68"/>
  <c r="S68" s="1"/>
  <c r="T51"/>
  <c r="S51" s="1"/>
  <c r="T34"/>
  <c r="S34" s="1"/>
  <c r="T17"/>
  <c r="S17" s="1"/>
  <c r="T59"/>
  <c r="S59" s="1"/>
  <c r="T20"/>
  <c r="S20" s="1"/>
  <c r="R107"/>
  <c r="T107" s="1"/>
  <c r="S107" s="1"/>
  <c r="R113"/>
  <c r="T113" s="1"/>
  <c r="S113" s="1"/>
  <c r="T70"/>
  <c r="S70" s="1"/>
  <c r="R70"/>
  <c r="J331"/>
  <c r="J296"/>
  <c r="J248"/>
  <c r="O248" s="1"/>
  <c r="P248" s="1"/>
  <c r="T109"/>
  <c r="S109" s="1"/>
  <c r="T67"/>
  <c r="S67" s="1"/>
  <c r="T96"/>
  <c r="S96" s="1"/>
  <c r="T79"/>
  <c r="S79" s="1"/>
  <c r="T62"/>
  <c r="S62" s="1"/>
  <c r="T45"/>
  <c r="S45" s="1"/>
  <c r="T28"/>
  <c r="S28" s="1"/>
  <c r="T31"/>
  <c r="S31" s="1"/>
  <c r="T63"/>
  <c r="S63" s="1"/>
  <c r="T33"/>
  <c r="S33" s="1"/>
  <c r="T106"/>
  <c r="S106" s="1"/>
  <c r="T87"/>
  <c r="S87" s="1"/>
  <c r="T69"/>
  <c r="S69" s="1"/>
  <c r="T52"/>
  <c r="S52" s="1"/>
  <c r="T23"/>
  <c r="S23" s="1"/>
  <c r="T110"/>
  <c r="S110" s="1"/>
  <c r="T90"/>
  <c r="S90" s="1"/>
  <c r="T73"/>
  <c r="S73" s="1"/>
  <c r="T56"/>
  <c r="S56" s="1"/>
  <c r="T39"/>
  <c r="S39" s="1"/>
  <c r="T21"/>
  <c r="S21" s="1"/>
  <c r="T72"/>
  <c r="S72" s="1"/>
  <c r="T29"/>
  <c r="S29" s="1"/>
  <c r="I537"/>
  <c r="H330"/>
  <c r="O330"/>
  <c r="P330" s="1"/>
  <c r="I409"/>
  <c r="O297"/>
  <c r="P297" s="1"/>
  <c r="I363"/>
  <c r="O251"/>
  <c r="P251" s="1"/>
  <c r="I356"/>
  <c r="O244"/>
  <c r="P244" s="1"/>
  <c r="I367"/>
  <c r="O255"/>
  <c r="P255" s="1"/>
  <c r="O301"/>
  <c r="O299"/>
  <c r="P299" s="1"/>
  <c r="O295"/>
  <c r="P295" s="1"/>
  <c r="O280"/>
  <c r="P280" s="1"/>
  <c r="O313"/>
  <c r="P313" s="1"/>
  <c r="O271"/>
  <c r="P271" s="1"/>
  <c r="H274"/>
  <c r="O274"/>
  <c r="P274" s="1"/>
  <c r="I371"/>
  <c r="O259"/>
  <c r="P259" s="1"/>
  <c r="I404"/>
  <c r="O292"/>
  <c r="P292" s="1"/>
  <c r="I395"/>
  <c r="O283"/>
  <c r="P283" s="1"/>
  <c r="I399"/>
  <c r="O287"/>
  <c r="P287" s="1"/>
  <c r="O411"/>
  <c r="O336"/>
  <c r="O334"/>
  <c r="P334" s="1"/>
  <c r="O332"/>
  <c r="P332" s="1"/>
  <c r="O327"/>
  <c r="P327" s="1"/>
  <c r="O324"/>
  <c r="P324" s="1"/>
  <c r="O321"/>
  <c r="O316"/>
  <c r="P316" s="1"/>
  <c r="O277"/>
  <c r="P277" s="1"/>
  <c r="O275"/>
  <c r="P275" s="1"/>
  <c r="O308"/>
  <c r="P308" s="1"/>
  <c r="O304"/>
  <c r="P304" s="1"/>
  <c r="O267"/>
  <c r="P267" s="1"/>
  <c r="O272"/>
  <c r="P272" s="1"/>
  <c r="I372"/>
  <c r="I355"/>
  <c r="O243"/>
  <c r="P243" s="1"/>
  <c r="O302"/>
  <c r="P302" s="1"/>
  <c r="O300"/>
  <c r="P300" s="1"/>
  <c r="O298"/>
  <c r="P298" s="1"/>
  <c r="O296"/>
  <c r="P296" s="1"/>
  <c r="O294"/>
  <c r="P294" s="1"/>
  <c r="O245"/>
  <c r="P245" s="1"/>
  <c r="O241"/>
  <c r="P241" s="1"/>
  <c r="O312"/>
  <c r="P312" s="1"/>
  <c r="O269"/>
  <c r="I541"/>
  <c r="H326"/>
  <c r="O326"/>
  <c r="P326" s="1"/>
  <c r="I419"/>
  <c r="O307"/>
  <c r="P307" s="1"/>
  <c r="I391"/>
  <c r="O279"/>
  <c r="P279" s="1"/>
  <c r="O339"/>
  <c r="O335"/>
  <c r="P335" s="1"/>
  <c r="O331"/>
  <c r="P331" s="1"/>
  <c r="O328"/>
  <c r="P328" s="1"/>
  <c r="O325"/>
  <c r="O323"/>
  <c r="P323" s="1"/>
  <c r="O320"/>
  <c r="P320" s="1"/>
  <c r="O317"/>
  <c r="O293"/>
  <c r="P293" s="1"/>
  <c r="O276"/>
  <c r="P276" s="1"/>
  <c r="O309"/>
  <c r="O305"/>
  <c r="O303"/>
  <c r="P303" s="1"/>
  <c r="O284"/>
  <c r="P284" s="1"/>
  <c r="O282"/>
  <c r="P282" s="1"/>
  <c r="O264"/>
  <c r="P264" s="1"/>
  <c r="O262"/>
  <c r="P262" s="1"/>
  <c r="O254"/>
  <c r="P254" s="1"/>
  <c r="O273"/>
  <c r="R16"/>
  <c r="M46" i="5"/>
  <c r="M102"/>
  <c r="D451" i="6"/>
  <c r="P44" i="5"/>
  <c r="O44" s="1"/>
  <c r="J73"/>
  <c r="I73" s="1"/>
  <c r="O299" i="7"/>
  <c r="T31" i="5"/>
  <c r="S31" s="1"/>
  <c r="R31"/>
  <c r="V31"/>
  <c r="J45"/>
  <c r="P45"/>
  <c r="H408" i="6"/>
  <c r="P116"/>
  <c r="H358"/>
  <c r="H470" s="1"/>
  <c r="M73" i="5"/>
  <c r="M265" i="7"/>
  <c r="M314" s="1"/>
  <c r="J198" i="15" s="1"/>
  <c r="D112" i="5"/>
  <c r="V111" s="1"/>
  <c r="J112"/>
  <c r="I112" s="1"/>
  <c r="H112" s="1"/>
  <c r="P112"/>
  <c r="D73"/>
  <c r="P73"/>
  <c r="H68" i="17"/>
  <c r="G164" i="15"/>
  <c r="G68" i="17"/>
  <c r="F448" i="6"/>
  <c r="G560"/>
  <c r="U448"/>
  <c r="V448" s="1"/>
  <c r="I555"/>
  <c r="F436"/>
  <c r="G548"/>
  <c r="U436"/>
  <c r="V436" s="1"/>
  <c r="K435"/>
  <c r="K547" s="1"/>
  <c r="L547"/>
  <c r="S547" s="1"/>
  <c r="S435"/>
  <c r="H432"/>
  <c r="H544" s="1"/>
  <c r="I544"/>
  <c r="D427"/>
  <c r="E539"/>
  <c r="J427"/>
  <c r="D314"/>
  <c r="E426"/>
  <c r="J314"/>
  <c r="I314" s="1"/>
  <c r="O314" s="1"/>
  <c r="P314" s="1"/>
  <c r="F421"/>
  <c r="E421" s="1"/>
  <c r="G533"/>
  <c r="U421"/>
  <c r="V421" s="1"/>
  <c r="I527"/>
  <c r="D415"/>
  <c r="F413"/>
  <c r="E413" s="1"/>
  <c r="G525"/>
  <c r="K399"/>
  <c r="K511" s="1"/>
  <c r="L511"/>
  <c r="S399"/>
  <c r="D394"/>
  <c r="E506"/>
  <c r="J394"/>
  <c r="I394" s="1"/>
  <c r="O394" s="1"/>
  <c r="P394" s="1"/>
  <c r="D281"/>
  <c r="J281"/>
  <c r="O281" s="1"/>
  <c r="P281" s="1"/>
  <c r="F391"/>
  <c r="G503"/>
  <c r="M390"/>
  <c r="S390"/>
  <c r="H444"/>
  <c r="I556"/>
  <c r="K440"/>
  <c r="K552" s="1"/>
  <c r="L552"/>
  <c r="S440"/>
  <c r="F438"/>
  <c r="G550"/>
  <c r="K437"/>
  <c r="K549" s="1"/>
  <c r="S437"/>
  <c r="K421"/>
  <c r="J421" s="1"/>
  <c r="O421" s="1"/>
  <c r="S421"/>
  <c r="K413"/>
  <c r="K525" s="1"/>
  <c r="L525"/>
  <c r="S525" s="1"/>
  <c r="S413"/>
  <c r="F409"/>
  <c r="G521"/>
  <c r="U409"/>
  <c r="D404"/>
  <c r="E516"/>
  <c r="J404"/>
  <c r="D390"/>
  <c r="P390"/>
  <c r="J390"/>
  <c r="I390" s="1"/>
  <c r="O390" s="1"/>
  <c r="D270"/>
  <c r="E382"/>
  <c r="P270"/>
  <c r="J270"/>
  <c r="I270" s="1"/>
  <c r="O270" s="1"/>
  <c r="I427"/>
  <c r="O427" s="1"/>
  <c r="P427" s="1"/>
  <c r="F450"/>
  <c r="G562"/>
  <c r="U450"/>
  <c r="V450" s="1"/>
  <c r="K449"/>
  <c r="L561"/>
  <c r="S449"/>
  <c r="H448"/>
  <c r="H560" s="1"/>
  <c r="I560"/>
  <c r="D333"/>
  <c r="J333"/>
  <c r="O333" s="1"/>
  <c r="P333" s="1"/>
  <c r="D436"/>
  <c r="E548"/>
  <c r="J436"/>
  <c r="I436" s="1"/>
  <c r="O436" s="1"/>
  <c r="P436" s="1"/>
  <c r="K434"/>
  <c r="M434" s="1"/>
  <c r="L546"/>
  <c r="S434"/>
  <c r="D431"/>
  <c r="E543"/>
  <c r="J431"/>
  <c r="H424"/>
  <c r="H536" s="1"/>
  <c r="F420"/>
  <c r="G532"/>
  <c r="U420"/>
  <c r="V420" s="1"/>
  <c r="L523"/>
  <c r="S523" s="1"/>
  <c r="S411"/>
  <c r="M411"/>
  <c r="D291"/>
  <c r="E403"/>
  <c r="P291"/>
  <c r="J291"/>
  <c r="O291" s="1"/>
  <c r="F401"/>
  <c r="E401" s="1"/>
  <c r="G513"/>
  <c r="K400"/>
  <c r="M400" s="1"/>
  <c r="L512"/>
  <c r="S400"/>
  <c r="H396"/>
  <c r="I508"/>
  <c r="M396"/>
  <c r="D396"/>
  <c r="E508"/>
  <c r="F394"/>
  <c r="G506"/>
  <c r="D388"/>
  <c r="E500"/>
  <c r="J388"/>
  <c r="O388" s="1"/>
  <c r="P388" s="1"/>
  <c r="D249"/>
  <c r="J249"/>
  <c r="O249" s="1"/>
  <c r="P249" s="1"/>
  <c r="K445"/>
  <c r="M445" s="1"/>
  <c r="S445"/>
  <c r="F441"/>
  <c r="E441" s="1"/>
  <c r="G553"/>
  <c r="D438"/>
  <c r="E550"/>
  <c r="J438"/>
  <c r="I438" s="1"/>
  <c r="O438" s="1"/>
  <c r="F430"/>
  <c r="G542"/>
  <c r="U430"/>
  <c r="V430" s="1"/>
  <c r="D317"/>
  <c r="P317"/>
  <c r="D400"/>
  <c r="E512"/>
  <c r="F383"/>
  <c r="G495"/>
  <c r="D371"/>
  <c r="E483"/>
  <c r="J371"/>
  <c r="K369"/>
  <c r="K481" s="1"/>
  <c r="L481"/>
  <c r="S369"/>
  <c r="K357"/>
  <c r="M357" s="1"/>
  <c r="L469"/>
  <c r="S357"/>
  <c r="F384"/>
  <c r="G496"/>
  <c r="U384"/>
  <c r="K383"/>
  <c r="M383" s="1"/>
  <c r="L495"/>
  <c r="S383"/>
  <c r="K374"/>
  <c r="J374" s="1"/>
  <c r="I374" s="1"/>
  <c r="L486"/>
  <c r="S374"/>
  <c r="S370"/>
  <c r="I481"/>
  <c r="F365"/>
  <c r="E365" s="1"/>
  <c r="G477"/>
  <c r="U365"/>
  <c r="V365" s="1"/>
  <c r="L472"/>
  <c r="S360"/>
  <c r="M360"/>
  <c r="F379"/>
  <c r="G491"/>
  <c r="U379"/>
  <c r="V379" s="1"/>
  <c r="F367"/>
  <c r="G479"/>
  <c r="I473"/>
  <c r="F107" i="5"/>
  <c r="E107" s="1"/>
  <c r="G134"/>
  <c r="F382" i="6"/>
  <c r="G494"/>
  <c r="U382"/>
  <c r="D374"/>
  <c r="E486"/>
  <c r="K373"/>
  <c r="M373" s="1"/>
  <c r="L485"/>
  <c r="S373"/>
  <c r="K366"/>
  <c r="M366" s="1"/>
  <c r="L478"/>
  <c r="S366"/>
  <c r="I477"/>
  <c r="F359"/>
  <c r="G471"/>
  <c r="F246"/>
  <c r="G358"/>
  <c r="H354"/>
  <c r="H466" s="1"/>
  <c r="F110" i="5"/>
  <c r="E110" s="1"/>
  <c r="G137"/>
  <c r="U110"/>
  <c r="F108"/>
  <c r="E108" s="1"/>
  <c r="G135"/>
  <c r="U108"/>
  <c r="V82"/>
  <c r="V78"/>
  <c r="E70" i="7"/>
  <c r="E71" i="5"/>
  <c r="J43"/>
  <c r="P43"/>
  <c r="M44"/>
  <c r="M45"/>
  <c r="R299" i="7"/>
  <c r="K340" i="6"/>
  <c r="M81" i="5"/>
  <c r="L99"/>
  <c r="M72"/>
  <c r="H445" i="6"/>
  <c r="D443"/>
  <c r="J443"/>
  <c r="O443" s="1"/>
  <c r="P443" s="1"/>
  <c r="K442"/>
  <c r="L554"/>
  <c r="S442"/>
  <c r="F426"/>
  <c r="G538"/>
  <c r="U426"/>
  <c r="V426" s="1"/>
  <c r="F424"/>
  <c r="G536"/>
  <c r="U424"/>
  <c r="H420"/>
  <c r="H532" s="1"/>
  <c r="I532"/>
  <c r="D420"/>
  <c r="E532"/>
  <c r="P420"/>
  <c r="J420"/>
  <c r="O420" s="1"/>
  <c r="D306"/>
  <c r="E418"/>
  <c r="J306"/>
  <c r="I306" s="1"/>
  <c r="O306" s="1"/>
  <c r="P306" s="1"/>
  <c r="F398"/>
  <c r="E398" s="1"/>
  <c r="G510"/>
  <c r="J396"/>
  <c r="O396" s="1"/>
  <c r="P396" s="1"/>
  <c r="K508"/>
  <c r="F393"/>
  <c r="E393" s="1"/>
  <c r="G505"/>
  <c r="U393"/>
  <c r="L504"/>
  <c r="S392"/>
  <c r="M392"/>
  <c r="D386"/>
  <c r="E498"/>
  <c r="J386"/>
  <c r="I386" s="1"/>
  <c r="L361"/>
  <c r="S249"/>
  <c r="M249"/>
  <c r="G197" i="15"/>
  <c r="M228" i="6"/>
  <c r="I559"/>
  <c r="F434"/>
  <c r="G546"/>
  <c r="D321"/>
  <c r="P321"/>
  <c r="I529"/>
  <c r="F411"/>
  <c r="G523"/>
  <c r="U411"/>
  <c r="F407"/>
  <c r="G519"/>
  <c r="U407"/>
  <c r="V407" s="1"/>
  <c r="K393"/>
  <c r="M393" s="1"/>
  <c r="L505"/>
  <c r="S393"/>
  <c r="D392"/>
  <c r="J392"/>
  <c r="O392" s="1"/>
  <c r="P392" s="1"/>
  <c r="K391"/>
  <c r="M391" s="1"/>
  <c r="L503"/>
  <c r="S391"/>
  <c r="F387"/>
  <c r="U387"/>
  <c r="K385"/>
  <c r="L497"/>
  <c r="S385"/>
  <c r="D260"/>
  <c r="P260"/>
  <c r="J260"/>
  <c r="O260" s="1"/>
  <c r="L356"/>
  <c r="S244"/>
  <c r="M244"/>
  <c r="F445"/>
  <c r="E445" s="1"/>
  <c r="G557"/>
  <c r="U445"/>
  <c r="V445" s="1"/>
  <c r="K433"/>
  <c r="M433" s="1"/>
  <c r="S433"/>
  <c r="F432"/>
  <c r="E432" s="1"/>
  <c r="G544"/>
  <c r="U432"/>
  <c r="D414"/>
  <c r="E526"/>
  <c r="J414"/>
  <c r="I414" s="1"/>
  <c r="O414" s="1"/>
  <c r="F403"/>
  <c r="G515"/>
  <c r="U403"/>
  <c r="V403" s="1"/>
  <c r="K402"/>
  <c r="M402" s="1"/>
  <c r="L514"/>
  <c r="S402"/>
  <c r="I505"/>
  <c r="D391"/>
  <c r="E503"/>
  <c r="J391"/>
  <c r="K389"/>
  <c r="K501" s="1"/>
  <c r="L501"/>
  <c r="S389"/>
  <c r="D268"/>
  <c r="J268"/>
  <c r="O268" s="1"/>
  <c r="P268"/>
  <c r="D263"/>
  <c r="D250"/>
  <c r="E362"/>
  <c r="J250"/>
  <c r="O250" s="1"/>
  <c r="P250" s="1"/>
  <c r="F439"/>
  <c r="G551"/>
  <c r="U439"/>
  <c r="V439" s="1"/>
  <c r="D434"/>
  <c r="J434"/>
  <c r="I434" s="1"/>
  <c r="O434" s="1"/>
  <c r="P434" s="1"/>
  <c r="F429"/>
  <c r="E429" s="1"/>
  <c r="G541"/>
  <c r="U429"/>
  <c r="K425"/>
  <c r="M425" s="1"/>
  <c r="L537"/>
  <c r="S425"/>
  <c r="D419"/>
  <c r="E531"/>
  <c r="J419"/>
  <c r="D305"/>
  <c r="P305"/>
  <c r="D412"/>
  <c r="P412"/>
  <c r="J412"/>
  <c r="I412" s="1"/>
  <c r="O412" s="1"/>
  <c r="I519"/>
  <c r="D407"/>
  <c r="E519"/>
  <c r="P407"/>
  <c r="J407"/>
  <c r="O407" s="1"/>
  <c r="K406"/>
  <c r="K518" s="1"/>
  <c r="L518"/>
  <c r="S518" s="1"/>
  <c r="S406"/>
  <c r="H288"/>
  <c r="I400"/>
  <c r="F392"/>
  <c r="G504"/>
  <c r="U392"/>
  <c r="V392" s="1"/>
  <c r="F390"/>
  <c r="G502"/>
  <c r="D273"/>
  <c r="P273"/>
  <c r="H380"/>
  <c r="H492" s="1"/>
  <c r="I492"/>
  <c r="F372"/>
  <c r="E372" s="1"/>
  <c r="G484"/>
  <c r="U372"/>
  <c r="V372" s="1"/>
  <c r="D367"/>
  <c r="E479"/>
  <c r="J367"/>
  <c r="F361"/>
  <c r="E361" s="1"/>
  <c r="G473"/>
  <c r="K359"/>
  <c r="M359" s="1"/>
  <c r="L471"/>
  <c r="S359"/>
  <c r="D355"/>
  <c r="E467"/>
  <c r="J355"/>
  <c r="K353"/>
  <c r="M353" s="1"/>
  <c r="L465"/>
  <c r="S353"/>
  <c r="F103" i="5"/>
  <c r="E103" s="1"/>
  <c r="U103"/>
  <c r="G130"/>
  <c r="D269" i="6"/>
  <c r="P269"/>
  <c r="F378"/>
  <c r="E378" s="1"/>
  <c r="G490"/>
  <c r="H376"/>
  <c r="K368"/>
  <c r="L480"/>
  <c r="S368"/>
  <c r="I495"/>
  <c r="D383"/>
  <c r="E495"/>
  <c r="K380"/>
  <c r="K492" s="1"/>
  <c r="L492"/>
  <c r="S380"/>
  <c r="F371"/>
  <c r="G483"/>
  <c r="U371"/>
  <c r="D363"/>
  <c r="E475"/>
  <c r="J363"/>
  <c r="K358"/>
  <c r="M358" s="1"/>
  <c r="L470"/>
  <c r="S358"/>
  <c r="F355"/>
  <c r="G467"/>
  <c r="L464"/>
  <c r="D81" i="5"/>
  <c r="P81"/>
  <c r="J81"/>
  <c r="I81" s="1"/>
  <c r="H81" s="1"/>
  <c r="H108" s="1"/>
  <c r="H135" s="1"/>
  <c r="H384" i="6"/>
  <c r="H496" s="1"/>
  <c r="D384"/>
  <c r="E496"/>
  <c r="J384"/>
  <c r="O384" s="1"/>
  <c r="P384" s="1"/>
  <c r="K382"/>
  <c r="K494" s="1"/>
  <c r="L494"/>
  <c r="S382"/>
  <c r="H378"/>
  <c r="H490" s="1"/>
  <c r="I490"/>
  <c r="K377"/>
  <c r="M377" s="1"/>
  <c r="L489"/>
  <c r="S377"/>
  <c r="D376"/>
  <c r="E488"/>
  <c r="P376"/>
  <c r="K375"/>
  <c r="K487" s="1"/>
  <c r="L487"/>
  <c r="S487" s="1"/>
  <c r="S375"/>
  <c r="D261"/>
  <c r="P261"/>
  <c r="J261"/>
  <c r="O261" s="1"/>
  <c r="D257"/>
  <c r="J257"/>
  <c r="O257" s="1"/>
  <c r="P257"/>
  <c r="D358"/>
  <c r="E470"/>
  <c r="J358"/>
  <c r="O358" s="1"/>
  <c r="P358" s="1"/>
  <c r="F353"/>
  <c r="G465"/>
  <c r="U353"/>
  <c r="V353" s="1"/>
  <c r="F105" i="5"/>
  <c r="E105" s="1"/>
  <c r="U105"/>
  <c r="G132"/>
  <c r="K104"/>
  <c r="M104" s="1"/>
  <c r="L131"/>
  <c r="F102"/>
  <c r="E102" s="1"/>
  <c r="G129"/>
  <c r="T307" i="7"/>
  <c r="G499" i="6"/>
  <c r="F499" s="1"/>
  <c r="J263"/>
  <c r="O263" s="1"/>
  <c r="P263" s="1"/>
  <c r="H381"/>
  <c r="F72" i="5"/>
  <c r="E72" s="1"/>
  <c r="G99"/>
  <c r="F73"/>
  <c r="G100"/>
  <c r="F74"/>
  <c r="E74" s="1"/>
  <c r="G101"/>
  <c r="U74"/>
  <c r="H267" i="7"/>
  <c r="O267"/>
  <c r="I563" i="6"/>
  <c r="H338"/>
  <c r="K444"/>
  <c r="L556"/>
  <c r="S444"/>
  <c r="K441"/>
  <c r="K553" s="1"/>
  <c r="L553"/>
  <c r="S553" s="1"/>
  <c r="S441"/>
  <c r="F440"/>
  <c r="G552"/>
  <c r="U440"/>
  <c r="K439"/>
  <c r="M439" s="1"/>
  <c r="L551"/>
  <c r="S439"/>
  <c r="D325"/>
  <c r="P325"/>
  <c r="F431"/>
  <c r="G543"/>
  <c r="K430"/>
  <c r="K542" s="1"/>
  <c r="S430"/>
  <c r="D310"/>
  <c r="E422"/>
  <c r="J310"/>
  <c r="I310" s="1"/>
  <c r="O310" s="1"/>
  <c r="P310"/>
  <c r="F418"/>
  <c r="G530"/>
  <c r="U418"/>
  <c r="V418" s="1"/>
  <c r="F414"/>
  <c r="G526"/>
  <c r="D408"/>
  <c r="E520"/>
  <c r="D406"/>
  <c r="E518"/>
  <c r="J406"/>
  <c r="O406" s="1"/>
  <c r="P406" s="1"/>
  <c r="D405"/>
  <c r="E517"/>
  <c r="J405"/>
  <c r="I405" s="1"/>
  <c r="O405" s="1"/>
  <c r="K404"/>
  <c r="K516" s="1"/>
  <c r="L516"/>
  <c r="F396"/>
  <c r="G508"/>
  <c r="U396"/>
  <c r="V396" s="1"/>
  <c r="D395"/>
  <c r="E507"/>
  <c r="J395"/>
  <c r="F388"/>
  <c r="G500"/>
  <c r="U388"/>
  <c r="V388" s="1"/>
  <c r="D337"/>
  <c r="J337"/>
  <c r="I337" s="1"/>
  <c r="O337" s="1"/>
  <c r="P337" s="1"/>
  <c r="D447"/>
  <c r="E559"/>
  <c r="P447"/>
  <c r="J447"/>
  <c r="O447" s="1"/>
  <c r="D442"/>
  <c r="E554"/>
  <c r="J442"/>
  <c r="I442" s="1"/>
  <c r="I551"/>
  <c r="D439"/>
  <c r="E551"/>
  <c r="J439"/>
  <c r="O439" s="1"/>
  <c r="P439" s="1"/>
  <c r="F433"/>
  <c r="E433" s="1"/>
  <c r="G545"/>
  <c r="U433"/>
  <c r="V433" s="1"/>
  <c r="K416"/>
  <c r="M416" s="1"/>
  <c r="L528"/>
  <c r="S416"/>
  <c r="F412"/>
  <c r="G524"/>
  <c r="U412"/>
  <c r="V412" s="1"/>
  <c r="F402"/>
  <c r="G514"/>
  <c r="H392"/>
  <c r="H504" s="1"/>
  <c r="I504"/>
  <c r="F389"/>
  <c r="E389" s="1"/>
  <c r="G501"/>
  <c r="K388"/>
  <c r="K500" s="1"/>
  <c r="L500"/>
  <c r="S388"/>
  <c r="D252"/>
  <c r="E364"/>
  <c r="J252"/>
  <c r="O252" s="1"/>
  <c r="P252" s="1"/>
  <c r="F443"/>
  <c r="G555"/>
  <c r="U443"/>
  <c r="D440"/>
  <c r="E552"/>
  <c r="P440"/>
  <c r="J440"/>
  <c r="O440" s="1"/>
  <c r="K438"/>
  <c r="M438" s="1"/>
  <c r="L550"/>
  <c r="S438"/>
  <c r="F427"/>
  <c r="G539"/>
  <c r="F415"/>
  <c r="G527"/>
  <c r="H413"/>
  <c r="I525"/>
  <c r="K409"/>
  <c r="K521" s="1"/>
  <c r="L521"/>
  <c r="S409"/>
  <c r="F408"/>
  <c r="G520"/>
  <c r="U408"/>
  <c r="K407"/>
  <c r="M407" s="1"/>
  <c r="L519"/>
  <c r="S407"/>
  <c r="F406"/>
  <c r="G518"/>
  <c r="U406"/>
  <c r="V406" s="1"/>
  <c r="D285"/>
  <c r="P285"/>
  <c r="J285"/>
  <c r="O285" s="1"/>
  <c r="F395"/>
  <c r="G507"/>
  <c r="U395"/>
  <c r="L376"/>
  <c r="S264"/>
  <c r="M264"/>
  <c r="D256"/>
  <c r="E368"/>
  <c r="J256"/>
  <c r="O256" s="1"/>
  <c r="P256"/>
  <c r="D247"/>
  <c r="E359"/>
  <c r="J247"/>
  <c r="O247" s="1"/>
  <c r="P247" s="1"/>
  <c r="E121"/>
  <c r="Q223"/>
  <c r="R223" s="1"/>
  <c r="T223" s="1"/>
  <c r="Q220"/>
  <c r="R220" s="1"/>
  <c r="T220" s="1"/>
  <c r="Q216"/>
  <c r="Q215"/>
  <c r="R215" s="1"/>
  <c r="T215" s="1"/>
  <c r="Q214"/>
  <c r="P214" s="1"/>
  <c r="R214" s="1"/>
  <c r="Q211"/>
  <c r="R211" s="1"/>
  <c r="T211" s="1"/>
  <c r="Q206"/>
  <c r="Q205"/>
  <c r="Q200"/>
  <c r="Q199"/>
  <c r="P199" s="1"/>
  <c r="Q193"/>
  <c r="Q192"/>
  <c r="Q180"/>
  <c r="Q172"/>
  <c r="Q166"/>
  <c r="R166" s="1"/>
  <c r="T166" s="1"/>
  <c r="Q163"/>
  <c r="P163" s="1"/>
  <c r="Q160"/>
  <c r="R160" s="1"/>
  <c r="T160" s="1"/>
  <c r="Q159"/>
  <c r="P159" s="1"/>
  <c r="Q152"/>
  <c r="Q148"/>
  <c r="Q143"/>
  <c r="R143" s="1"/>
  <c r="Q135"/>
  <c r="Q131"/>
  <c r="Q238"/>
  <c r="Q224"/>
  <c r="R224" s="1"/>
  <c r="Q222"/>
  <c r="Q213"/>
  <c r="Q212"/>
  <c r="R212" s="1"/>
  <c r="T212" s="1"/>
  <c r="Q202"/>
  <c r="R202" s="1"/>
  <c r="T202" s="1"/>
  <c r="Q198"/>
  <c r="R198" s="1"/>
  <c r="T198" s="1"/>
  <c r="Q197"/>
  <c r="Q194"/>
  <c r="R194" s="1"/>
  <c r="T194" s="1"/>
  <c r="Q191"/>
  <c r="P191" s="1"/>
  <c r="Q189"/>
  <c r="Q186"/>
  <c r="R186" s="1"/>
  <c r="T186" s="1"/>
  <c r="Q185"/>
  <c r="Q182"/>
  <c r="P182" s="1"/>
  <c r="Q181"/>
  <c r="P181" s="1"/>
  <c r="Q176"/>
  <c r="Q174"/>
  <c r="Q171"/>
  <c r="P171" s="1"/>
  <c r="Q169"/>
  <c r="R169" s="1"/>
  <c r="T169" s="1"/>
  <c r="Q164"/>
  <c r="Q161"/>
  <c r="R161" s="1"/>
  <c r="T161" s="1"/>
  <c r="Q157"/>
  <c r="R157" s="1"/>
  <c r="T157" s="1"/>
  <c r="Q153"/>
  <c r="R153" s="1"/>
  <c r="T153" s="1"/>
  <c r="Q151"/>
  <c r="R151" s="1"/>
  <c r="Q150"/>
  <c r="Q149"/>
  <c r="R149" s="1"/>
  <c r="T149" s="1"/>
  <c r="Q141"/>
  <c r="R141" s="1"/>
  <c r="T141" s="1"/>
  <c r="Q140"/>
  <c r="Q139"/>
  <c r="R139" s="1"/>
  <c r="Q130"/>
  <c r="Q129"/>
  <c r="Q226"/>
  <c r="Q225"/>
  <c r="Q221"/>
  <c r="R221" s="1"/>
  <c r="Q218"/>
  <c r="P218" s="1"/>
  <c r="Q210"/>
  <c r="R210" s="1"/>
  <c r="T210" s="1"/>
  <c r="Q209"/>
  <c r="Q208"/>
  <c r="Q196"/>
  <c r="Q195"/>
  <c r="R195" s="1"/>
  <c r="T195" s="1"/>
  <c r="Q188"/>
  <c r="R188" s="1"/>
  <c r="T188" s="1"/>
  <c r="Q187"/>
  <c r="Q183"/>
  <c r="Q178"/>
  <c r="R178" s="1"/>
  <c r="T178" s="1"/>
  <c r="Q177"/>
  <c r="Q175"/>
  <c r="P175" s="1"/>
  <c r="Q165"/>
  <c r="R165" s="1"/>
  <c r="T165" s="1"/>
  <c r="Q162"/>
  <c r="Q158"/>
  <c r="R158" s="1"/>
  <c r="Q155"/>
  <c r="R155" s="1"/>
  <c r="T155" s="1"/>
  <c r="Q154"/>
  <c r="Q145"/>
  <c r="Q137"/>
  <c r="R137" s="1"/>
  <c r="Q134"/>
  <c r="Q227"/>
  <c r="R227" s="1"/>
  <c r="Q219"/>
  <c r="R219" s="1"/>
  <c r="T219" s="1"/>
  <c r="Q217"/>
  <c r="R217" s="1"/>
  <c r="Q207"/>
  <c r="P207" s="1"/>
  <c r="Q204"/>
  <c r="Q203"/>
  <c r="R203" s="1"/>
  <c r="T203" s="1"/>
  <c r="Q201"/>
  <c r="R201" s="1"/>
  <c r="T201" s="1"/>
  <c r="Q190"/>
  <c r="P190" s="1"/>
  <c r="Q184"/>
  <c r="R184" s="1"/>
  <c r="T184" s="1"/>
  <c r="Q179"/>
  <c r="R179" s="1"/>
  <c r="T179" s="1"/>
  <c r="Q173"/>
  <c r="R173" s="1"/>
  <c r="T173" s="1"/>
  <c r="Q170"/>
  <c r="Q168"/>
  <c r="R168" s="1"/>
  <c r="T168" s="1"/>
  <c r="Q167"/>
  <c r="P167" s="1"/>
  <c r="Q156"/>
  <c r="R156" s="1"/>
  <c r="T156" s="1"/>
  <c r="Q147"/>
  <c r="R147" s="1"/>
  <c r="T147" s="1"/>
  <c r="Q146"/>
  <c r="Q144"/>
  <c r="R144" s="1"/>
  <c r="T144" s="1"/>
  <c r="Q142"/>
  <c r="R142" s="1"/>
  <c r="T142" s="1"/>
  <c r="Q138"/>
  <c r="R138" s="1"/>
  <c r="T138" s="1"/>
  <c r="Q136"/>
  <c r="R136" s="1"/>
  <c r="T136" s="1"/>
  <c r="Q133"/>
  <c r="Q132"/>
  <c r="R132" s="1"/>
  <c r="T132" s="1"/>
  <c r="Q128"/>
  <c r="K451"/>
  <c r="J451" s="1"/>
  <c r="O451" s="1"/>
  <c r="L563"/>
  <c r="S451"/>
  <c r="F444"/>
  <c r="G556"/>
  <c r="U444"/>
  <c r="V444" s="1"/>
  <c r="F442"/>
  <c r="G554"/>
  <c r="F435"/>
  <c r="E435" s="1"/>
  <c r="G547"/>
  <c r="F428"/>
  <c r="G540"/>
  <c r="U428"/>
  <c r="V428" s="1"/>
  <c r="K427"/>
  <c r="K539" s="1"/>
  <c r="L539"/>
  <c r="S539" s="1"/>
  <c r="S427"/>
  <c r="I423"/>
  <c r="F417"/>
  <c r="E417" s="1"/>
  <c r="G529"/>
  <c r="U417"/>
  <c r="V417" s="1"/>
  <c r="I523"/>
  <c r="D411"/>
  <c r="P411"/>
  <c r="D410"/>
  <c r="J410"/>
  <c r="O410" s="1"/>
  <c r="P410" s="1"/>
  <c r="D409"/>
  <c r="E521"/>
  <c r="J409"/>
  <c r="D402"/>
  <c r="J402"/>
  <c r="I402" s="1"/>
  <c r="O402" s="1"/>
  <c r="P402" s="1"/>
  <c r="F399"/>
  <c r="G511"/>
  <c r="K397"/>
  <c r="M397" s="1"/>
  <c r="L509"/>
  <c r="S397"/>
  <c r="H278"/>
  <c r="I501"/>
  <c r="D387"/>
  <c r="E499"/>
  <c r="J387"/>
  <c r="I387" s="1"/>
  <c r="O387" s="1"/>
  <c r="K386"/>
  <c r="M386" s="1"/>
  <c r="L498"/>
  <c r="F385"/>
  <c r="E385" s="1"/>
  <c r="G497"/>
  <c r="I491"/>
  <c r="D379"/>
  <c r="E491"/>
  <c r="P379"/>
  <c r="J379"/>
  <c r="O379" s="1"/>
  <c r="F368"/>
  <c r="G480"/>
  <c r="U368"/>
  <c r="V368" s="1"/>
  <c r="F363"/>
  <c r="G475"/>
  <c r="U363"/>
  <c r="F356"/>
  <c r="E356" s="1"/>
  <c r="G468"/>
  <c r="U356"/>
  <c r="K105" i="5"/>
  <c r="M105" s="1"/>
  <c r="L132"/>
  <c r="K132" s="1"/>
  <c r="F381" i="6"/>
  <c r="E381" s="1"/>
  <c r="G493"/>
  <c r="U381"/>
  <c r="V381" s="1"/>
  <c r="K378"/>
  <c r="L490"/>
  <c r="S378"/>
  <c r="F376"/>
  <c r="G488"/>
  <c r="U376"/>
  <c r="D366"/>
  <c r="J366"/>
  <c r="I366" s="1"/>
  <c r="O366" s="1"/>
  <c r="P366" s="1"/>
  <c r="K365"/>
  <c r="K477" s="1"/>
  <c r="L477"/>
  <c r="S365"/>
  <c r="F360"/>
  <c r="G472"/>
  <c r="U360"/>
  <c r="V360" s="1"/>
  <c r="F354"/>
  <c r="E354" s="1"/>
  <c r="G466"/>
  <c r="D353"/>
  <c r="E465"/>
  <c r="J353"/>
  <c r="O353" s="1"/>
  <c r="P353" s="1"/>
  <c r="F352"/>
  <c r="G464"/>
  <c r="U352"/>
  <c r="K83" i="5"/>
  <c r="M83" s="1"/>
  <c r="L110"/>
  <c r="H368" i="6"/>
  <c r="I480"/>
  <c r="M368"/>
  <c r="F364"/>
  <c r="G476"/>
  <c r="U364"/>
  <c r="D79" i="5"/>
  <c r="P79"/>
  <c r="J79"/>
  <c r="M106"/>
  <c r="L133"/>
  <c r="D265" i="6"/>
  <c r="J265"/>
  <c r="O265" s="1"/>
  <c r="P265" s="1"/>
  <c r="F373"/>
  <c r="E373" s="1"/>
  <c r="G485"/>
  <c r="U373"/>
  <c r="V373" s="1"/>
  <c r="F369"/>
  <c r="E369" s="1"/>
  <c r="G481"/>
  <c r="U369"/>
  <c r="V369" s="1"/>
  <c r="D360"/>
  <c r="H352"/>
  <c r="I464"/>
  <c r="D352"/>
  <c r="D82" i="5"/>
  <c r="P82"/>
  <c r="J82"/>
  <c r="H73"/>
  <c r="H271" i="7"/>
  <c r="R172" i="6"/>
  <c r="T172" s="1"/>
  <c r="R176"/>
  <c r="T176" s="1"/>
  <c r="R226"/>
  <c r="T226" s="1"/>
  <c r="R183"/>
  <c r="T183" s="1"/>
  <c r="R145"/>
  <c r="M248"/>
  <c r="M254"/>
  <c r="F139" i="5"/>
  <c r="E139" s="1"/>
  <c r="L58"/>
  <c r="L71"/>
  <c r="F98"/>
  <c r="G125"/>
  <c r="K71"/>
  <c r="K58"/>
  <c r="D450" i="6"/>
  <c r="E562"/>
  <c r="J450"/>
  <c r="I450" s="1"/>
  <c r="O450" s="1"/>
  <c r="P450" s="1"/>
  <c r="D336"/>
  <c r="E448"/>
  <c r="P336"/>
  <c r="F437"/>
  <c r="E437" s="1"/>
  <c r="G549"/>
  <c r="U437"/>
  <c r="V437" s="1"/>
  <c r="K429"/>
  <c r="M429" s="1"/>
  <c r="L541"/>
  <c r="S429"/>
  <c r="F422"/>
  <c r="G534"/>
  <c r="U422"/>
  <c r="V422" s="1"/>
  <c r="D309"/>
  <c r="P309"/>
  <c r="F416"/>
  <c r="E416" s="1"/>
  <c r="G528"/>
  <c r="U416"/>
  <c r="D301"/>
  <c r="P301"/>
  <c r="H406"/>
  <c r="I518"/>
  <c r="D242"/>
  <c r="J242"/>
  <c r="O242" s="1"/>
  <c r="P242" s="1"/>
  <c r="H516"/>
  <c r="F449"/>
  <c r="E449" s="1"/>
  <c r="G561"/>
  <c r="K448"/>
  <c r="M448" s="1"/>
  <c r="L560"/>
  <c r="S448"/>
  <c r="F446"/>
  <c r="E446" s="1"/>
  <c r="G558"/>
  <c r="U446"/>
  <c r="V446" s="1"/>
  <c r="D444"/>
  <c r="E556"/>
  <c r="J444"/>
  <c r="O444" s="1"/>
  <c r="P444" s="1"/>
  <c r="K436"/>
  <c r="K548" s="1"/>
  <c r="L548"/>
  <c r="S548" s="1"/>
  <c r="S436"/>
  <c r="D428"/>
  <c r="E540"/>
  <c r="J428"/>
  <c r="I428" s="1"/>
  <c r="O428" s="1"/>
  <c r="P428" s="1"/>
  <c r="F423"/>
  <c r="E423" s="1"/>
  <c r="G535"/>
  <c r="K422"/>
  <c r="K534" s="1"/>
  <c r="S422"/>
  <c r="F419"/>
  <c r="G531"/>
  <c r="K418"/>
  <c r="M418" s="1"/>
  <c r="L530"/>
  <c r="S418"/>
  <c r="S414"/>
  <c r="M414"/>
  <c r="F410"/>
  <c r="G522"/>
  <c r="F400"/>
  <c r="G512"/>
  <c r="U400"/>
  <c r="D399"/>
  <c r="E511"/>
  <c r="J399"/>
  <c r="K398"/>
  <c r="M398" s="1"/>
  <c r="S398"/>
  <c r="H369"/>
  <c r="H481" s="1"/>
  <c r="F451"/>
  <c r="G563"/>
  <c r="H440"/>
  <c r="H552" s="1"/>
  <c r="I552"/>
  <c r="I431"/>
  <c r="O431" s="1"/>
  <c r="P431" s="1"/>
  <c r="F425"/>
  <c r="E425" s="1"/>
  <c r="G537"/>
  <c r="U425"/>
  <c r="D424"/>
  <c r="E536"/>
  <c r="J424"/>
  <c r="O424" s="1"/>
  <c r="P424" s="1"/>
  <c r="H416"/>
  <c r="K412"/>
  <c r="K524" s="1"/>
  <c r="L524"/>
  <c r="S412"/>
  <c r="F405"/>
  <c r="G517"/>
  <c r="U405"/>
  <c r="D289"/>
  <c r="J289"/>
  <c r="O289" s="1"/>
  <c r="P289" s="1"/>
  <c r="F397"/>
  <c r="E397" s="1"/>
  <c r="G509"/>
  <c r="U397"/>
  <c r="V397" s="1"/>
  <c r="H388"/>
  <c r="I500"/>
  <c r="O500" s="1"/>
  <c r="F386"/>
  <c r="G498"/>
  <c r="U386"/>
  <c r="L384"/>
  <c r="S272"/>
  <c r="M272"/>
  <c r="D266"/>
  <c r="J266"/>
  <c r="O266" s="1"/>
  <c r="P266" s="1"/>
  <c r="J258"/>
  <c r="I258" s="1"/>
  <c r="O258" s="1"/>
  <c r="P258" s="1"/>
  <c r="K370"/>
  <c r="M370" s="1"/>
  <c r="H248"/>
  <c r="I360"/>
  <c r="F447"/>
  <c r="G559"/>
  <c r="D329"/>
  <c r="J329"/>
  <c r="O329" s="1"/>
  <c r="P329" s="1"/>
  <c r="D318"/>
  <c r="E430"/>
  <c r="J318"/>
  <c r="O318" s="1"/>
  <c r="P318" s="1"/>
  <c r="H410"/>
  <c r="H522" s="1"/>
  <c r="I522"/>
  <c r="K405"/>
  <c r="M405" s="1"/>
  <c r="L517"/>
  <c r="S405"/>
  <c r="F404"/>
  <c r="G516"/>
  <c r="U404"/>
  <c r="K394"/>
  <c r="L506"/>
  <c r="S394"/>
  <c r="H364"/>
  <c r="H476" s="1"/>
  <c r="I476"/>
  <c r="M364"/>
  <c r="K363"/>
  <c r="M363" s="1"/>
  <c r="L475"/>
  <c r="S363"/>
  <c r="H362"/>
  <c r="H474" s="1"/>
  <c r="I474"/>
  <c r="D111" i="5"/>
  <c r="V110" s="1"/>
  <c r="P111"/>
  <c r="J111"/>
  <c r="I111" s="1"/>
  <c r="H111" s="1"/>
  <c r="E138"/>
  <c r="I487" i="6"/>
  <c r="F374"/>
  <c r="G486"/>
  <c r="U374"/>
  <c r="K372"/>
  <c r="K484" s="1"/>
  <c r="L484"/>
  <c r="S484" s="1"/>
  <c r="S372"/>
  <c r="F370"/>
  <c r="E370" s="1"/>
  <c r="G482"/>
  <c r="D253"/>
  <c r="J253"/>
  <c r="O253" s="1"/>
  <c r="P253" s="1"/>
  <c r="D357"/>
  <c r="E469"/>
  <c r="P357"/>
  <c r="J357"/>
  <c r="I357" s="1"/>
  <c r="O357" s="1"/>
  <c r="K354"/>
  <c r="M354" s="1"/>
  <c r="L466"/>
  <c r="S354"/>
  <c r="J352"/>
  <c r="O352" s="1"/>
  <c r="K464"/>
  <c r="F380"/>
  <c r="E380" s="1"/>
  <c r="G492"/>
  <c r="U380"/>
  <c r="V380" s="1"/>
  <c r="F362"/>
  <c r="G474"/>
  <c r="D80" i="5"/>
  <c r="J80"/>
  <c r="I80" s="1"/>
  <c r="H80" s="1"/>
  <c r="P80"/>
  <c r="F377" i="6"/>
  <c r="E377" s="1"/>
  <c r="G489"/>
  <c r="U377"/>
  <c r="V377" s="1"/>
  <c r="F375"/>
  <c r="E375" s="1"/>
  <c r="G487"/>
  <c r="F487" s="1"/>
  <c r="E487" s="1"/>
  <c r="U375"/>
  <c r="V375" s="1"/>
  <c r="F366"/>
  <c r="G478"/>
  <c r="F357"/>
  <c r="G469"/>
  <c r="U357"/>
  <c r="V357" s="1"/>
  <c r="F109" i="5"/>
  <c r="E109" s="1"/>
  <c r="G136"/>
  <c r="F136" s="1"/>
  <c r="E136" s="1"/>
  <c r="U109"/>
  <c r="F106"/>
  <c r="E106" s="1"/>
  <c r="G133"/>
  <c r="D78"/>
  <c r="P78"/>
  <c r="J78"/>
  <c r="I78" s="1"/>
  <c r="H78" s="1"/>
  <c r="H105" s="1"/>
  <c r="H132" s="1"/>
  <c r="F104"/>
  <c r="E104" s="1"/>
  <c r="G131"/>
  <c r="F131" s="1"/>
  <c r="U104"/>
  <c r="R302" i="7"/>
  <c r="O271"/>
  <c r="O252"/>
  <c r="M252" s="1"/>
  <c r="R206" i="6"/>
  <c r="T206" s="1"/>
  <c r="R131"/>
  <c r="T224"/>
  <c r="R218"/>
  <c r="R162"/>
  <c r="R154"/>
  <c r="T154" s="1"/>
  <c r="M112" i="5"/>
  <c r="R152" i="6"/>
  <c r="T152" s="1"/>
  <c r="O16" i="5"/>
  <c r="O31" s="1"/>
  <c r="M16"/>
  <c r="Q14"/>
  <c r="E9"/>
  <c r="E9" i="6" s="1"/>
  <c r="E8" i="5"/>
  <c r="C5"/>
  <c r="F528" i="6" l="1"/>
  <c r="E528" s="1"/>
  <c r="J528" s="1"/>
  <c r="I528" s="1"/>
  <c r="O528" s="1"/>
  <c r="J500"/>
  <c r="F562"/>
  <c r="R116"/>
  <c r="E98" i="5"/>
  <c r="M380" i="6"/>
  <c r="M412"/>
  <c r="M430"/>
  <c r="M399"/>
  <c r="M435"/>
  <c r="F520"/>
  <c r="F467"/>
  <c r="F549"/>
  <c r="E549" s="1"/>
  <c r="J378"/>
  <c r="O378" s="1"/>
  <c r="J360"/>
  <c r="O360" s="1"/>
  <c r="P360" s="1"/>
  <c r="F555"/>
  <c r="E555" s="1"/>
  <c r="F515"/>
  <c r="F493"/>
  <c r="F557"/>
  <c r="E557" s="1"/>
  <c r="F548"/>
  <c r="H501"/>
  <c r="H386"/>
  <c r="H498" s="1"/>
  <c r="O386"/>
  <c r="P386" s="1"/>
  <c r="I503"/>
  <c r="O391"/>
  <c r="I468"/>
  <c r="I521"/>
  <c r="O409"/>
  <c r="M389"/>
  <c r="M369"/>
  <c r="H442"/>
  <c r="H554" s="1"/>
  <c r="O442"/>
  <c r="I484"/>
  <c r="I511"/>
  <c r="O399"/>
  <c r="O404"/>
  <c r="P404" s="1"/>
  <c r="M518"/>
  <c r="I531"/>
  <c r="O419"/>
  <c r="I479"/>
  <c r="O367"/>
  <c r="I475"/>
  <c r="O363"/>
  <c r="M388"/>
  <c r="M406"/>
  <c r="H374"/>
  <c r="O374"/>
  <c r="I467"/>
  <c r="O355"/>
  <c r="I507"/>
  <c r="O395"/>
  <c r="O371"/>
  <c r="T16"/>
  <c r="T116" s="1"/>
  <c r="S116" s="1"/>
  <c r="F464"/>
  <c r="E464" s="1"/>
  <c r="I164" i="15"/>
  <c r="I68" i="17"/>
  <c r="F561" i="6"/>
  <c r="E561" s="1"/>
  <c r="F125" i="5"/>
  <c r="E125" s="1"/>
  <c r="F480" i="6"/>
  <c r="F547"/>
  <c r="E547" s="1"/>
  <c r="M521"/>
  <c r="F514"/>
  <c r="E514" s="1"/>
  <c r="F500"/>
  <c r="M516"/>
  <c r="M382"/>
  <c r="F484"/>
  <c r="F502"/>
  <c r="E502" s="1"/>
  <c r="F551"/>
  <c r="F536"/>
  <c r="F513"/>
  <c r="E513" s="1"/>
  <c r="F525"/>
  <c r="E525" s="1"/>
  <c r="F469"/>
  <c r="F489"/>
  <c r="E489" s="1"/>
  <c r="F534"/>
  <c r="F481"/>
  <c r="E481" s="1"/>
  <c r="F529"/>
  <c r="E529" s="1"/>
  <c r="F523"/>
  <c r="E523" s="1"/>
  <c r="F496"/>
  <c r="M437"/>
  <c r="F516"/>
  <c r="K475"/>
  <c r="F537"/>
  <c r="F522"/>
  <c r="E522" s="1"/>
  <c r="F531"/>
  <c r="F535"/>
  <c r="E535" s="1"/>
  <c r="F466"/>
  <c r="E466" s="1"/>
  <c r="F556"/>
  <c r="F539"/>
  <c r="F530"/>
  <c r="F129" i="5"/>
  <c r="F471" i="6"/>
  <c r="F491"/>
  <c r="F533"/>
  <c r="E533" s="1"/>
  <c r="F498"/>
  <c r="M409"/>
  <c r="F130" i="5"/>
  <c r="E130" s="1"/>
  <c r="P130" s="1"/>
  <c r="O130" s="1"/>
  <c r="F519" i="6"/>
  <c r="M58" i="5"/>
  <c r="M413" i="6"/>
  <c r="M421"/>
  <c r="M440"/>
  <c r="M436"/>
  <c r="M378"/>
  <c r="M451"/>
  <c r="F482"/>
  <c r="Q41" i="5"/>
  <c r="Q26"/>
  <c r="Q17"/>
  <c r="P17" s="1"/>
  <c r="Q16"/>
  <c r="Q23"/>
  <c r="Q20"/>
  <c r="Q19"/>
  <c r="P19" s="1"/>
  <c r="Q22"/>
  <c r="Q30"/>
  <c r="P30" s="1"/>
  <c r="Q28"/>
  <c r="Q24"/>
  <c r="P24" s="1"/>
  <c r="Q29"/>
  <c r="P29" s="1"/>
  <c r="Q27"/>
  <c r="Q21"/>
  <c r="P21" s="1"/>
  <c r="Q18"/>
  <c r="Q25"/>
  <c r="J136"/>
  <c r="P136"/>
  <c r="O136" s="1"/>
  <c r="D377" i="6"/>
  <c r="D489" s="1"/>
  <c r="P377"/>
  <c r="J377"/>
  <c r="O377" s="1"/>
  <c r="K466"/>
  <c r="M466" s="1"/>
  <c r="S466"/>
  <c r="D370"/>
  <c r="E482"/>
  <c r="J370"/>
  <c r="I370" s="1"/>
  <c r="K517"/>
  <c r="M517" s="1"/>
  <c r="H360"/>
  <c r="I472"/>
  <c r="H500"/>
  <c r="V405"/>
  <c r="H528"/>
  <c r="D536"/>
  <c r="J536"/>
  <c r="I536" s="1"/>
  <c r="O536" s="1"/>
  <c r="P536" s="1"/>
  <c r="D425"/>
  <c r="E537"/>
  <c r="D449"/>
  <c r="D437"/>
  <c r="J437"/>
  <c r="O437" s="1"/>
  <c r="P437" s="1"/>
  <c r="D562"/>
  <c r="J562"/>
  <c r="I562" s="1"/>
  <c r="O562" s="1"/>
  <c r="P562" s="1"/>
  <c r="J125" i="5"/>
  <c r="P125"/>
  <c r="D139"/>
  <c r="P139"/>
  <c r="O139" s="1"/>
  <c r="M139" s="1"/>
  <c r="J139"/>
  <c r="I139" s="1"/>
  <c r="H139" s="1"/>
  <c r="D465" i="6"/>
  <c r="J465"/>
  <c r="I465" s="1"/>
  <c r="O465" s="1"/>
  <c r="P465" s="1"/>
  <c r="H366"/>
  <c r="K490"/>
  <c r="M490" s="1"/>
  <c r="S490"/>
  <c r="D381"/>
  <c r="E493"/>
  <c r="J381"/>
  <c r="O381" s="1"/>
  <c r="P381" s="1"/>
  <c r="D491"/>
  <c r="P491"/>
  <c r="J491"/>
  <c r="O491" s="1"/>
  <c r="D417"/>
  <c r="T218"/>
  <c r="R181"/>
  <c r="T181" s="1"/>
  <c r="R199"/>
  <c r="T199" s="1"/>
  <c r="V395"/>
  <c r="K519"/>
  <c r="M519" s="1"/>
  <c r="D422"/>
  <c r="E534"/>
  <c r="P422"/>
  <c r="J422"/>
  <c r="I422" s="1"/>
  <c r="O422" s="1"/>
  <c r="F100" i="5"/>
  <c r="E100" s="1"/>
  <c r="U100"/>
  <c r="G127"/>
  <c r="D102"/>
  <c r="P102"/>
  <c r="O102" s="1"/>
  <c r="J102"/>
  <c r="I102" s="1"/>
  <c r="H102" s="1"/>
  <c r="E129"/>
  <c r="S492" i="6"/>
  <c r="M492"/>
  <c r="D495"/>
  <c r="H488"/>
  <c r="D103" i="5"/>
  <c r="P103"/>
  <c r="J103"/>
  <c r="I103" s="1"/>
  <c r="H103" s="1"/>
  <c r="H130" s="1"/>
  <c r="H400" i="6"/>
  <c r="H512" s="1"/>
  <c r="D362"/>
  <c r="E474"/>
  <c r="J362"/>
  <c r="O362" s="1"/>
  <c r="P362" s="1"/>
  <c r="K514"/>
  <c r="M514" s="1"/>
  <c r="S514"/>
  <c r="D445"/>
  <c r="P445"/>
  <c r="J445"/>
  <c r="O445" s="1"/>
  <c r="V387"/>
  <c r="K505"/>
  <c r="M505" s="1"/>
  <c r="S505"/>
  <c r="D498"/>
  <c r="J498"/>
  <c r="I498" s="1"/>
  <c r="O498" s="1"/>
  <c r="P498" s="1"/>
  <c r="S504"/>
  <c r="M504"/>
  <c r="D532"/>
  <c r="J532"/>
  <c r="O532" s="1"/>
  <c r="P532" s="1"/>
  <c r="K554"/>
  <c r="M554" s="1"/>
  <c r="K486"/>
  <c r="M486" s="1"/>
  <c r="S495"/>
  <c r="D512"/>
  <c r="D500"/>
  <c r="P500"/>
  <c r="D401"/>
  <c r="D513" s="1"/>
  <c r="J401"/>
  <c r="I401" s="1"/>
  <c r="O401" s="1"/>
  <c r="P401" s="1"/>
  <c r="D403"/>
  <c r="E515"/>
  <c r="J403"/>
  <c r="I403" s="1"/>
  <c r="O403" s="1"/>
  <c r="P403" s="1"/>
  <c r="K561"/>
  <c r="S561"/>
  <c r="H390"/>
  <c r="V409"/>
  <c r="D413"/>
  <c r="P413"/>
  <c r="J413"/>
  <c r="O413" s="1"/>
  <c r="D421"/>
  <c r="P421"/>
  <c r="D426"/>
  <c r="J426"/>
  <c r="I426" s="1"/>
  <c r="O426" s="1"/>
  <c r="P426" s="1"/>
  <c r="H464"/>
  <c r="F488"/>
  <c r="F475"/>
  <c r="F497"/>
  <c r="F511"/>
  <c r="F540"/>
  <c r="F554"/>
  <c r="F518"/>
  <c r="F527"/>
  <c r="E527" s="1"/>
  <c r="F545"/>
  <c r="E545" s="1"/>
  <c r="F508"/>
  <c r="F526"/>
  <c r="M441"/>
  <c r="F132" i="5"/>
  <c r="E132" s="1"/>
  <c r="F465" i="6"/>
  <c r="M494"/>
  <c r="F483"/>
  <c r="F473"/>
  <c r="E473" s="1"/>
  <c r="F541"/>
  <c r="K503"/>
  <c r="F134" i="5"/>
  <c r="E134" s="1"/>
  <c r="F479" i="6"/>
  <c r="F495"/>
  <c r="F553"/>
  <c r="E553" s="1"/>
  <c r="H556"/>
  <c r="F503"/>
  <c r="F560"/>
  <c r="E560" s="1"/>
  <c r="J489"/>
  <c r="I489" s="1"/>
  <c r="O489" s="1"/>
  <c r="P489" s="1"/>
  <c r="D430"/>
  <c r="E542"/>
  <c r="J430"/>
  <c r="I430" s="1"/>
  <c r="O430" s="1"/>
  <c r="P430" s="1"/>
  <c r="D397"/>
  <c r="P397"/>
  <c r="J397"/>
  <c r="O397" s="1"/>
  <c r="D522"/>
  <c r="H428"/>
  <c r="H540" s="1"/>
  <c r="D561"/>
  <c r="D416"/>
  <c r="J416"/>
  <c r="O416" s="1"/>
  <c r="P416" s="1"/>
  <c r="D549"/>
  <c r="J549"/>
  <c r="I549" s="1"/>
  <c r="O549" s="1"/>
  <c r="P549" s="1"/>
  <c r="D448"/>
  <c r="J448"/>
  <c r="O448" s="1"/>
  <c r="P448" s="1"/>
  <c r="K98" i="5"/>
  <c r="F102" i="15"/>
  <c r="M352" i="6"/>
  <c r="P352" s="1"/>
  <c r="D369"/>
  <c r="J369"/>
  <c r="O369" s="1"/>
  <c r="P369" s="1"/>
  <c r="K110" i="5"/>
  <c r="M110" s="1"/>
  <c r="L137"/>
  <c r="D354" i="6"/>
  <c r="P354"/>
  <c r="J354"/>
  <c r="O354" s="1"/>
  <c r="V363"/>
  <c r="K498"/>
  <c r="M498" s="1"/>
  <c r="D521"/>
  <c r="J521"/>
  <c r="D529"/>
  <c r="D435"/>
  <c r="J435"/>
  <c r="O435" s="1"/>
  <c r="P435" s="1"/>
  <c r="K563"/>
  <c r="S563"/>
  <c r="R167"/>
  <c r="T167" s="1"/>
  <c r="D368"/>
  <c r="E480"/>
  <c r="S376"/>
  <c r="M376"/>
  <c r="H525"/>
  <c r="D552"/>
  <c r="J552"/>
  <c r="O552" s="1"/>
  <c r="P552" s="1"/>
  <c r="D364"/>
  <c r="E476"/>
  <c r="J364"/>
  <c r="O364" s="1"/>
  <c r="P364" s="1"/>
  <c r="M500"/>
  <c r="S500"/>
  <c r="D559"/>
  <c r="P559"/>
  <c r="J559"/>
  <c r="O559" s="1"/>
  <c r="K551"/>
  <c r="J551" s="1"/>
  <c r="O551" s="1"/>
  <c r="S551"/>
  <c r="D74" i="5"/>
  <c r="P74"/>
  <c r="J74"/>
  <c r="D72"/>
  <c r="J72"/>
  <c r="I72" s="1"/>
  <c r="H72" s="1"/>
  <c r="H99" s="1"/>
  <c r="H126" s="1"/>
  <c r="P72"/>
  <c r="V371" i="6"/>
  <c r="K465"/>
  <c r="M465" s="1"/>
  <c r="S465"/>
  <c r="D479"/>
  <c r="J479"/>
  <c r="D372"/>
  <c r="E484"/>
  <c r="P372"/>
  <c r="J372"/>
  <c r="O372" s="1"/>
  <c r="M501"/>
  <c r="S501"/>
  <c r="D557"/>
  <c r="J557"/>
  <c r="I557" s="1"/>
  <c r="O557" s="1"/>
  <c r="P557"/>
  <c r="K356"/>
  <c r="M356" s="1"/>
  <c r="L468"/>
  <c r="S356"/>
  <c r="J385"/>
  <c r="I385" s="1"/>
  <c r="O385" s="1"/>
  <c r="K497"/>
  <c r="D393"/>
  <c r="E505"/>
  <c r="P393"/>
  <c r="J393"/>
  <c r="O393" s="1"/>
  <c r="D398"/>
  <c r="J398"/>
  <c r="I398" s="1"/>
  <c r="O398" s="1"/>
  <c r="P398" s="1"/>
  <c r="D418"/>
  <c r="E530"/>
  <c r="J418"/>
  <c r="I418" s="1"/>
  <c r="O418" s="1"/>
  <c r="P418" s="1"/>
  <c r="H557"/>
  <c r="D71" i="5"/>
  <c r="Q69" s="1"/>
  <c r="P71"/>
  <c r="P86" s="1"/>
  <c r="J71"/>
  <c r="I71" s="1"/>
  <c r="D108"/>
  <c r="J108"/>
  <c r="P108"/>
  <c r="D486" i="6"/>
  <c r="J486"/>
  <c r="I486" s="1"/>
  <c r="O486" s="1"/>
  <c r="P486"/>
  <c r="K472"/>
  <c r="M472" s="1"/>
  <c r="S472"/>
  <c r="K469"/>
  <c r="M469" s="1"/>
  <c r="S469"/>
  <c r="S481"/>
  <c r="M481"/>
  <c r="P513"/>
  <c r="J513"/>
  <c r="I513" s="1"/>
  <c r="O513" s="1"/>
  <c r="H436"/>
  <c r="H548" s="1"/>
  <c r="H394"/>
  <c r="H506" s="1"/>
  <c r="M394"/>
  <c r="D525"/>
  <c r="P525"/>
  <c r="M525" s="1"/>
  <c r="J525"/>
  <c r="O525" s="1"/>
  <c r="D533"/>
  <c r="J533"/>
  <c r="I533" s="1"/>
  <c r="M365"/>
  <c r="M427"/>
  <c r="M375"/>
  <c r="M444"/>
  <c r="G196" i="15"/>
  <c r="D106" i="5"/>
  <c r="V105" s="1"/>
  <c r="P106"/>
  <c r="E133"/>
  <c r="J106"/>
  <c r="D380" i="6"/>
  <c r="E492"/>
  <c r="P380"/>
  <c r="J380"/>
  <c r="O380" s="1"/>
  <c r="D138" i="5"/>
  <c r="P138"/>
  <c r="O138" s="1"/>
  <c r="J138"/>
  <c r="I138" s="1"/>
  <c r="H138" s="1"/>
  <c r="G138" s="1"/>
  <c r="F138" s="1"/>
  <c r="K384" i="6"/>
  <c r="K496" s="1"/>
  <c r="L496"/>
  <c r="S384"/>
  <c r="I543"/>
  <c r="D511"/>
  <c r="J511"/>
  <c r="D556"/>
  <c r="J556"/>
  <c r="O556" s="1"/>
  <c r="P556" s="1"/>
  <c r="D446"/>
  <c r="P446"/>
  <c r="J446"/>
  <c r="I446" s="1"/>
  <c r="O446" s="1"/>
  <c r="D528"/>
  <c r="M71" i="5"/>
  <c r="L98"/>
  <c r="D481" i="6"/>
  <c r="J481"/>
  <c r="O481" s="1"/>
  <c r="P481" s="1"/>
  <c r="D373"/>
  <c r="P373"/>
  <c r="J373"/>
  <c r="I373" s="1"/>
  <c r="O373" s="1"/>
  <c r="D464"/>
  <c r="J464"/>
  <c r="O464" s="1"/>
  <c r="D466"/>
  <c r="J466"/>
  <c r="I466" s="1"/>
  <c r="O466" s="1"/>
  <c r="P466" s="1"/>
  <c r="D356"/>
  <c r="E468"/>
  <c r="J356"/>
  <c r="O356" s="1"/>
  <c r="P356" s="1"/>
  <c r="D499"/>
  <c r="J499"/>
  <c r="I499" s="1"/>
  <c r="O499" s="1"/>
  <c r="P499" s="1"/>
  <c r="K509"/>
  <c r="M509" s="1"/>
  <c r="S509"/>
  <c r="H402"/>
  <c r="I535"/>
  <c r="D547"/>
  <c r="J547"/>
  <c r="I547" s="1"/>
  <c r="O547" s="1"/>
  <c r="P547" s="1"/>
  <c r="E233"/>
  <c r="Q331"/>
  <c r="Q330"/>
  <c r="R330" s="1"/>
  <c r="T330" s="1"/>
  <c r="Q329"/>
  <c r="R329" s="1"/>
  <c r="T329" s="1"/>
  <c r="Q319"/>
  <c r="Q318"/>
  <c r="R318" s="1"/>
  <c r="T318" s="1"/>
  <c r="Q315"/>
  <c r="R315" s="1"/>
  <c r="T315" s="1"/>
  <c r="Q312"/>
  <c r="Q304"/>
  <c r="R304" s="1"/>
  <c r="T304" s="1"/>
  <c r="Q302"/>
  <c r="R302" s="1"/>
  <c r="T302" s="1"/>
  <c r="Q297"/>
  <c r="Q292"/>
  <c r="R292" s="1"/>
  <c r="T292" s="1"/>
  <c r="Q281"/>
  <c r="R281" s="1"/>
  <c r="T281" s="1"/>
  <c r="Q278"/>
  <c r="R278" s="1"/>
  <c r="T278" s="1"/>
  <c r="Q275"/>
  <c r="Q350"/>
  <c r="Q339"/>
  <c r="P339" s="1"/>
  <c r="R339" s="1"/>
  <c r="Q335"/>
  <c r="R335" s="1"/>
  <c r="T335" s="1"/>
  <c r="Q333"/>
  <c r="R333" s="1"/>
  <c r="T333" s="1"/>
  <c r="Q326"/>
  <c r="R326" s="1"/>
  <c r="T326" s="1"/>
  <c r="Q324"/>
  <c r="R324" s="1"/>
  <c r="T324" s="1"/>
  <c r="Q322"/>
  <c r="R322" s="1"/>
  <c r="T322" s="1"/>
  <c r="Q320"/>
  <c r="Q316"/>
  <c r="Q305"/>
  <c r="R305" s="1"/>
  <c r="T305" s="1"/>
  <c r="Q303"/>
  <c r="Q298"/>
  <c r="R298" s="1"/>
  <c r="T298" s="1"/>
  <c r="Q295"/>
  <c r="R295" s="1"/>
  <c r="T295" s="1"/>
  <c r="Q285"/>
  <c r="R285" s="1"/>
  <c r="T285" s="1"/>
  <c r="Q279"/>
  <c r="R279" s="1"/>
  <c r="T279" s="1"/>
  <c r="Q277"/>
  <c r="R277" s="1"/>
  <c r="T277" s="1"/>
  <c r="Q336"/>
  <c r="R336" s="1"/>
  <c r="T336" s="1"/>
  <c r="Q328"/>
  <c r="R328" s="1"/>
  <c r="T328" s="1"/>
  <c r="Q325"/>
  <c r="R325" s="1"/>
  <c r="T325" s="1"/>
  <c r="Q323"/>
  <c r="R323" s="1"/>
  <c r="T323" s="1"/>
  <c r="Q321"/>
  <c r="R321" s="1"/>
  <c r="T321" s="1"/>
  <c r="Q317"/>
  <c r="R317" s="1"/>
  <c r="T317" s="1"/>
  <c r="Q313"/>
  <c r="R313" s="1"/>
  <c r="T313" s="1"/>
  <c r="Q308"/>
  <c r="Q307"/>
  <c r="Q306"/>
  <c r="R306" s="1"/>
  <c r="T306" s="1"/>
  <c r="Q300"/>
  <c r="R300" s="1"/>
  <c r="T300" s="1"/>
  <c r="Q294"/>
  <c r="R294" s="1"/>
  <c r="T294" s="1"/>
  <c r="Q293"/>
  <c r="Q291"/>
  <c r="Q289"/>
  <c r="Q288"/>
  <c r="R288" s="1"/>
  <c r="T288" s="1"/>
  <c r="Q286"/>
  <c r="R286" s="1"/>
  <c r="T286" s="1"/>
  <c r="Q282"/>
  <c r="R282" s="1"/>
  <c r="T282" s="1"/>
  <c r="Q280"/>
  <c r="R280" s="1"/>
  <c r="T280" s="1"/>
  <c r="Q276"/>
  <c r="R276" s="1"/>
  <c r="T276" s="1"/>
  <c r="Q338"/>
  <c r="Q337"/>
  <c r="R337" s="1"/>
  <c r="T337" s="1"/>
  <c r="Q334"/>
  <c r="Q332"/>
  <c r="R332" s="1"/>
  <c r="T332" s="1"/>
  <c r="Q327"/>
  <c r="R327" s="1"/>
  <c r="T327" s="1"/>
  <c r="Q314"/>
  <c r="R314" s="1"/>
  <c r="T314" s="1"/>
  <c r="Q311"/>
  <c r="Q310"/>
  <c r="R310" s="1"/>
  <c r="T310" s="1"/>
  <c r="Q309"/>
  <c r="R309" s="1"/>
  <c r="T309" s="1"/>
  <c r="Q301"/>
  <c r="R301" s="1"/>
  <c r="T301" s="1"/>
  <c r="Q299"/>
  <c r="R299" s="1"/>
  <c r="T299" s="1"/>
  <c r="Q296"/>
  <c r="R296" s="1"/>
  <c r="T296" s="1"/>
  <c r="Q290"/>
  <c r="R290" s="1"/>
  <c r="Q287"/>
  <c r="Q284"/>
  <c r="R284" s="1"/>
  <c r="T284" s="1"/>
  <c r="Q283"/>
  <c r="Q274"/>
  <c r="R274" s="1"/>
  <c r="T274" s="1"/>
  <c r="Q273"/>
  <c r="R273" s="1"/>
  <c r="T273" s="1"/>
  <c r="Q271"/>
  <c r="R271" s="1"/>
  <c r="T271" s="1"/>
  <c r="Q268"/>
  <c r="R268" s="1"/>
  <c r="T268" s="1"/>
  <c r="Q266"/>
  <c r="R266" s="1"/>
  <c r="T266" s="1"/>
  <c r="Q263"/>
  <c r="R263" s="1"/>
  <c r="T263" s="1"/>
  <c r="Q258"/>
  <c r="R258" s="1"/>
  <c r="T258" s="1"/>
  <c r="Q256"/>
  <c r="R256" s="1"/>
  <c r="T256" s="1"/>
  <c r="Q253"/>
  <c r="R253" s="1"/>
  <c r="T253" s="1"/>
  <c r="Q250"/>
  <c r="R250" s="1"/>
  <c r="T250" s="1"/>
  <c r="Q247"/>
  <c r="R247" s="1"/>
  <c r="T247" s="1"/>
  <c r="Q245"/>
  <c r="R245" s="1"/>
  <c r="T245" s="1"/>
  <c r="Q240"/>
  <c r="Q269"/>
  <c r="R269" s="1"/>
  <c r="T269" s="1"/>
  <c r="Q267"/>
  <c r="Q265"/>
  <c r="R265" s="1"/>
  <c r="T265" s="1"/>
  <c r="Q261"/>
  <c r="R261" s="1"/>
  <c r="T261" s="1"/>
  <c r="Q259"/>
  <c r="R259" s="1"/>
  <c r="T259" s="1"/>
  <c r="Q251"/>
  <c r="R251" s="1"/>
  <c r="T251" s="1"/>
  <c r="Q249"/>
  <c r="R249" s="1"/>
  <c r="T249" s="1"/>
  <c r="Q244"/>
  <c r="R244" s="1"/>
  <c r="T244" s="1"/>
  <c r="Q270"/>
  <c r="R270" s="1"/>
  <c r="T270" s="1"/>
  <c r="Q257"/>
  <c r="R257" s="1"/>
  <c r="T257" s="1"/>
  <c r="Q255"/>
  <c r="Q254"/>
  <c r="R254" s="1"/>
  <c r="T254" s="1"/>
  <c r="Q252"/>
  <c r="R252" s="1"/>
  <c r="T252" s="1"/>
  <c r="Q248"/>
  <c r="R248" s="1"/>
  <c r="T248" s="1"/>
  <c r="Q242"/>
  <c r="R242" s="1"/>
  <c r="T242" s="1"/>
  <c r="Q241"/>
  <c r="R241" s="1"/>
  <c r="T241" s="1"/>
  <c r="Q272"/>
  <c r="Q264"/>
  <c r="Q262"/>
  <c r="R262" s="1"/>
  <c r="T262" s="1"/>
  <c r="Q260"/>
  <c r="R260" s="1"/>
  <c r="T260" s="1"/>
  <c r="Q246"/>
  <c r="R246" s="1"/>
  <c r="T246" s="1"/>
  <c r="Q243"/>
  <c r="R243" s="1"/>
  <c r="T243" s="1"/>
  <c r="R163"/>
  <c r="T163" s="1"/>
  <c r="Z225"/>
  <c r="Z221"/>
  <c r="Z220"/>
  <c r="V220" s="1"/>
  <c r="Z202"/>
  <c r="Z198"/>
  <c r="Z194"/>
  <c r="Z187"/>
  <c r="Z186"/>
  <c r="Z182"/>
  <c r="AA182" s="1"/>
  <c r="AB182" s="1"/>
  <c r="Z181"/>
  <c r="Z176"/>
  <c r="Z175"/>
  <c r="Z172"/>
  <c r="V172" s="1"/>
  <c r="Z170"/>
  <c r="Z169"/>
  <c r="Z162"/>
  <c r="Z161"/>
  <c r="Z157"/>
  <c r="Z153"/>
  <c r="Z149"/>
  <c r="Z146"/>
  <c r="AA146" s="1"/>
  <c r="AB146" s="1"/>
  <c r="Z145"/>
  <c r="Z141"/>
  <c r="Z133"/>
  <c r="Z227"/>
  <c r="Z226"/>
  <c r="Z218"/>
  <c r="Z217"/>
  <c r="Z216"/>
  <c r="AA216" s="1"/>
  <c r="AB216" s="1"/>
  <c r="Z210"/>
  <c r="Z207"/>
  <c r="Z205"/>
  <c r="Z204"/>
  <c r="V204" s="1"/>
  <c r="Z200"/>
  <c r="Z195"/>
  <c r="Z183"/>
  <c r="Z178"/>
  <c r="Z165"/>
  <c r="Z155"/>
  <c r="Z154"/>
  <c r="Z137"/>
  <c r="AA137" s="1"/>
  <c r="AB137" s="1"/>
  <c r="Z134"/>
  <c r="Z128"/>
  <c r="Z219"/>
  <c r="Z214"/>
  <c r="AA214" s="1"/>
  <c r="AB214" s="1"/>
  <c r="Z203"/>
  <c r="Z201"/>
  <c r="Z197"/>
  <c r="Z193"/>
  <c r="AA193" s="1"/>
  <c r="AB193" s="1"/>
  <c r="Z189"/>
  <c r="Z188"/>
  <c r="V188" s="1"/>
  <c r="Z179"/>
  <c r="Z173"/>
  <c r="Z167"/>
  <c r="Z159"/>
  <c r="Z147"/>
  <c r="Z143"/>
  <c r="Z138"/>
  <c r="Z135"/>
  <c r="Z131"/>
  <c r="Z130"/>
  <c r="AA130" s="1"/>
  <c r="AB130" s="1"/>
  <c r="Z129"/>
  <c r="Z223"/>
  <c r="Z215"/>
  <c r="Z213"/>
  <c r="AA213" s="1"/>
  <c r="AB213" s="1"/>
  <c r="Z211"/>
  <c r="Z209"/>
  <c r="Z208"/>
  <c r="Z199"/>
  <c r="Z191"/>
  <c r="Z185"/>
  <c r="Z184"/>
  <c r="V184" s="1"/>
  <c r="Z177"/>
  <c r="AA177" s="1"/>
  <c r="AB177" s="1"/>
  <c r="Z171"/>
  <c r="Z168"/>
  <c r="V168" s="1"/>
  <c r="Z166"/>
  <c r="Z163"/>
  <c r="Z156"/>
  <c r="V156" s="1"/>
  <c r="Z152"/>
  <c r="Z151"/>
  <c r="Z150"/>
  <c r="AA150" s="1"/>
  <c r="AB150" s="1"/>
  <c r="Z144"/>
  <c r="V144" s="1"/>
  <c r="Z140"/>
  <c r="V140" s="1"/>
  <c r="Z139"/>
  <c r="Z136"/>
  <c r="V136" s="1"/>
  <c r="AA218"/>
  <c r="AB218" s="1"/>
  <c r="AA170"/>
  <c r="AB170" s="1"/>
  <c r="AA202"/>
  <c r="AB202" s="1"/>
  <c r="AA166"/>
  <c r="AB166" s="1"/>
  <c r="AA194"/>
  <c r="AB194" s="1"/>
  <c r="AA200"/>
  <c r="AB200" s="1"/>
  <c r="AA184"/>
  <c r="AB184" s="1"/>
  <c r="AA152"/>
  <c r="AB152" s="1"/>
  <c r="AA144"/>
  <c r="AB144" s="1"/>
  <c r="AA176"/>
  <c r="AB176" s="1"/>
  <c r="AA140"/>
  <c r="AB140" s="1"/>
  <c r="AA138"/>
  <c r="AB138" s="1"/>
  <c r="AA162"/>
  <c r="AB162" s="1"/>
  <c r="AA198"/>
  <c r="AB198" s="1"/>
  <c r="AA157"/>
  <c r="AB157" s="1"/>
  <c r="AA188"/>
  <c r="AB188" s="1"/>
  <c r="AA226"/>
  <c r="AB226" s="1"/>
  <c r="AA154"/>
  <c r="AB154" s="1"/>
  <c r="AA156"/>
  <c r="AB156" s="1"/>
  <c r="AA208"/>
  <c r="AB208" s="1"/>
  <c r="AA220"/>
  <c r="AB220" s="1"/>
  <c r="AA134"/>
  <c r="AB134" s="1"/>
  <c r="AA186"/>
  <c r="AB186" s="1"/>
  <c r="AA145"/>
  <c r="AB145" s="1"/>
  <c r="AA168"/>
  <c r="AB168" s="1"/>
  <c r="AA185"/>
  <c r="AB185" s="1"/>
  <c r="D359"/>
  <c r="E471"/>
  <c r="J359"/>
  <c r="I359" s="1"/>
  <c r="O359" s="1"/>
  <c r="K550"/>
  <c r="M550" s="1"/>
  <c r="D555"/>
  <c r="D389"/>
  <c r="J389"/>
  <c r="O389" s="1"/>
  <c r="P389" s="1"/>
  <c r="D514"/>
  <c r="J514"/>
  <c r="I514" s="1"/>
  <c r="O514" s="1"/>
  <c r="P514"/>
  <c r="D554"/>
  <c r="P554"/>
  <c r="J554"/>
  <c r="I554" s="1"/>
  <c r="O554" s="1"/>
  <c r="I449"/>
  <c r="D518"/>
  <c r="D520"/>
  <c r="H310"/>
  <c r="F101" i="5"/>
  <c r="E101" s="1"/>
  <c r="U101"/>
  <c r="G128"/>
  <c r="F99"/>
  <c r="E99" s="1"/>
  <c r="U99"/>
  <c r="G126"/>
  <c r="K131"/>
  <c r="M131" s="1"/>
  <c r="D105"/>
  <c r="V104" s="1"/>
  <c r="P105"/>
  <c r="J105"/>
  <c r="K470" i="6"/>
  <c r="M470" s="1"/>
  <c r="D378"/>
  <c r="P378"/>
  <c r="D130" i="5"/>
  <c r="D467" i="6"/>
  <c r="J467"/>
  <c r="K471"/>
  <c r="M471" s="1"/>
  <c r="D502"/>
  <c r="P502"/>
  <c r="J502"/>
  <c r="I502" s="1"/>
  <c r="O502" s="1"/>
  <c r="H434"/>
  <c r="D503"/>
  <c r="J503"/>
  <c r="D526"/>
  <c r="J526"/>
  <c r="D432"/>
  <c r="P432"/>
  <c r="J432"/>
  <c r="O432" s="1"/>
  <c r="D523"/>
  <c r="J523"/>
  <c r="O523" s="1"/>
  <c r="P523" s="1"/>
  <c r="M523" s="1"/>
  <c r="F67" i="17"/>
  <c r="D110" i="5"/>
  <c r="V109" s="1"/>
  <c r="E137"/>
  <c r="P110"/>
  <c r="J110"/>
  <c r="I110" s="1"/>
  <c r="H110" s="1"/>
  <c r="H137" s="1"/>
  <c r="D365" i="6"/>
  <c r="J365"/>
  <c r="O365" s="1"/>
  <c r="P365" s="1"/>
  <c r="D483"/>
  <c r="P483"/>
  <c r="J483"/>
  <c r="I483" s="1"/>
  <c r="O483" s="1"/>
  <c r="D550"/>
  <c r="J550"/>
  <c r="D508"/>
  <c r="P508"/>
  <c r="J508"/>
  <c r="O508" s="1"/>
  <c r="J400"/>
  <c r="O400" s="1"/>
  <c r="P400" s="1"/>
  <c r="K512"/>
  <c r="M512" s="1"/>
  <c r="D548"/>
  <c r="J548"/>
  <c r="I548" s="1"/>
  <c r="O548" s="1"/>
  <c r="P548" s="1"/>
  <c r="I539"/>
  <c r="D382"/>
  <c r="E494"/>
  <c r="J382"/>
  <c r="I382" s="1"/>
  <c r="D516"/>
  <c r="P516"/>
  <c r="J516"/>
  <c r="I516" s="1"/>
  <c r="O516" s="1"/>
  <c r="H314"/>
  <c r="F474"/>
  <c r="F486"/>
  <c r="F509"/>
  <c r="E509" s="1"/>
  <c r="F563"/>
  <c r="E563" s="1"/>
  <c r="R264"/>
  <c r="T264" s="1"/>
  <c r="F552"/>
  <c r="AA201"/>
  <c r="AB201" s="1"/>
  <c r="R159"/>
  <c r="J368"/>
  <c r="O368" s="1"/>
  <c r="P368" s="1"/>
  <c r="J425"/>
  <c r="O425" s="1"/>
  <c r="P425" s="1"/>
  <c r="F505"/>
  <c r="F510"/>
  <c r="E510" s="1"/>
  <c r="R175"/>
  <c r="AA149"/>
  <c r="AB149" s="1"/>
  <c r="F135" i="5"/>
  <c r="E135" s="1"/>
  <c r="F494" i="6"/>
  <c r="F542"/>
  <c r="F506"/>
  <c r="F532"/>
  <c r="E8"/>
  <c r="E9" i="7"/>
  <c r="Z115" i="6"/>
  <c r="V115" s="1"/>
  <c r="Z112"/>
  <c r="V112" s="1"/>
  <c r="Z105"/>
  <c r="V105" s="1"/>
  <c r="Z85"/>
  <c r="V85" s="1"/>
  <c r="Z83"/>
  <c r="V83" s="1"/>
  <c r="Z81"/>
  <c r="V81" s="1"/>
  <c r="Z79"/>
  <c r="V79" s="1"/>
  <c r="Z77"/>
  <c r="V77" s="1"/>
  <c r="Z75"/>
  <c r="V75" s="1"/>
  <c r="Z73"/>
  <c r="V73" s="1"/>
  <c r="Z71"/>
  <c r="V71" s="1"/>
  <c r="Z52"/>
  <c r="V52" s="1"/>
  <c r="Z50"/>
  <c r="V50" s="1"/>
  <c r="Z48"/>
  <c r="V48" s="1"/>
  <c r="Z46"/>
  <c r="V46" s="1"/>
  <c r="Z44"/>
  <c r="V44" s="1"/>
  <c r="Z42"/>
  <c r="V42" s="1"/>
  <c r="Z40"/>
  <c r="V40" s="1"/>
  <c r="Z38"/>
  <c r="V38" s="1"/>
  <c r="Z21"/>
  <c r="V21" s="1"/>
  <c r="Z114"/>
  <c r="V114" s="1"/>
  <c r="Z109"/>
  <c r="V109" s="1"/>
  <c r="Z107"/>
  <c r="V107" s="1"/>
  <c r="Z104"/>
  <c r="V104" s="1"/>
  <c r="Z102"/>
  <c r="V102" s="1"/>
  <c r="Z99"/>
  <c r="V99" s="1"/>
  <c r="Z97"/>
  <c r="V97" s="1"/>
  <c r="Z95"/>
  <c r="V95" s="1"/>
  <c r="Z93"/>
  <c r="V93" s="1"/>
  <c r="Z91"/>
  <c r="V91" s="1"/>
  <c r="Z89"/>
  <c r="V89" s="1"/>
  <c r="Z87"/>
  <c r="V87" s="1"/>
  <c r="Z68"/>
  <c r="V68" s="1"/>
  <c r="Z66"/>
  <c r="V66" s="1"/>
  <c r="Z64"/>
  <c r="V64" s="1"/>
  <c r="Z62"/>
  <c r="V62" s="1"/>
  <c r="Z60"/>
  <c r="V60" s="1"/>
  <c r="Z58"/>
  <c r="V58" s="1"/>
  <c r="Z56"/>
  <c r="V56" s="1"/>
  <c r="Z54"/>
  <c r="V54" s="1"/>
  <c r="Z37"/>
  <c r="V37" s="1"/>
  <c r="Z35"/>
  <c r="V35" s="1"/>
  <c r="Z33"/>
  <c r="V33" s="1"/>
  <c r="Z31"/>
  <c r="V31" s="1"/>
  <c r="Z29"/>
  <c r="V29" s="1"/>
  <c r="Z27"/>
  <c r="V27" s="1"/>
  <c r="Z25"/>
  <c r="V25" s="1"/>
  <c r="Z23"/>
  <c r="V23" s="1"/>
  <c r="Z18"/>
  <c r="V18" s="1"/>
  <c r="Z16"/>
  <c r="V16" s="1"/>
  <c r="Z111"/>
  <c r="V111" s="1"/>
  <c r="Z106"/>
  <c r="V106" s="1"/>
  <c r="Z101"/>
  <c r="V101" s="1"/>
  <c r="Z84"/>
  <c r="V84" s="1"/>
  <c r="Z82"/>
  <c r="V82" s="1"/>
  <c r="Z80"/>
  <c r="V80" s="1"/>
  <c r="Z78"/>
  <c r="V78" s="1"/>
  <c r="Z76"/>
  <c r="V76" s="1"/>
  <c r="Z74"/>
  <c r="V74" s="1"/>
  <c r="Z72"/>
  <c r="V72" s="1"/>
  <c r="Z70"/>
  <c r="V70" s="1"/>
  <c r="Z53"/>
  <c r="V53" s="1"/>
  <c r="Z51"/>
  <c r="V51" s="1"/>
  <c r="Z49"/>
  <c r="V49" s="1"/>
  <c r="Z47"/>
  <c r="V47" s="1"/>
  <c r="Z45"/>
  <c r="V45" s="1"/>
  <c r="Z43"/>
  <c r="V43" s="1"/>
  <c r="Z41"/>
  <c r="V41" s="1"/>
  <c r="Z39"/>
  <c r="V39" s="1"/>
  <c r="Z20"/>
  <c r="V20" s="1"/>
  <c r="Z113"/>
  <c r="V113" s="1"/>
  <c r="Z110"/>
  <c r="V110" s="1"/>
  <c r="Z108"/>
  <c r="V108" s="1"/>
  <c r="Z103"/>
  <c r="V103" s="1"/>
  <c r="Z100"/>
  <c r="V100" s="1"/>
  <c r="Z98"/>
  <c r="V98" s="1"/>
  <c r="Z96"/>
  <c r="V96" s="1"/>
  <c r="Z94"/>
  <c r="V94" s="1"/>
  <c r="Z92"/>
  <c r="V92" s="1"/>
  <c r="Z90"/>
  <c r="V90" s="1"/>
  <c r="Z88"/>
  <c r="V88" s="1"/>
  <c r="Z86"/>
  <c r="V86" s="1"/>
  <c r="Z69"/>
  <c r="V69" s="1"/>
  <c r="Z67"/>
  <c r="V67" s="1"/>
  <c r="Z65"/>
  <c r="V65" s="1"/>
  <c r="Z63"/>
  <c r="V63" s="1"/>
  <c r="Z61"/>
  <c r="V61" s="1"/>
  <c r="Z59"/>
  <c r="V59" s="1"/>
  <c r="Z57"/>
  <c r="V57" s="1"/>
  <c r="Z55"/>
  <c r="V55" s="1"/>
  <c r="Z36"/>
  <c r="V36" s="1"/>
  <c r="Z34"/>
  <c r="V34" s="1"/>
  <c r="Z32"/>
  <c r="V32" s="1"/>
  <c r="Z30"/>
  <c r="V30" s="1"/>
  <c r="Z28"/>
  <c r="V28" s="1"/>
  <c r="Z26"/>
  <c r="V26" s="1"/>
  <c r="Z24"/>
  <c r="V24" s="1"/>
  <c r="Z22"/>
  <c r="V22" s="1"/>
  <c r="Z19"/>
  <c r="V19" s="1"/>
  <c r="Z17"/>
  <c r="V17" s="1"/>
  <c r="D104" i="5"/>
  <c r="V103" s="1"/>
  <c r="E131"/>
  <c r="P104"/>
  <c r="J104"/>
  <c r="D109"/>
  <c r="V108" s="1"/>
  <c r="P109"/>
  <c r="J109"/>
  <c r="I109" s="1"/>
  <c r="H109" s="1"/>
  <c r="H136" s="1"/>
  <c r="D375" i="6"/>
  <c r="D487" s="1"/>
  <c r="J375"/>
  <c r="O375" s="1"/>
  <c r="P375" s="1"/>
  <c r="D469"/>
  <c r="J469"/>
  <c r="I469" s="1"/>
  <c r="V374"/>
  <c r="K506"/>
  <c r="M506" s="1"/>
  <c r="S506"/>
  <c r="S524"/>
  <c r="M524"/>
  <c r="K530"/>
  <c r="M530" s="1"/>
  <c r="S530"/>
  <c r="D423"/>
  <c r="D535" s="1"/>
  <c r="J423"/>
  <c r="O423" s="1"/>
  <c r="P423" s="1"/>
  <c r="D540"/>
  <c r="J540"/>
  <c r="I540" s="1"/>
  <c r="O540" s="1"/>
  <c r="P540" s="1"/>
  <c r="K560"/>
  <c r="M560" s="1"/>
  <c r="S560"/>
  <c r="H518"/>
  <c r="V416"/>
  <c r="J429"/>
  <c r="O429" s="1"/>
  <c r="K541"/>
  <c r="M541" s="1"/>
  <c r="H450"/>
  <c r="H562" s="1"/>
  <c r="D98" i="5"/>
  <c r="Q96" s="1"/>
  <c r="P98"/>
  <c r="J98"/>
  <c r="I98" s="1"/>
  <c r="H480" i="6"/>
  <c r="V352"/>
  <c r="S477"/>
  <c r="M477"/>
  <c r="D385"/>
  <c r="E497"/>
  <c r="P385"/>
  <c r="R190"/>
  <c r="R207"/>
  <c r="R171"/>
  <c r="R182"/>
  <c r="T182" s="1"/>
  <c r="R191"/>
  <c r="K528"/>
  <c r="M528" s="1"/>
  <c r="S528"/>
  <c r="D433"/>
  <c r="D551"/>
  <c r="P551"/>
  <c r="D507"/>
  <c r="J507"/>
  <c r="D517"/>
  <c r="P517"/>
  <c r="J517"/>
  <c r="I517" s="1"/>
  <c r="O517" s="1"/>
  <c r="K556"/>
  <c r="M556" s="1"/>
  <c r="S556"/>
  <c r="V74" i="5"/>
  <c r="H493" i="6"/>
  <c r="D470"/>
  <c r="J470"/>
  <c r="I470" s="1"/>
  <c r="O470" s="1"/>
  <c r="P470" s="1"/>
  <c r="D488"/>
  <c r="P488"/>
  <c r="J488"/>
  <c r="I488" s="1"/>
  <c r="O488" s="1"/>
  <c r="K489"/>
  <c r="M489" s="1"/>
  <c r="S489"/>
  <c r="D496"/>
  <c r="J496"/>
  <c r="I496" s="1"/>
  <c r="O496" s="1"/>
  <c r="M464"/>
  <c r="D475"/>
  <c r="J475"/>
  <c r="K480"/>
  <c r="S480"/>
  <c r="D361"/>
  <c r="J361"/>
  <c r="O361" s="1"/>
  <c r="P361" s="1"/>
  <c r="D519"/>
  <c r="J519"/>
  <c r="O519" s="1"/>
  <c r="P519" s="1"/>
  <c r="H412"/>
  <c r="D531"/>
  <c r="J531"/>
  <c r="K537"/>
  <c r="M537" s="1"/>
  <c r="D429"/>
  <c r="E541"/>
  <c r="P429"/>
  <c r="H414"/>
  <c r="H526" s="1"/>
  <c r="I526"/>
  <c r="O526" s="1"/>
  <c r="P526" s="1"/>
  <c r="J433"/>
  <c r="O433" s="1"/>
  <c r="P433" s="1"/>
  <c r="K545"/>
  <c r="K361"/>
  <c r="M361" s="1"/>
  <c r="L473"/>
  <c r="S361"/>
  <c r="H306"/>
  <c r="M99" i="5"/>
  <c r="L126"/>
  <c r="O43"/>
  <c r="F358" i="6"/>
  <c r="G470"/>
  <c r="K478"/>
  <c r="M478" s="1"/>
  <c r="S478"/>
  <c r="K485"/>
  <c r="M485" s="1"/>
  <c r="S485"/>
  <c r="V382"/>
  <c r="D107" i="5"/>
  <c r="P107"/>
  <c r="J107"/>
  <c r="I107" s="1"/>
  <c r="H107" s="1"/>
  <c r="H134" s="1"/>
  <c r="H486" i="6"/>
  <c r="J383"/>
  <c r="O383" s="1"/>
  <c r="P383" s="1"/>
  <c r="K495"/>
  <c r="M495" s="1"/>
  <c r="H438"/>
  <c r="I550"/>
  <c r="O550" s="1"/>
  <c r="P550" s="1"/>
  <c r="D441"/>
  <c r="J441"/>
  <c r="O441" s="1"/>
  <c r="P441" s="1"/>
  <c r="H508"/>
  <c r="D543"/>
  <c r="J543"/>
  <c r="K546"/>
  <c r="M546" s="1"/>
  <c r="S546"/>
  <c r="D506"/>
  <c r="J506"/>
  <c r="I506" s="1"/>
  <c r="O506" s="1"/>
  <c r="P506" s="1"/>
  <c r="D539"/>
  <c r="J539"/>
  <c r="F133" i="5"/>
  <c r="F478" i="6"/>
  <c r="E478" s="1"/>
  <c r="F492"/>
  <c r="M372"/>
  <c r="F559"/>
  <c r="R272"/>
  <c r="T272" s="1"/>
  <c r="F517"/>
  <c r="F512"/>
  <c r="M422"/>
  <c r="F558"/>
  <c r="E558" s="1"/>
  <c r="F485"/>
  <c r="E485" s="1"/>
  <c r="F476"/>
  <c r="F472"/>
  <c r="E472" s="1"/>
  <c r="F468"/>
  <c r="F507"/>
  <c r="F501"/>
  <c r="E501" s="1"/>
  <c r="F524"/>
  <c r="E524" s="1"/>
  <c r="F543"/>
  <c r="F490"/>
  <c r="E490" s="1"/>
  <c r="F504"/>
  <c r="E504" s="1"/>
  <c r="J518"/>
  <c r="O518" s="1"/>
  <c r="P518" s="1"/>
  <c r="F544"/>
  <c r="E544" s="1"/>
  <c r="M385"/>
  <c r="F546"/>
  <c r="E546" s="1"/>
  <c r="F538"/>
  <c r="E538" s="1"/>
  <c r="AA165"/>
  <c r="AB165" s="1"/>
  <c r="F137" i="5"/>
  <c r="F477" i="6"/>
  <c r="E477" s="1"/>
  <c r="J449"/>
  <c r="J561" s="1"/>
  <c r="M404"/>
  <c r="F521"/>
  <c r="F550"/>
  <c r="M552"/>
  <c r="J130" i="5" l="1"/>
  <c r="AA204" i="6"/>
  <c r="AB204" s="1"/>
  <c r="AA172"/>
  <c r="AB172" s="1"/>
  <c r="J512"/>
  <c r="I512" s="1"/>
  <c r="O512" s="1"/>
  <c r="P512" s="1"/>
  <c r="J495"/>
  <c r="O495" s="1"/>
  <c r="P495" s="1"/>
  <c r="J535"/>
  <c r="O535" s="1"/>
  <c r="P535" s="1"/>
  <c r="J487"/>
  <c r="O487" s="1"/>
  <c r="P487" s="1"/>
  <c r="M487" s="1"/>
  <c r="H533"/>
  <c r="O533"/>
  <c r="P533" s="1"/>
  <c r="H370"/>
  <c r="O370"/>
  <c r="P370" s="1"/>
  <c r="O507"/>
  <c r="P507" s="1"/>
  <c r="O475"/>
  <c r="P475" s="1"/>
  <c r="M475" s="1"/>
  <c r="O531"/>
  <c r="P531" s="1"/>
  <c r="O521"/>
  <c r="P521" s="1"/>
  <c r="O503"/>
  <c r="P503" s="1"/>
  <c r="M503" s="1"/>
  <c r="H382"/>
  <c r="H494" s="1"/>
  <c r="O382"/>
  <c r="O449"/>
  <c r="P449" s="1"/>
  <c r="O543"/>
  <c r="P543" s="1"/>
  <c r="H520"/>
  <c r="O539"/>
  <c r="P539" s="1"/>
  <c r="M539" s="1"/>
  <c r="O467"/>
  <c r="P467" s="1"/>
  <c r="O479"/>
  <c r="P479" s="1"/>
  <c r="O511"/>
  <c r="P511" s="1"/>
  <c r="M511" s="1"/>
  <c r="H469"/>
  <c r="O469"/>
  <c r="F470"/>
  <c r="F128" i="5"/>
  <c r="E128" s="1"/>
  <c r="M547" i="6"/>
  <c r="D501"/>
  <c r="J501"/>
  <c r="O501" s="1"/>
  <c r="D490"/>
  <c r="D524"/>
  <c r="J524"/>
  <c r="I524" s="1"/>
  <c r="O524" s="1"/>
  <c r="P524" s="1"/>
  <c r="D472"/>
  <c r="P472"/>
  <c r="J472"/>
  <c r="O472" s="1"/>
  <c r="D558"/>
  <c r="J558"/>
  <c r="I558" s="1"/>
  <c r="O558" s="1"/>
  <c r="P558" s="1"/>
  <c r="Q112" i="5"/>
  <c r="Q104"/>
  <c r="Q102"/>
  <c r="Q110"/>
  <c r="Q109"/>
  <c r="Q108"/>
  <c r="Q107"/>
  <c r="Q100"/>
  <c r="Q103"/>
  <c r="Q101"/>
  <c r="Q106"/>
  <c r="Q98"/>
  <c r="Q111"/>
  <c r="Q105"/>
  <c r="Q99"/>
  <c r="D135"/>
  <c r="J135"/>
  <c r="P135"/>
  <c r="O135" s="1"/>
  <c r="D510" i="6"/>
  <c r="P510"/>
  <c r="J510"/>
  <c r="I510" s="1"/>
  <c r="O510" s="1"/>
  <c r="D509"/>
  <c r="J509"/>
  <c r="I509" s="1"/>
  <c r="O509" s="1"/>
  <c r="D101" i="5"/>
  <c r="V100" s="1"/>
  <c r="P101"/>
  <c r="J101"/>
  <c r="AA189" i="6"/>
  <c r="AB189" s="1"/>
  <c r="AA181"/>
  <c r="AB181" s="1"/>
  <c r="AA221"/>
  <c r="AB221" s="1"/>
  <c r="D468"/>
  <c r="P468"/>
  <c r="S496"/>
  <c r="M496"/>
  <c r="D492"/>
  <c r="P492"/>
  <c r="J492"/>
  <c r="O492" s="1"/>
  <c r="K468"/>
  <c r="J468" s="1"/>
  <c r="O468" s="1"/>
  <c r="S468"/>
  <c r="D560"/>
  <c r="J560"/>
  <c r="O560" s="1"/>
  <c r="P560" s="1"/>
  <c r="D545"/>
  <c r="P545"/>
  <c r="J545"/>
  <c r="I545" s="1"/>
  <c r="O545" s="1"/>
  <c r="D527"/>
  <c r="H426"/>
  <c r="H538" s="1"/>
  <c r="D515"/>
  <c r="J515"/>
  <c r="I515" s="1"/>
  <c r="O515" s="1"/>
  <c r="P515"/>
  <c r="D474"/>
  <c r="J474"/>
  <c r="O474" s="1"/>
  <c r="P474" s="1"/>
  <c r="D537"/>
  <c r="P537"/>
  <c r="J537"/>
  <c r="O537" s="1"/>
  <c r="D482"/>
  <c r="J482"/>
  <c r="I482" s="1"/>
  <c r="D504"/>
  <c r="J504"/>
  <c r="O504" s="1"/>
  <c r="P504" s="1"/>
  <c r="D477"/>
  <c r="J477"/>
  <c r="O477" s="1"/>
  <c r="D485"/>
  <c r="J485"/>
  <c r="I485" s="1"/>
  <c r="O485" s="1"/>
  <c r="K126" i="5"/>
  <c r="M126" s="1"/>
  <c r="D131"/>
  <c r="J131"/>
  <c r="P131"/>
  <c r="O131" s="1"/>
  <c r="D563" i="6"/>
  <c r="J563"/>
  <c r="O563" s="1"/>
  <c r="P563" s="1"/>
  <c r="M563" s="1"/>
  <c r="V101" i="5"/>
  <c r="I561" i="6"/>
  <c r="M449"/>
  <c r="AA209"/>
  <c r="AB209" s="1"/>
  <c r="AA141"/>
  <c r="AB141" s="1"/>
  <c r="AA169"/>
  <c r="AB169" s="1"/>
  <c r="E345"/>
  <c r="Q442"/>
  <c r="P442" s="1"/>
  <c r="Q439"/>
  <c r="R439" s="1"/>
  <c r="T439" s="1"/>
  <c r="Q436"/>
  <c r="R436" s="1"/>
  <c r="T436" s="1"/>
  <c r="Q435"/>
  <c r="R435" s="1"/>
  <c r="T435" s="1"/>
  <c r="Q420"/>
  <c r="Q419"/>
  <c r="P419" s="1"/>
  <c r="Q418"/>
  <c r="R418" s="1"/>
  <c r="T418" s="1"/>
  <c r="Q416"/>
  <c r="R416" s="1"/>
  <c r="T416" s="1"/>
  <c r="Q415"/>
  <c r="Q414"/>
  <c r="P414" s="1"/>
  <c r="Q413"/>
  <c r="R413" s="1"/>
  <c r="T413" s="1"/>
  <c r="Q410"/>
  <c r="Q409"/>
  <c r="P409" s="1"/>
  <c r="Q408"/>
  <c r="Q390"/>
  <c r="R390" s="1"/>
  <c r="T390" s="1"/>
  <c r="Q447"/>
  <c r="Q444"/>
  <c r="R444" s="1"/>
  <c r="T444" s="1"/>
  <c r="Q443"/>
  <c r="Q427"/>
  <c r="R427" s="1"/>
  <c r="T427" s="1"/>
  <c r="Q423"/>
  <c r="Q421"/>
  <c r="R421" s="1"/>
  <c r="T421" s="1"/>
  <c r="Q407"/>
  <c r="R407" s="1"/>
  <c r="T407" s="1"/>
  <c r="Q406"/>
  <c r="R406" s="1"/>
  <c r="T406" s="1"/>
  <c r="Q404"/>
  <c r="Q403"/>
  <c r="Q396"/>
  <c r="R396" s="1"/>
  <c r="T396" s="1"/>
  <c r="Q395"/>
  <c r="P395" s="1"/>
  <c r="Q394"/>
  <c r="R394" s="1"/>
  <c r="T394" s="1"/>
  <c r="Q450"/>
  <c r="Q449"/>
  <c r="R449" s="1"/>
  <c r="T449" s="1"/>
  <c r="Q448"/>
  <c r="R448" s="1"/>
  <c r="T448" s="1"/>
  <c r="Q445"/>
  <c r="R445" s="1"/>
  <c r="T445" s="1"/>
  <c r="Q440"/>
  <c r="R440" s="1"/>
  <c r="T440" s="1"/>
  <c r="Q437"/>
  <c r="R437" s="1"/>
  <c r="T437" s="1"/>
  <c r="Q433"/>
  <c r="R433" s="1"/>
  <c r="T433" s="1"/>
  <c r="Q432"/>
  <c r="Q431"/>
  <c r="Q428"/>
  <c r="Q426"/>
  <c r="Q422"/>
  <c r="R422" s="1"/>
  <c r="T422" s="1"/>
  <c r="Q412"/>
  <c r="R412" s="1"/>
  <c r="T412" s="1"/>
  <c r="Q411"/>
  <c r="R411" s="1"/>
  <c r="T411" s="1"/>
  <c r="Q402"/>
  <c r="R402" s="1"/>
  <c r="T402" s="1"/>
  <c r="Q401"/>
  <c r="Q400"/>
  <c r="R400" s="1"/>
  <c r="T400" s="1"/>
  <c r="Q393"/>
  <c r="R393" s="1"/>
  <c r="T393" s="1"/>
  <c r="Q391"/>
  <c r="P391" s="1"/>
  <c r="Q462"/>
  <c r="Q451"/>
  <c r="P451" s="1"/>
  <c r="R451" s="1"/>
  <c r="Q446"/>
  <c r="Q441"/>
  <c r="R441" s="1"/>
  <c r="T441" s="1"/>
  <c r="Q438"/>
  <c r="P438" s="1"/>
  <c r="Q434"/>
  <c r="R434" s="1"/>
  <c r="T434" s="1"/>
  <c r="Q430"/>
  <c r="R430" s="1"/>
  <c r="T430" s="1"/>
  <c r="Q429"/>
  <c r="Q425"/>
  <c r="R425" s="1"/>
  <c r="T425" s="1"/>
  <c r="Q424"/>
  <c r="R424" s="1"/>
  <c r="Q417"/>
  <c r="Q405"/>
  <c r="P405" s="1"/>
  <c r="Q399"/>
  <c r="P399" s="1"/>
  <c r="Q398"/>
  <c r="R398" s="1"/>
  <c r="T398" s="1"/>
  <c r="Q397"/>
  <c r="R397" s="1"/>
  <c r="T397" s="1"/>
  <c r="Q392"/>
  <c r="R392" s="1"/>
  <c r="T392" s="1"/>
  <c r="Q389"/>
  <c r="R389" s="1"/>
  <c r="T389" s="1"/>
  <c r="Q384"/>
  <c r="Q379"/>
  <c r="Q374"/>
  <c r="P374" s="1"/>
  <c r="Q372"/>
  <c r="R372" s="1"/>
  <c r="T372" s="1"/>
  <c r="Q371"/>
  <c r="P371" s="1"/>
  <c r="Q368"/>
  <c r="R368" s="1"/>
  <c r="T368" s="1"/>
  <c r="Q365"/>
  <c r="R365" s="1"/>
  <c r="T365" s="1"/>
  <c r="Q361"/>
  <c r="R361" s="1"/>
  <c r="T361" s="1"/>
  <c r="Q353"/>
  <c r="R353" s="1"/>
  <c r="T353" s="1"/>
  <c r="Q386"/>
  <c r="Q382"/>
  <c r="P382" s="1"/>
  <c r="Q381"/>
  <c r="Q380"/>
  <c r="R380" s="1"/>
  <c r="T380" s="1"/>
  <c r="Q373"/>
  <c r="R373" s="1"/>
  <c r="T373" s="1"/>
  <c r="Q366"/>
  <c r="R366" s="1"/>
  <c r="T366" s="1"/>
  <c r="Q362"/>
  <c r="Q360"/>
  <c r="R360" s="1"/>
  <c r="T360" s="1"/>
  <c r="Q359"/>
  <c r="P359" s="1"/>
  <c r="Q357"/>
  <c r="R357" s="1"/>
  <c r="T357" s="1"/>
  <c r="Q356"/>
  <c r="Q387"/>
  <c r="P387" s="1"/>
  <c r="Q385"/>
  <c r="Q378"/>
  <c r="Q377"/>
  <c r="R377" s="1"/>
  <c r="T377" s="1"/>
  <c r="Q375"/>
  <c r="R375" s="1"/>
  <c r="T375" s="1"/>
  <c r="Q367"/>
  <c r="P367" s="1"/>
  <c r="Q363"/>
  <c r="P363" s="1"/>
  <c r="Q358"/>
  <c r="R358" s="1"/>
  <c r="T358" s="1"/>
  <c r="Q355"/>
  <c r="P355" s="1"/>
  <c r="Q354"/>
  <c r="R354" s="1"/>
  <c r="T354" s="1"/>
  <c r="Q352"/>
  <c r="Q388"/>
  <c r="R388" s="1"/>
  <c r="T388" s="1"/>
  <c r="Q383"/>
  <c r="R383" s="1"/>
  <c r="T383" s="1"/>
  <c r="Q376"/>
  <c r="R376" s="1"/>
  <c r="T376" s="1"/>
  <c r="Q370"/>
  <c r="R370" s="1"/>
  <c r="T370" s="1"/>
  <c r="Q369"/>
  <c r="R369" s="1"/>
  <c r="T369" s="1"/>
  <c r="Q364"/>
  <c r="R364" s="1"/>
  <c r="T364" s="1"/>
  <c r="L125" i="5"/>
  <c r="M98"/>
  <c r="D133"/>
  <c r="P133"/>
  <c r="O133" s="1"/>
  <c r="M133" s="1"/>
  <c r="J133"/>
  <c r="I133" s="1"/>
  <c r="H133" s="1"/>
  <c r="Q84"/>
  <c r="Q72"/>
  <c r="Q85"/>
  <c r="Q83"/>
  <c r="Q80"/>
  <c r="Q79"/>
  <c r="Q76"/>
  <c r="Q81"/>
  <c r="Q75"/>
  <c r="R75" s="1"/>
  <c r="T75" s="1"/>
  <c r="Q82"/>
  <c r="Q73"/>
  <c r="Q74"/>
  <c r="Q78"/>
  <c r="Q77"/>
  <c r="Q71"/>
  <c r="H398" i="6"/>
  <c r="H510" s="1"/>
  <c r="D484"/>
  <c r="J484"/>
  <c r="O484" s="1"/>
  <c r="P484" s="1"/>
  <c r="M484" s="1"/>
  <c r="D476"/>
  <c r="P476"/>
  <c r="J476"/>
  <c r="O476" s="1"/>
  <c r="D480"/>
  <c r="J480"/>
  <c r="O480" s="1"/>
  <c r="P480" s="1"/>
  <c r="M480" s="1"/>
  <c r="K137" i="5"/>
  <c r="M137" s="1"/>
  <c r="H430" i="6"/>
  <c r="H542" s="1"/>
  <c r="D553"/>
  <c r="J553"/>
  <c r="I553" s="1"/>
  <c r="O553" s="1"/>
  <c r="P553" s="1"/>
  <c r="D134" i="5"/>
  <c r="J134"/>
  <c r="P134"/>
  <c r="O134" s="1"/>
  <c r="D473" i="6"/>
  <c r="J473"/>
  <c r="O473" s="1"/>
  <c r="P473"/>
  <c r="D129" i="5"/>
  <c r="J129"/>
  <c r="I129" s="1"/>
  <c r="H129" s="1"/>
  <c r="P129"/>
  <c r="O129" s="1"/>
  <c r="Q53"/>
  <c r="P53" s="1"/>
  <c r="Q57"/>
  <c r="Q56"/>
  <c r="Q55"/>
  <c r="Q54"/>
  <c r="R54" s="1"/>
  <c r="Q52"/>
  <c r="Q51"/>
  <c r="Q50"/>
  <c r="R50" s="1"/>
  <c r="Q49"/>
  <c r="P49" s="1"/>
  <c r="Q48"/>
  <c r="P48" s="1"/>
  <c r="Q47"/>
  <c r="Q43"/>
  <c r="Q46"/>
  <c r="R46" s="1"/>
  <c r="Q45"/>
  <c r="Q44"/>
  <c r="V116" i="6"/>
  <c r="M548"/>
  <c r="F126" i="5"/>
  <c r="E126" s="1"/>
  <c r="R384" i="6"/>
  <c r="T384" s="1"/>
  <c r="AA129"/>
  <c r="AB129" s="1"/>
  <c r="R378"/>
  <c r="T378" s="1"/>
  <c r="R356"/>
  <c r="T356" s="1"/>
  <c r="O340"/>
  <c r="R385"/>
  <c r="T385" s="1"/>
  <c r="M551"/>
  <c r="F127" i="5"/>
  <c r="E127" s="1"/>
  <c r="D136"/>
  <c r="P340" i="6"/>
  <c r="D538"/>
  <c r="P538"/>
  <c r="J538"/>
  <c r="I538" s="1"/>
  <c r="O538" s="1"/>
  <c r="D546"/>
  <c r="J546"/>
  <c r="I546" s="1"/>
  <c r="D478"/>
  <c r="J478"/>
  <c r="I478" s="1"/>
  <c r="H524"/>
  <c r="D497"/>
  <c r="J497"/>
  <c r="I497" s="1"/>
  <c r="O497" s="1"/>
  <c r="P497" s="1"/>
  <c r="O98" i="5"/>
  <c r="O113" s="1"/>
  <c r="D128"/>
  <c r="J128"/>
  <c r="I128" s="1"/>
  <c r="H128" s="1"/>
  <c r="P128"/>
  <c r="O128" s="1"/>
  <c r="D471" i="6"/>
  <c r="J471"/>
  <c r="I471" s="1"/>
  <c r="O471" s="1"/>
  <c r="P471"/>
  <c r="AA197"/>
  <c r="AB197" s="1"/>
  <c r="AA205"/>
  <c r="AB205" s="1"/>
  <c r="AA217"/>
  <c r="AB217" s="1"/>
  <c r="AA133"/>
  <c r="AB133" s="1"/>
  <c r="Z335"/>
  <c r="Z333"/>
  <c r="Z331"/>
  <c r="V331" s="1"/>
  <c r="Z326"/>
  <c r="Z322"/>
  <c r="Z312"/>
  <c r="V312" s="1"/>
  <c r="Z304"/>
  <c r="V304" s="1"/>
  <c r="Z303"/>
  <c r="Z298"/>
  <c r="Z293"/>
  <c r="V293" s="1"/>
  <c r="Z292"/>
  <c r="V292" s="1"/>
  <c r="Z287"/>
  <c r="Z281"/>
  <c r="V281" s="1"/>
  <c r="Z279"/>
  <c r="Z277"/>
  <c r="Z325"/>
  <c r="Z324"/>
  <c r="V324" s="1"/>
  <c r="Z323"/>
  <c r="Z320"/>
  <c r="V320" s="1"/>
  <c r="Z316"/>
  <c r="V316" s="1"/>
  <c r="Z305"/>
  <c r="V305" s="1"/>
  <c r="Z295"/>
  <c r="V295" s="1"/>
  <c r="Z291"/>
  <c r="Z290"/>
  <c r="Z289"/>
  <c r="Z288"/>
  <c r="V288" s="1"/>
  <c r="Z286"/>
  <c r="Z285"/>
  <c r="V285" s="1"/>
  <c r="Z283"/>
  <c r="Z282"/>
  <c r="Z337"/>
  <c r="Z336"/>
  <c r="V336" s="1"/>
  <c r="Z328"/>
  <c r="V328" s="1"/>
  <c r="Z321"/>
  <c r="V321" s="1"/>
  <c r="Z317"/>
  <c r="V317" s="1"/>
  <c r="Z313"/>
  <c r="V313" s="1"/>
  <c r="Z311"/>
  <c r="Z310"/>
  <c r="Z308"/>
  <c r="V308" s="1"/>
  <c r="Z306"/>
  <c r="V306" s="1"/>
  <c r="Z301"/>
  <c r="Z300"/>
  <c r="V300" s="1"/>
  <c r="Z297"/>
  <c r="V297" s="1"/>
  <c r="Z296"/>
  <c r="V296" s="1"/>
  <c r="Z294"/>
  <c r="V294" s="1"/>
  <c r="AA282"/>
  <c r="Z280"/>
  <c r="V280" s="1"/>
  <c r="Z276"/>
  <c r="V276" s="1"/>
  <c r="Z273"/>
  <c r="Z339"/>
  <c r="Z338"/>
  <c r="V338" s="1"/>
  <c r="Z334"/>
  <c r="V334" s="1"/>
  <c r="Z332"/>
  <c r="V332" s="1"/>
  <c r="Z330"/>
  <c r="Z329"/>
  <c r="Z327"/>
  <c r="V327" s="1"/>
  <c r="Z319"/>
  <c r="Z318"/>
  <c r="V318" s="1"/>
  <c r="Z315"/>
  <c r="AA315" s="1"/>
  <c r="AB315" s="1"/>
  <c r="Z314"/>
  <c r="V314" s="1"/>
  <c r="Z309"/>
  <c r="V309" s="1"/>
  <c r="Z307"/>
  <c r="Z302"/>
  <c r="Z299"/>
  <c r="V299" s="1"/>
  <c r="Z284"/>
  <c r="V284" s="1"/>
  <c r="Z278"/>
  <c r="Z275"/>
  <c r="AA275" s="1"/>
  <c r="AB275" s="1"/>
  <c r="Z274"/>
  <c r="V274" s="1"/>
  <c r="Z268"/>
  <c r="V268" s="1"/>
  <c r="Z259"/>
  <c r="Z256"/>
  <c r="V256" s="1"/>
  <c r="Z253"/>
  <c r="V253" s="1"/>
  <c r="Z251"/>
  <c r="Z249"/>
  <c r="Z270"/>
  <c r="Z269"/>
  <c r="V269" s="1"/>
  <c r="Z267"/>
  <c r="V267" s="1"/>
  <c r="Z265"/>
  <c r="V265" s="1"/>
  <c r="Z263"/>
  <c r="AA263" s="1"/>
  <c r="AB263" s="1"/>
  <c r="Z261"/>
  <c r="V261" s="1"/>
  <c r="Z255"/>
  <c r="Z254"/>
  <c r="Z244"/>
  <c r="V244" s="1"/>
  <c r="Z242"/>
  <c r="Z262"/>
  <c r="Z257"/>
  <c r="V257" s="1"/>
  <c r="Z252"/>
  <c r="V252" s="1"/>
  <c r="Z248"/>
  <c r="V248" s="1"/>
  <c r="Z246"/>
  <c r="Z243"/>
  <c r="Z272"/>
  <c r="V272" s="1"/>
  <c r="Z271"/>
  <c r="Z266"/>
  <c r="Z264"/>
  <c r="V264" s="1"/>
  <c r="Z260"/>
  <c r="V260" s="1"/>
  <c r="Z258"/>
  <c r="Z250"/>
  <c r="Z247"/>
  <c r="Z245"/>
  <c r="Z241"/>
  <c r="V241" s="1"/>
  <c r="Z240"/>
  <c r="AA335"/>
  <c r="AB335" s="1"/>
  <c r="AA327"/>
  <c r="AB327" s="1"/>
  <c r="AA339"/>
  <c r="AB339" s="1"/>
  <c r="AA291"/>
  <c r="AB291" s="1"/>
  <c r="AA305"/>
  <c r="AB305" s="1"/>
  <c r="AA307"/>
  <c r="AB307" s="1"/>
  <c r="AA337"/>
  <c r="AB337" s="1"/>
  <c r="AA273"/>
  <c r="AB273" s="1"/>
  <c r="AA283"/>
  <c r="AB283" s="1"/>
  <c r="AA319"/>
  <c r="AB319" s="1"/>
  <c r="AA281"/>
  <c r="AB281" s="1"/>
  <c r="AA331"/>
  <c r="AB331" s="1"/>
  <c r="AA303"/>
  <c r="AB303" s="1"/>
  <c r="AA259"/>
  <c r="AB259" s="1"/>
  <c r="AA329"/>
  <c r="AB329" s="1"/>
  <c r="AA251"/>
  <c r="AB251" s="1"/>
  <c r="AA321"/>
  <c r="AB321" s="1"/>
  <c r="AA289"/>
  <c r="AB289" s="1"/>
  <c r="AA311"/>
  <c r="AB311" s="1"/>
  <c r="AA323"/>
  <c r="AB323" s="1"/>
  <c r="AA287"/>
  <c r="AB287" s="1"/>
  <c r="AA299"/>
  <c r="AB299" s="1"/>
  <c r="AA279"/>
  <c r="AB279" s="1"/>
  <c r="AA313"/>
  <c r="AB313" s="1"/>
  <c r="AA265"/>
  <c r="AB265" s="1"/>
  <c r="AA247"/>
  <c r="AB247" s="1"/>
  <c r="AA267"/>
  <c r="AB267" s="1"/>
  <c r="AA255"/>
  <c r="AB255" s="1"/>
  <c r="AA295"/>
  <c r="AB295" s="1"/>
  <c r="AA271"/>
  <c r="AB271" s="1"/>
  <c r="AA243"/>
  <c r="AB243" s="1"/>
  <c r="H514"/>
  <c r="P464"/>
  <c r="G199" i="15"/>
  <c r="F162"/>
  <c r="F66" i="17"/>
  <c r="H418" i="6"/>
  <c r="H530" s="1"/>
  <c r="D505"/>
  <c r="J505"/>
  <c r="O505" s="1"/>
  <c r="P505" s="1"/>
  <c r="K125" i="5"/>
  <c r="D542" i="6"/>
  <c r="J542"/>
  <c r="I542" s="1"/>
  <c r="O542" s="1"/>
  <c r="P542" s="1"/>
  <c r="H502"/>
  <c r="H422"/>
  <c r="H534" s="1"/>
  <c r="H472"/>
  <c r="H550"/>
  <c r="E8" i="7"/>
  <c r="AA136" i="6"/>
  <c r="AB136" s="1"/>
  <c r="M384"/>
  <c r="AA210"/>
  <c r="AB210" s="1"/>
  <c r="D125" i="5"/>
  <c r="Q123" s="1"/>
  <c r="D544" i="6"/>
  <c r="J544"/>
  <c r="O544" s="1"/>
  <c r="P544" s="1"/>
  <c r="K473"/>
  <c r="M473" s="1"/>
  <c r="D541"/>
  <c r="J541"/>
  <c r="O541" s="1"/>
  <c r="P541" s="1"/>
  <c r="D494"/>
  <c r="J494"/>
  <c r="I494" s="1"/>
  <c r="O494" s="1"/>
  <c r="P494" s="1"/>
  <c r="D137" i="5"/>
  <c r="J137"/>
  <c r="P137"/>
  <c r="O137" s="1"/>
  <c r="D99"/>
  <c r="P99"/>
  <c r="J99"/>
  <c r="AA173" i="6"/>
  <c r="AB173" s="1"/>
  <c r="AA178"/>
  <c r="AB178" s="1"/>
  <c r="AA161"/>
  <c r="AB161" s="1"/>
  <c r="AA225"/>
  <c r="AB225" s="1"/>
  <c r="H446"/>
  <c r="H558" s="1"/>
  <c r="H71" i="5"/>
  <c r="H98" s="1"/>
  <c r="O71"/>
  <c r="O86" s="1"/>
  <c r="D530" i="6"/>
  <c r="J530"/>
  <c r="I530" s="1"/>
  <c r="O530" s="1"/>
  <c r="P530" s="1"/>
  <c r="D132" i="5"/>
  <c r="J132"/>
  <c r="P132"/>
  <c r="O132" s="1"/>
  <c r="M132" s="1"/>
  <c r="D100"/>
  <c r="V99" s="1"/>
  <c r="J100"/>
  <c r="I100" s="1"/>
  <c r="H100" s="1"/>
  <c r="P100"/>
  <c r="D534" i="6"/>
  <c r="J534"/>
  <c r="I534" s="1"/>
  <c r="O534" s="1"/>
  <c r="P534"/>
  <c r="D493"/>
  <c r="J493"/>
  <c r="I493" s="1"/>
  <c r="O493" s="1"/>
  <c r="P493" s="1"/>
  <c r="AA19"/>
  <c r="R429"/>
  <c r="T429" s="1"/>
  <c r="AA257"/>
  <c r="AB257" s="1"/>
  <c r="J490"/>
  <c r="O490" s="1"/>
  <c r="P490" s="1"/>
  <c r="I125" i="5"/>
  <c r="O125" s="1"/>
  <c r="P31"/>
  <c r="AA153" i="6"/>
  <c r="AB153" s="1"/>
  <c r="M241" i="4"/>
  <c r="L241"/>
  <c r="K241"/>
  <c r="J241"/>
  <c r="I226"/>
  <c r="J225"/>
  <c r="J224"/>
  <c r="J223"/>
  <c r="J222"/>
  <c r="J221"/>
  <c r="J220"/>
  <c r="J219"/>
  <c r="J218"/>
  <c r="J217"/>
  <c r="J216"/>
  <c r="K216" s="1"/>
  <c r="L216" s="1"/>
  <c r="J215"/>
  <c r="K214"/>
  <c r="J214"/>
  <c r="J213"/>
  <c r="J212"/>
  <c r="J211"/>
  <c r="K211" s="1"/>
  <c r="J210"/>
  <c r="J209"/>
  <c r="J208"/>
  <c r="J207"/>
  <c r="K207" s="1"/>
  <c r="J206"/>
  <c r="K206" s="1"/>
  <c r="I203"/>
  <c r="AA297" i="6" l="1"/>
  <c r="AB297" s="1"/>
  <c r="H478"/>
  <c r="O478"/>
  <c r="P478" s="1"/>
  <c r="H546"/>
  <c r="O546"/>
  <c r="P546" s="1"/>
  <c r="H482"/>
  <c r="Z482" s="1"/>
  <c r="O482"/>
  <c r="P482" s="1"/>
  <c r="M561"/>
  <c r="O561"/>
  <c r="P561" s="1"/>
  <c r="AA241"/>
  <c r="AB241" s="1"/>
  <c r="L206" i="4"/>
  <c r="L257" s="1"/>
  <c r="K257"/>
  <c r="J257"/>
  <c r="F65" i="17" s="1"/>
  <c r="M216" i="4"/>
  <c r="K220"/>
  <c r="J226"/>
  <c r="J254" s="1"/>
  <c r="M553" i="6"/>
  <c r="M468"/>
  <c r="M125" i="5"/>
  <c r="R359" i="6"/>
  <c r="R414"/>
  <c r="M497"/>
  <c r="P113" i="5"/>
  <c r="D126"/>
  <c r="J126"/>
  <c r="P126"/>
  <c r="O49"/>
  <c r="R49"/>
  <c r="O53"/>
  <c r="R53"/>
  <c r="R363" i="6"/>
  <c r="T363" s="1"/>
  <c r="R382"/>
  <c r="T382" s="1"/>
  <c r="M374"/>
  <c r="R374"/>
  <c r="T374" s="1"/>
  <c r="R405"/>
  <c r="T405" s="1"/>
  <c r="R391"/>
  <c r="Q137" i="5"/>
  <c r="Q136"/>
  <c r="Q131"/>
  <c r="Q130"/>
  <c r="Q126"/>
  <c r="Q125"/>
  <c r="Q135"/>
  <c r="Q132"/>
  <c r="Q129"/>
  <c r="Q127"/>
  <c r="Q134"/>
  <c r="Q139"/>
  <c r="Q133"/>
  <c r="Q138"/>
  <c r="Q128"/>
  <c r="O48"/>
  <c r="R48"/>
  <c r="P58"/>
  <c r="R399" i="6"/>
  <c r="R438"/>
  <c r="T438" s="1"/>
  <c r="Q563"/>
  <c r="R563" s="1"/>
  <c r="T563" s="1"/>
  <c r="Q562"/>
  <c r="R562" s="1"/>
  <c r="Q560"/>
  <c r="R560" s="1"/>
  <c r="Q557"/>
  <c r="R557" s="1"/>
  <c r="Q555"/>
  <c r="Q553"/>
  <c r="R553" s="1"/>
  <c r="Q546"/>
  <c r="Q543"/>
  <c r="R543" s="1"/>
  <c r="Q540"/>
  <c r="R540" s="1"/>
  <c r="Q534"/>
  <c r="Q527"/>
  <c r="Q522"/>
  <c r="Q519"/>
  <c r="R519" s="1"/>
  <c r="Q518"/>
  <c r="R518" s="1"/>
  <c r="Q516"/>
  <c r="R516" s="1"/>
  <c r="Q515"/>
  <c r="R515" s="1"/>
  <c r="Q514"/>
  <c r="R514" s="1"/>
  <c r="Q509"/>
  <c r="P509" s="1"/>
  <c r="Q506"/>
  <c r="R506" s="1"/>
  <c r="Q499"/>
  <c r="Q498"/>
  <c r="R498" s="1"/>
  <c r="Q495"/>
  <c r="R495" s="1"/>
  <c r="Q494"/>
  <c r="R494" s="1"/>
  <c r="Q559"/>
  <c r="R559" s="1"/>
  <c r="Q558"/>
  <c r="Q548"/>
  <c r="R548" s="1"/>
  <c r="Q544"/>
  <c r="Q542"/>
  <c r="Q541"/>
  <c r="R541" s="1"/>
  <c r="Q532"/>
  <c r="R532" s="1"/>
  <c r="Q531"/>
  <c r="R531" s="1"/>
  <c r="Q528"/>
  <c r="P528" s="1"/>
  <c r="Q521"/>
  <c r="R521" s="1"/>
  <c r="Q520"/>
  <c r="Q517"/>
  <c r="R517" s="1"/>
  <c r="Q511"/>
  <c r="Q510"/>
  <c r="R510" s="1"/>
  <c r="Q508"/>
  <c r="R508" s="1"/>
  <c r="Q505"/>
  <c r="Q504"/>
  <c r="Q501"/>
  <c r="P501" s="1"/>
  <c r="Q491"/>
  <c r="R491" s="1"/>
  <c r="Q561"/>
  <c r="Q551"/>
  <c r="R551" s="1"/>
  <c r="Q547"/>
  <c r="R547" s="1"/>
  <c r="Q539"/>
  <c r="R539" s="1"/>
  <c r="Q538"/>
  <c r="R538" s="1"/>
  <c r="Q537"/>
  <c r="R537" s="1"/>
  <c r="Q536"/>
  <c r="Q530"/>
  <c r="Q524"/>
  <c r="Q513"/>
  <c r="R513" s="1"/>
  <c r="Q507"/>
  <c r="R507" s="1"/>
  <c r="Q503"/>
  <c r="R503" s="1"/>
  <c r="Q497"/>
  <c r="Q493"/>
  <c r="Q492"/>
  <c r="R492" s="1"/>
  <c r="Q556"/>
  <c r="R556" s="1"/>
  <c r="Q554"/>
  <c r="R554" s="1"/>
  <c r="Q552"/>
  <c r="R552" s="1"/>
  <c r="Q550"/>
  <c r="R550" s="1"/>
  <c r="Q549"/>
  <c r="R549" s="1"/>
  <c r="Q545"/>
  <c r="Q535"/>
  <c r="R535" s="1"/>
  <c r="Q533"/>
  <c r="R533" s="1"/>
  <c r="Q529"/>
  <c r="Q526"/>
  <c r="R526" s="1"/>
  <c r="Q525"/>
  <c r="R525" s="1"/>
  <c r="Q523"/>
  <c r="R523" s="1"/>
  <c r="Q512"/>
  <c r="R512" s="1"/>
  <c r="Q502"/>
  <c r="R502" s="1"/>
  <c r="Q500"/>
  <c r="R500" s="1"/>
  <c r="Q496"/>
  <c r="P496" s="1"/>
  <c r="Q489"/>
  <c r="R489" s="1"/>
  <c r="Q486"/>
  <c r="R486" s="1"/>
  <c r="Q485"/>
  <c r="P485" s="1"/>
  <c r="Q488"/>
  <c r="R488" s="1"/>
  <c r="Q482"/>
  <c r="Q480"/>
  <c r="R480" s="1"/>
  <c r="Q473"/>
  <c r="R473" s="1"/>
  <c r="Q471"/>
  <c r="R471" s="1"/>
  <c r="Q469"/>
  <c r="P469" s="1"/>
  <c r="Q468"/>
  <c r="R468" s="1"/>
  <c r="Q465"/>
  <c r="R465" s="1"/>
  <c r="T465" s="1"/>
  <c r="Q484"/>
  <c r="R484" s="1"/>
  <c r="Q483"/>
  <c r="R483" s="1"/>
  <c r="Q479"/>
  <c r="R479" s="1"/>
  <c r="Q477"/>
  <c r="P477" s="1"/>
  <c r="Q472"/>
  <c r="Q490"/>
  <c r="R490" s="1"/>
  <c r="Q487"/>
  <c r="R487" s="1"/>
  <c r="Q481"/>
  <c r="R481" s="1"/>
  <c r="Q478"/>
  <c r="R478" s="1"/>
  <c r="Q476"/>
  <c r="R476" s="1"/>
  <c r="Q475"/>
  <c r="R475" s="1"/>
  <c r="Q474"/>
  <c r="R474" s="1"/>
  <c r="Q470"/>
  <c r="R470" s="1"/>
  <c r="Q464"/>
  <c r="R464" s="1"/>
  <c r="Q467"/>
  <c r="R467" s="1"/>
  <c r="Q466"/>
  <c r="R466" s="1"/>
  <c r="E344"/>
  <c r="Z563"/>
  <c r="Z559"/>
  <c r="Z558"/>
  <c r="Z548"/>
  <c r="Z542"/>
  <c r="Z537"/>
  <c r="Z528"/>
  <c r="Z510"/>
  <c r="Z508"/>
  <c r="Z507"/>
  <c r="Z505"/>
  <c r="Z503"/>
  <c r="Z497"/>
  <c r="Z491"/>
  <c r="Z561"/>
  <c r="Z554"/>
  <c r="Z552"/>
  <c r="Z551"/>
  <c r="Z550"/>
  <c r="Z547"/>
  <c r="Z539"/>
  <c r="Z524"/>
  <c r="Z513"/>
  <c r="Z499"/>
  <c r="Z556"/>
  <c r="Z549"/>
  <c r="Z545"/>
  <c r="Z535"/>
  <c r="Z529"/>
  <c r="AA524"/>
  <c r="Z523"/>
  <c r="Z519"/>
  <c r="Z511"/>
  <c r="Z496"/>
  <c r="Z494"/>
  <c r="Z560"/>
  <c r="Z555"/>
  <c r="Z553"/>
  <c r="Z543"/>
  <c r="Z531"/>
  <c r="Z527"/>
  <c r="Z522"/>
  <c r="Z521"/>
  <c r="Z520"/>
  <c r="Z515"/>
  <c r="Z514"/>
  <c r="Z495"/>
  <c r="Z485"/>
  <c r="Z490"/>
  <c r="Z484"/>
  <c r="Z479"/>
  <c r="Z466"/>
  <c r="Z464"/>
  <c r="Z487"/>
  <c r="Z483"/>
  <c r="Z475"/>
  <c r="Z486"/>
  <c r="Z481"/>
  <c r="Z476"/>
  <c r="Z474"/>
  <c r="Z473"/>
  <c r="Z471"/>
  <c r="Z489"/>
  <c r="Z467"/>
  <c r="Z465"/>
  <c r="Z446"/>
  <c r="Z435"/>
  <c r="Z417"/>
  <c r="Z415"/>
  <c r="Z413"/>
  <c r="AA413" s="1"/>
  <c r="AB413" s="1"/>
  <c r="Z410"/>
  <c r="Z409"/>
  <c r="Z408"/>
  <c r="V408" s="1"/>
  <c r="Z392"/>
  <c r="Z390"/>
  <c r="AA390" s="1"/>
  <c r="AB390" s="1"/>
  <c r="Z447"/>
  <c r="Z443"/>
  <c r="V443" s="1"/>
  <c r="Z439"/>
  <c r="Z436"/>
  <c r="Z427"/>
  <c r="Z423"/>
  <c r="Z418"/>
  <c r="Z395"/>
  <c r="Z394"/>
  <c r="Z391"/>
  <c r="Z451"/>
  <c r="Z449"/>
  <c r="Z444"/>
  <c r="Z440"/>
  <c r="V440" s="1"/>
  <c r="Z432"/>
  <c r="V432" s="1"/>
  <c r="Z431"/>
  <c r="Z421"/>
  <c r="Z411"/>
  <c r="V411" s="1"/>
  <c r="Z407"/>
  <c r="Z406"/>
  <c r="AA406" s="1"/>
  <c r="AB406" s="1"/>
  <c r="Z403"/>
  <c r="Z402"/>
  <c r="Z401"/>
  <c r="Z400"/>
  <c r="V400" s="1"/>
  <c r="Z399"/>
  <c r="Z396"/>
  <c r="Z393"/>
  <c r="V393" s="1"/>
  <c r="Z450"/>
  <c r="Z448"/>
  <c r="Z445"/>
  <c r="AA445" s="1"/>
  <c r="AB445" s="1"/>
  <c r="Z442"/>
  <c r="Z441"/>
  <c r="Z438"/>
  <c r="Z437"/>
  <c r="Z434"/>
  <c r="Z433"/>
  <c r="Z429"/>
  <c r="V429" s="1"/>
  <c r="Z428"/>
  <c r="Z426"/>
  <c r="Z425"/>
  <c r="V425" s="1"/>
  <c r="Z424"/>
  <c r="V424" s="1"/>
  <c r="Z422"/>
  <c r="Z419"/>
  <c r="Z414"/>
  <c r="Z412"/>
  <c r="AA412" s="1"/>
  <c r="AB412" s="1"/>
  <c r="Z404"/>
  <c r="V404" s="1"/>
  <c r="Z398"/>
  <c r="Z389"/>
  <c r="Z388"/>
  <c r="AA388" s="1"/>
  <c r="AB388" s="1"/>
  <c r="Z384"/>
  <c r="V384" s="1"/>
  <c r="Z374"/>
  <c r="AA374" s="1"/>
  <c r="AB374" s="1"/>
  <c r="Z371"/>
  <c r="Z369"/>
  <c r="Z361"/>
  <c r="Z359"/>
  <c r="Z382"/>
  <c r="Z379"/>
  <c r="Z372"/>
  <c r="Z368"/>
  <c r="Z367"/>
  <c r="Z366"/>
  <c r="AA366" s="1"/>
  <c r="AB366" s="1"/>
  <c r="Z365"/>
  <c r="Z362"/>
  <c r="Z355"/>
  <c r="Z387"/>
  <c r="Z385"/>
  <c r="Z381"/>
  <c r="AA381" s="1"/>
  <c r="AB381" s="1"/>
  <c r="Z380"/>
  <c r="Z378"/>
  <c r="Z373"/>
  <c r="Z363"/>
  <c r="Z360"/>
  <c r="AA360" s="1"/>
  <c r="AB360" s="1"/>
  <c r="Z358"/>
  <c r="Z357"/>
  <c r="Z354"/>
  <c r="Z353"/>
  <c r="Z352"/>
  <c r="Z386"/>
  <c r="V386" s="1"/>
  <c r="Z383"/>
  <c r="Z377"/>
  <c r="Z376"/>
  <c r="Z375"/>
  <c r="Z370"/>
  <c r="AA370" s="1"/>
  <c r="AB370" s="1"/>
  <c r="Z364"/>
  <c r="V364" s="1"/>
  <c r="AA521"/>
  <c r="AB521" s="1"/>
  <c r="AA373"/>
  <c r="AB373" s="1"/>
  <c r="AA507"/>
  <c r="AB507" s="1"/>
  <c r="AA437"/>
  <c r="AB437" s="1"/>
  <c r="AA474"/>
  <c r="AB474" s="1"/>
  <c r="AA466"/>
  <c r="AB466" s="1"/>
  <c r="R544"/>
  <c r="R542"/>
  <c r="AA514"/>
  <c r="AB514" s="1"/>
  <c r="AA249"/>
  <c r="AB249" s="1"/>
  <c r="R497"/>
  <c r="AA368"/>
  <c r="AB368" s="1"/>
  <c r="AA508"/>
  <c r="AB508" s="1"/>
  <c r="I179" i="15"/>
  <c r="D127" i="5"/>
  <c r="J127"/>
  <c r="I127" s="1"/>
  <c r="H127" s="1"/>
  <c r="P127"/>
  <c r="O127" s="1"/>
  <c r="R409" i="6"/>
  <c r="T409" s="1"/>
  <c r="M442"/>
  <c r="R442"/>
  <c r="H125" i="5"/>
  <c r="R534" i="6"/>
  <c r="R530"/>
  <c r="R505"/>
  <c r="AA402"/>
  <c r="AB402" s="1"/>
  <c r="R504"/>
  <c r="R482"/>
  <c r="R545"/>
  <c r="T492"/>
  <c r="AA382"/>
  <c r="AB382" s="1"/>
  <c r="R558"/>
  <c r="R472"/>
  <c r="R524"/>
  <c r="I202" i="4"/>
  <c r="I201"/>
  <c r="I189"/>
  <c r="J187"/>
  <c r="J186"/>
  <c r="J185"/>
  <c r="J184"/>
  <c r="J183"/>
  <c r="K183" s="1"/>
  <c r="J182"/>
  <c r="J181"/>
  <c r="J180"/>
  <c r="J179"/>
  <c r="J178"/>
  <c r="I167"/>
  <c r="J165"/>
  <c r="J164"/>
  <c r="J163"/>
  <c r="K163" s="1"/>
  <c r="L163" s="1"/>
  <c r="M163" s="1"/>
  <c r="J162"/>
  <c r="J161"/>
  <c r="K161" s="1"/>
  <c r="R561" i="6" l="1"/>
  <c r="R546"/>
  <c r="AA404"/>
  <c r="AB404" s="1"/>
  <c r="J189" i="4"/>
  <c r="J167"/>
  <c r="K178"/>
  <c r="K245" s="1"/>
  <c r="J245" s="1"/>
  <c r="J246"/>
  <c r="M206"/>
  <c r="M257" s="1"/>
  <c r="I65" i="17" s="1"/>
  <c r="H65" s="1"/>
  <c r="G65" s="1"/>
  <c r="J244" i="4"/>
  <c r="J247"/>
  <c r="AA548" i="6"/>
  <c r="AB548" s="1"/>
  <c r="R496"/>
  <c r="R501"/>
  <c r="O58" i="5"/>
  <c r="I204" i="4"/>
  <c r="I228" s="1"/>
  <c r="R469" i="6"/>
  <c r="T469" s="1"/>
  <c r="R509"/>
  <c r="T509" s="1"/>
  <c r="AA486"/>
  <c r="AB486" s="1"/>
  <c r="AA556"/>
  <c r="AB556" s="1"/>
  <c r="AA550"/>
  <c r="AB550" s="1"/>
  <c r="V376"/>
  <c r="AA376"/>
  <c r="AB376" s="1"/>
  <c r="R477"/>
  <c r="R485"/>
  <c r="T485" s="1"/>
  <c r="R528"/>
  <c r="O126" i="5"/>
  <c r="O140" s="1"/>
  <c r="P140"/>
  <c r="I150" i="4"/>
  <c r="J149"/>
  <c r="J148"/>
  <c r="J147"/>
  <c r="K147" s="1"/>
  <c r="L147" s="1"/>
  <c r="M147" s="1"/>
  <c r="J146"/>
  <c r="J145"/>
  <c r="I143"/>
  <c r="J142"/>
  <c r="J141"/>
  <c r="J140"/>
  <c r="J139"/>
  <c r="J138"/>
  <c r="J131"/>
  <c r="K131" s="1"/>
  <c r="J130"/>
  <c r="K130" s="1"/>
  <c r="J129"/>
  <c r="K129" s="1"/>
  <c r="L129" s="1"/>
  <c r="M129" s="1"/>
  <c r="J128"/>
  <c r="I123"/>
  <c r="J122"/>
  <c r="J121"/>
  <c r="J120"/>
  <c r="J119"/>
  <c r="K119" s="1"/>
  <c r="J118"/>
  <c r="K118" s="1"/>
  <c r="K108"/>
  <c r="J108" s="1"/>
  <c r="I108"/>
  <c r="F106"/>
  <c r="E106"/>
  <c r="L106" s="1"/>
  <c r="D106"/>
  <c r="F105"/>
  <c r="E105"/>
  <c r="K105" s="1"/>
  <c r="D105"/>
  <c r="F104"/>
  <c r="E104"/>
  <c r="D104"/>
  <c r="F102"/>
  <c r="E102"/>
  <c r="J102" s="1"/>
  <c r="D102"/>
  <c r="F101"/>
  <c r="E101"/>
  <c r="J101" s="1"/>
  <c r="D101"/>
  <c r="F100"/>
  <c r="E100"/>
  <c r="D100"/>
  <c r="J143" l="1"/>
  <c r="I152"/>
  <c r="L178"/>
  <c r="M178" s="1"/>
  <c r="M245" s="1"/>
  <c r="I17" i="12" s="1"/>
  <c r="F17"/>
  <c r="F26" i="17" s="1"/>
  <c r="J248" i="4"/>
  <c r="F18" i="12" s="1"/>
  <c r="J123" i="4"/>
  <c r="K121"/>
  <c r="L121" s="1"/>
  <c r="M121" s="1"/>
  <c r="J150"/>
  <c r="I102"/>
  <c r="I105"/>
  <c r="J105"/>
  <c r="M105"/>
  <c r="J106"/>
  <c r="I106" s="1"/>
  <c r="M101"/>
  <c r="L101"/>
  <c r="I101"/>
  <c r="M102"/>
  <c r="L105"/>
  <c r="M106"/>
  <c r="K106"/>
  <c r="K101"/>
  <c r="L102"/>
  <c r="K102" s="1"/>
  <c r="L108"/>
  <c r="I84"/>
  <c r="J84" s="1"/>
  <c r="I83"/>
  <c r="G184" i="15" l="1"/>
  <c r="L245" i="4"/>
  <c r="H17" i="12" s="1"/>
  <c r="G17" s="1"/>
  <c r="I184" i="15"/>
  <c r="F184"/>
  <c r="H184"/>
  <c r="F27" i="17"/>
  <c r="G185" i="15"/>
  <c r="H185"/>
  <c r="F185"/>
  <c r="I185"/>
  <c r="I26" i="17"/>
  <c r="I85" i="4"/>
  <c r="J83"/>
  <c r="F66"/>
  <c r="E66"/>
  <c r="F58"/>
  <c r="E58"/>
  <c r="Z63" s="1"/>
  <c r="F51"/>
  <c r="E51"/>
  <c r="Z56" s="1"/>
  <c r="F44"/>
  <c r="E44"/>
  <c r="F34"/>
  <c r="E34"/>
  <c r="AA39" s="1"/>
  <c r="F27"/>
  <c r="E27"/>
  <c r="AA32" s="1"/>
  <c r="F20"/>
  <c r="E20"/>
  <c r="M9"/>
  <c r="L9"/>
  <c r="K9"/>
  <c r="J9"/>
  <c r="I9"/>
  <c r="M8"/>
  <c r="M173" s="1"/>
  <c r="L8"/>
  <c r="K8"/>
  <c r="K173" s="1"/>
  <c r="J8"/>
  <c r="I8"/>
  <c r="C5"/>
  <c r="K209" i="3"/>
  <c r="J94" i="4" l="1"/>
  <c r="AA8"/>
  <c r="I173"/>
  <c r="Z8"/>
  <c r="H26" i="17"/>
  <c r="G26" s="1"/>
  <c r="J54" i="4"/>
  <c r="I36"/>
  <c r="K37"/>
  <c r="J36"/>
  <c r="I35"/>
  <c r="L38"/>
  <c r="J85"/>
  <c r="K83"/>
  <c r="L83" s="1"/>
  <c r="M83" s="1"/>
  <c r="I29"/>
  <c r="J30"/>
  <c r="K31"/>
  <c r="M32"/>
  <c r="M39"/>
  <c r="M28"/>
  <c r="Z29"/>
  <c r="AA30"/>
  <c r="I32"/>
  <c r="J37"/>
  <c r="K38"/>
  <c r="L39"/>
  <c r="M53"/>
  <c r="I94"/>
  <c r="L28"/>
  <c r="M29"/>
  <c r="Z30"/>
  <c r="AA31"/>
  <c r="M35"/>
  <c r="Z36"/>
  <c r="AA37"/>
  <c r="I39"/>
  <c r="I53"/>
  <c r="I28"/>
  <c r="J29"/>
  <c r="K30"/>
  <c r="L31"/>
  <c r="Z32"/>
  <c r="L35"/>
  <c r="M36"/>
  <c r="Z37"/>
  <c r="AA38"/>
  <c r="L52"/>
  <c r="Z54"/>
  <c r="J173"/>
  <c r="J28"/>
  <c r="Z28"/>
  <c r="K29"/>
  <c r="AA29"/>
  <c r="L30"/>
  <c r="I31"/>
  <c r="M31"/>
  <c r="K32"/>
  <c r="J32" s="1"/>
  <c r="J35"/>
  <c r="Z35"/>
  <c r="K36"/>
  <c r="AA36"/>
  <c r="L37"/>
  <c r="I38"/>
  <c r="M38"/>
  <c r="J39"/>
  <c r="Z39"/>
  <c r="I52"/>
  <c r="M52"/>
  <c r="J53"/>
  <c r="Z53"/>
  <c r="K54"/>
  <c r="AA54"/>
  <c r="L55"/>
  <c r="I56"/>
  <c r="M56"/>
  <c r="M59"/>
  <c r="J60"/>
  <c r="Z60"/>
  <c r="K61"/>
  <c r="AA61"/>
  <c r="L62"/>
  <c r="I63"/>
  <c r="M63"/>
  <c r="K55"/>
  <c r="AA55"/>
  <c r="L56"/>
  <c r="L59"/>
  <c r="I60"/>
  <c r="M60"/>
  <c r="J61"/>
  <c r="Z61"/>
  <c r="K62"/>
  <c r="AA62"/>
  <c r="L63"/>
  <c r="K52"/>
  <c r="AA52"/>
  <c r="L53"/>
  <c r="I54"/>
  <c r="M54"/>
  <c r="J55"/>
  <c r="Z55"/>
  <c r="K56"/>
  <c r="AA56"/>
  <c r="K59"/>
  <c r="AA59"/>
  <c r="L60"/>
  <c r="I61"/>
  <c r="M61"/>
  <c r="J62"/>
  <c r="Z62"/>
  <c r="K63"/>
  <c r="AA63"/>
  <c r="L173"/>
  <c r="L94"/>
  <c r="K94" s="1"/>
  <c r="K28"/>
  <c r="AA28"/>
  <c r="L29"/>
  <c r="I30"/>
  <c r="M30"/>
  <c r="J31"/>
  <c r="Z31"/>
  <c r="L32"/>
  <c r="K35"/>
  <c r="AA35"/>
  <c r="L36"/>
  <c r="I37"/>
  <c r="M37"/>
  <c r="J38"/>
  <c r="Z38"/>
  <c r="K39"/>
  <c r="J52"/>
  <c r="Z52"/>
  <c r="K53"/>
  <c r="AA53"/>
  <c r="L54"/>
  <c r="I55"/>
  <c r="M55"/>
  <c r="J56"/>
  <c r="J59"/>
  <c r="I59" s="1"/>
  <c r="Z59"/>
  <c r="K60"/>
  <c r="AA60"/>
  <c r="L61"/>
  <c r="I62"/>
  <c r="M62"/>
  <c r="J63"/>
  <c r="AX206" i="3" l="1"/>
  <c r="AW206"/>
  <c r="AV206"/>
  <c r="AU206"/>
  <c r="AT206"/>
  <c r="AS206"/>
  <c r="AR206"/>
  <c r="AQ206"/>
  <c r="AP206"/>
  <c r="AO206"/>
  <c r="AN206"/>
  <c r="AM206"/>
  <c r="AK206"/>
  <c r="AJ206"/>
  <c r="AI206"/>
  <c r="AH206"/>
  <c r="AG206"/>
  <c r="AF206"/>
  <c r="AE206"/>
  <c r="AD206"/>
  <c r="AC206"/>
  <c r="AB206"/>
  <c r="AA206"/>
  <c r="Z206"/>
  <c r="T206"/>
  <c r="S206"/>
  <c r="R206"/>
  <c r="Q206"/>
  <c r="P206"/>
  <c r="O206"/>
  <c r="N206"/>
  <c r="M206"/>
  <c r="L206"/>
  <c r="K206" s="1"/>
  <c r="J206"/>
  <c r="G206"/>
  <c r="AX205"/>
  <c r="AW205"/>
  <c r="AV205"/>
  <c r="AU205"/>
  <c r="AT205"/>
  <c r="AS205"/>
  <c r="AR205"/>
  <c r="AQ205"/>
  <c r="AP205"/>
  <c r="AO205"/>
  <c r="AN205"/>
  <c r="AM205"/>
  <c r="AK205"/>
  <c r="AJ205"/>
  <c r="AI205"/>
  <c r="AH205"/>
  <c r="AG205"/>
  <c r="AF205"/>
  <c r="AE205"/>
  <c r="AD205"/>
  <c r="AC205"/>
  <c r="AB205"/>
  <c r="AA205"/>
  <c r="Z205"/>
  <c r="T205"/>
  <c r="S205"/>
  <c r="R205"/>
  <c r="Q205"/>
  <c r="P205"/>
  <c r="O205"/>
  <c r="N205"/>
  <c r="M205"/>
  <c r="L205"/>
  <c r="K205"/>
  <c r="J205"/>
  <c r="G205"/>
  <c r="AX204"/>
  <c r="AW204"/>
  <c r="AV204"/>
  <c r="AU204"/>
  <c r="AT204"/>
  <c r="AS204"/>
  <c r="AR204"/>
  <c r="AQ204"/>
  <c r="AP204"/>
  <c r="AO204"/>
  <c r="AN204"/>
  <c r="AM204"/>
  <c r="AK204"/>
  <c r="AJ204"/>
  <c r="AI204"/>
  <c r="AH204"/>
  <c r="AG204"/>
  <c r="AF204"/>
  <c r="AE204"/>
  <c r="AD204"/>
  <c r="AC204"/>
  <c r="AB204"/>
  <c r="AA204"/>
  <c r="Z204"/>
  <c r="T204"/>
  <c r="S204"/>
  <c r="R204"/>
  <c r="Q204"/>
  <c r="P204"/>
  <c r="O204"/>
  <c r="N204"/>
  <c r="M204"/>
  <c r="L204"/>
  <c r="K204"/>
  <c r="J204"/>
  <c r="G204" s="1"/>
  <c r="AX203"/>
  <c r="AW203"/>
  <c r="AV203"/>
  <c r="AU203"/>
  <c r="AT203"/>
  <c r="AS203"/>
  <c r="AR203"/>
  <c r="AQ203"/>
  <c r="AP203"/>
  <c r="AO203"/>
  <c r="AN203"/>
  <c r="AM203"/>
  <c r="AK203"/>
  <c r="AJ203"/>
  <c r="AI203"/>
  <c r="AH203"/>
  <c r="AG203"/>
  <c r="AF203"/>
  <c r="AE203"/>
  <c r="AD203"/>
  <c r="AC203"/>
  <c r="AB203"/>
  <c r="AA203"/>
  <c r="Z203"/>
  <c r="T203"/>
  <c r="S203"/>
  <c r="R203"/>
  <c r="Q203"/>
  <c r="P203"/>
  <c r="O203"/>
  <c r="N203"/>
  <c r="M203"/>
  <c r="L203"/>
  <c r="K203"/>
  <c r="J203"/>
  <c r="G203"/>
  <c r="AX202"/>
  <c r="AW202"/>
  <c r="AV202"/>
  <c r="AU202"/>
  <c r="AT202"/>
  <c r="AS202"/>
  <c r="AR202"/>
  <c r="AQ202"/>
  <c r="AP202"/>
  <c r="AO202"/>
  <c r="AN202"/>
  <c r="AM202"/>
  <c r="AK202"/>
  <c r="AJ202"/>
  <c r="AI202"/>
  <c r="AH202"/>
  <c r="AG202"/>
  <c r="AF202"/>
  <c r="AE202"/>
  <c r="AD202"/>
  <c r="AC202"/>
  <c r="AB202"/>
  <c r="AA202"/>
  <c r="Z202"/>
  <c r="T202"/>
  <c r="S202"/>
  <c r="R202"/>
  <c r="Q202"/>
  <c r="P202"/>
  <c r="O202"/>
  <c r="N202"/>
  <c r="M202"/>
  <c r="L202"/>
  <c r="K202" s="1"/>
  <c r="J202"/>
  <c r="G202"/>
  <c r="AX201"/>
  <c r="AW201"/>
  <c r="AV201"/>
  <c r="AU201"/>
  <c r="AT201"/>
  <c r="AS201"/>
  <c r="AR201"/>
  <c r="AQ201"/>
  <c r="AP201"/>
  <c r="AO201"/>
  <c r="AN201"/>
  <c r="AM201"/>
  <c r="AK201"/>
  <c r="AJ201"/>
  <c r="AI201"/>
  <c r="AH201"/>
  <c r="AG201"/>
  <c r="AF201"/>
  <c r="AE201"/>
  <c r="AD201"/>
  <c r="AC201"/>
  <c r="AB201"/>
  <c r="AA201"/>
  <c r="Z201"/>
  <c r="T201"/>
  <c r="S201"/>
  <c r="R201"/>
  <c r="Q201"/>
  <c r="P201"/>
  <c r="O201"/>
  <c r="N201"/>
  <c r="M201"/>
  <c r="L201"/>
  <c r="K201"/>
  <c r="J201"/>
  <c r="G201"/>
  <c r="AX200"/>
  <c r="AW200"/>
  <c r="AV200"/>
  <c r="AU200"/>
  <c r="AT200"/>
  <c r="AS200"/>
  <c r="AR200"/>
  <c r="AQ200"/>
  <c r="AP200"/>
  <c r="AO200"/>
  <c r="AN200"/>
  <c r="AM200"/>
  <c r="AK200"/>
  <c r="AJ200"/>
  <c r="AI200"/>
  <c r="AH200"/>
  <c r="AG200"/>
  <c r="AF200"/>
  <c r="AE200"/>
  <c r="AD200"/>
  <c r="AC200"/>
  <c r="AB200"/>
  <c r="AA200"/>
  <c r="Z200"/>
  <c r="T200"/>
  <c r="S200"/>
  <c r="R200"/>
  <c r="Q200"/>
  <c r="P200"/>
  <c r="O200"/>
  <c r="N200"/>
  <c r="M200"/>
  <c r="L200"/>
  <c r="K200"/>
  <c r="J200"/>
  <c r="G200"/>
  <c r="AX199"/>
  <c r="AW199"/>
  <c r="AV199"/>
  <c r="AU199"/>
  <c r="AT199"/>
  <c r="AS199"/>
  <c r="AR199"/>
  <c r="AQ199"/>
  <c r="AP199"/>
  <c r="AO199"/>
  <c r="AN199"/>
  <c r="AM199"/>
  <c r="AK199"/>
  <c r="AJ199"/>
  <c r="AI199"/>
  <c r="AH199"/>
  <c r="AG199"/>
  <c r="AF199"/>
  <c r="AE199"/>
  <c r="AD199"/>
  <c r="AC199"/>
  <c r="AB199"/>
  <c r="AA199"/>
  <c r="Z199"/>
  <c r="T199"/>
  <c r="S199"/>
  <c r="R199"/>
  <c r="Q199"/>
  <c r="P199"/>
  <c r="O199"/>
  <c r="N199"/>
  <c r="M199"/>
  <c r="L199"/>
  <c r="K199"/>
  <c r="J199"/>
  <c r="G199"/>
  <c r="AX198"/>
  <c r="AW198"/>
  <c r="AV198"/>
  <c r="AU198"/>
  <c r="AT198"/>
  <c r="AS198"/>
  <c r="AR198"/>
  <c r="AQ198"/>
  <c r="AP198"/>
  <c r="AO198"/>
  <c r="AN198"/>
  <c r="AM198"/>
  <c r="AK198"/>
  <c r="AJ198"/>
  <c r="AI198"/>
  <c r="AH198"/>
  <c r="AG198"/>
  <c r="AF198"/>
  <c r="AE198"/>
  <c r="AD198"/>
  <c r="AC198"/>
  <c r="AB198"/>
  <c r="AA198"/>
  <c r="Z198"/>
  <c r="T198"/>
  <c r="S198"/>
  <c r="R198"/>
  <c r="Q198"/>
  <c r="P198"/>
  <c r="O198"/>
  <c r="N198"/>
  <c r="M198"/>
  <c r="L198"/>
  <c r="K198" s="1"/>
  <c r="J198"/>
  <c r="G198"/>
  <c r="AX197"/>
  <c r="AW197"/>
  <c r="AV197"/>
  <c r="AU197"/>
  <c r="AT197"/>
  <c r="AS197"/>
  <c r="AR197"/>
  <c r="AQ197"/>
  <c r="AP197"/>
  <c r="AO197"/>
  <c r="AN197"/>
  <c r="AM197"/>
  <c r="AK197"/>
  <c r="AJ197"/>
  <c r="AI197"/>
  <c r="AH197"/>
  <c r="AG197"/>
  <c r="AF197"/>
  <c r="AE197"/>
  <c r="AD197"/>
  <c r="AC197"/>
  <c r="AB197"/>
  <c r="AA197"/>
  <c r="Z197"/>
  <c r="T197"/>
  <c r="S197"/>
  <c r="R197"/>
  <c r="Q197"/>
  <c r="P197"/>
  <c r="O197"/>
  <c r="N197"/>
  <c r="M197"/>
  <c r="L197"/>
  <c r="K197"/>
  <c r="J197"/>
  <c r="G197"/>
  <c r="AX196"/>
  <c r="AW196"/>
  <c r="AV196"/>
  <c r="AU196"/>
  <c r="AT196"/>
  <c r="AS196"/>
  <c r="AR196"/>
  <c r="AQ196"/>
  <c r="AP196"/>
  <c r="AO196"/>
  <c r="AN196"/>
  <c r="AM196"/>
  <c r="AK196"/>
  <c r="AJ196"/>
  <c r="AI196"/>
  <c r="AH196"/>
  <c r="AG196"/>
  <c r="AF196"/>
  <c r="AE196"/>
  <c r="AD196"/>
  <c r="AC196"/>
  <c r="AB196"/>
  <c r="AA196"/>
  <c r="Z196"/>
  <c r="T196"/>
  <c r="S196"/>
  <c r="R196"/>
  <c r="Q196"/>
  <c r="P196"/>
  <c r="O196"/>
  <c r="N196"/>
  <c r="M196"/>
  <c r="L196"/>
  <c r="K196"/>
  <c r="J196"/>
  <c r="G196"/>
  <c r="AX195"/>
  <c r="AW195"/>
  <c r="AV195"/>
  <c r="AU195"/>
  <c r="AT195"/>
  <c r="AS195"/>
  <c r="AR195"/>
  <c r="AQ195"/>
  <c r="AP195"/>
  <c r="AO195"/>
  <c r="AN195"/>
  <c r="AM195"/>
  <c r="AK195"/>
  <c r="AJ195"/>
  <c r="AI195"/>
  <c r="AH195"/>
  <c r="AG195"/>
  <c r="AF195"/>
  <c r="AE195"/>
  <c r="AD195"/>
  <c r="AC195"/>
  <c r="AB195"/>
  <c r="AA195"/>
  <c r="Z195"/>
  <c r="T195"/>
  <c r="S195"/>
  <c r="R195"/>
  <c r="Q195"/>
  <c r="P195"/>
  <c r="O195"/>
  <c r="N195"/>
  <c r="M195"/>
  <c r="L195"/>
  <c r="K195"/>
  <c r="J195"/>
  <c r="G195"/>
  <c r="AX194"/>
  <c r="AX208" s="1"/>
  <c r="AW194"/>
  <c r="AW208" s="1"/>
  <c r="AV194"/>
  <c r="AV208" s="1"/>
  <c r="AU194"/>
  <c r="AU208" s="1"/>
  <c r="AT194"/>
  <c r="AT208" s="1"/>
  <c r="AS194"/>
  <c r="AS208" s="1"/>
  <c r="AR194"/>
  <c r="AR208" s="1"/>
  <c r="AQ194"/>
  <c r="AQ208" s="1"/>
  <c r="AP194"/>
  <c r="AP208" s="1"/>
  <c r="AO194"/>
  <c r="AO208" s="1"/>
  <c r="AN194"/>
  <c r="AN208" s="1"/>
  <c r="AM194"/>
  <c r="AM208" s="1"/>
  <c r="T208" s="1"/>
  <c r="S208" s="1"/>
  <c r="R208" s="1"/>
  <c r="Q208" s="1"/>
  <c r="P208" s="1"/>
  <c r="O208" s="1"/>
  <c r="N208" s="1"/>
  <c r="M208" s="1"/>
  <c r="L208" s="1"/>
  <c r="K208" s="1"/>
  <c r="J208" s="1"/>
  <c r="I208" s="1"/>
  <c r="G208" s="1"/>
  <c r="AK194"/>
  <c r="AK207" s="1"/>
  <c r="AJ194"/>
  <c r="AJ207" s="1"/>
  <c r="AI194"/>
  <c r="AI207" s="1"/>
  <c r="AH194"/>
  <c r="AH207" s="1"/>
  <c r="AG194"/>
  <c r="AG207" s="1"/>
  <c r="AF194"/>
  <c r="AF207" s="1"/>
  <c r="AE194"/>
  <c r="AE207" s="1"/>
  <c r="AD194"/>
  <c r="AD207" s="1"/>
  <c r="AC194"/>
  <c r="AC207" s="1"/>
  <c r="AB194"/>
  <c r="AB207" s="1"/>
  <c r="AA194"/>
  <c r="AA207" s="1"/>
  <c r="Z194"/>
  <c r="Z207" s="1"/>
  <c r="T194"/>
  <c r="S194"/>
  <c r="R194"/>
  <c r="Q194"/>
  <c r="P194"/>
  <c r="O194"/>
  <c r="N194"/>
  <c r="M194"/>
  <c r="L194"/>
  <c r="K194" s="1"/>
  <c r="J194"/>
  <c r="G194"/>
  <c r="F192"/>
  <c r="K188"/>
  <c r="AX185"/>
  <c r="AW185"/>
  <c r="AV185"/>
  <c r="AU185"/>
  <c r="AT185"/>
  <c r="AS185"/>
  <c r="AR185"/>
  <c r="AQ185"/>
  <c r="AP185"/>
  <c r="AO185"/>
  <c r="AN185"/>
  <c r="AM185"/>
  <c r="AK185"/>
  <c r="AJ185"/>
  <c r="AI185"/>
  <c r="AH185"/>
  <c r="AG185"/>
  <c r="AF185"/>
  <c r="AE185"/>
  <c r="AD185"/>
  <c r="AC185"/>
  <c r="AB185"/>
  <c r="AA185"/>
  <c r="Z185"/>
  <c r="T185"/>
  <c r="S185"/>
  <c r="R185" s="1"/>
  <c r="Q185" s="1"/>
  <c r="P185" s="1"/>
  <c r="O185" s="1"/>
  <c r="N185" s="1"/>
  <c r="M185" s="1"/>
  <c r="L185"/>
  <c r="K185"/>
  <c r="J185"/>
  <c r="G185"/>
  <c r="AX184"/>
  <c r="AW184"/>
  <c r="AV184"/>
  <c r="AU184"/>
  <c r="AT184"/>
  <c r="AS184"/>
  <c r="AR184"/>
  <c r="AQ184"/>
  <c r="AP184"/>
  <c r="AO184"/>
  <c r="AN184"/>
  <c r="AM184"/>
  <c r="AK184"/>
  <c r="AJ184"/>
  <c r="AI184"/>
  <c r="AH184"/>
  <c r="AG184"/>
  <c r="AF184"/>
  <c r="AE184"/>
  <c r="AD184"/>
  <c r="AC184"/>
  <c r="AB184"/>
  <c r="AA184"/>
  <c r="Z184"/>
  <c r="T184"/>
  <c r="S184"/>
  <c r="R184"/>
  <c r="Q184"/>
  <c r="P184"/>
  <c r="O184"/>
  <c r="N184"/>
  <c r="M184"/>
  <c r="L184"/>
  <c r="K184" s="1"/>
  <c r="J184"/>
  <c r="G184"/>
  <c r="AX183"/>
  <c r="AW183"/>
  <c r="AV183"/>
  <c r="AU183"/>
  <c r="AT183"/>
  <c r="AS183"/>
  <c r="AR183"/>
  <c r="AQ183"/>
  <c r="AP183"/>
  <c r="AO183"/>
  <c r="AN183"/>
  <c r="AM183"/>
  <c r="AK183"/>
  <c r="AJ183"/>
  <c r="AI183"/>
  <c r="AH183"/>
  <c r="AG183"/>
  <c r="AF183"/>
  <c r="AE183"/>
  <c r="AD183"/>
  <c r="AC183"/>
  <c r="AB183"/>
  <c r="AA183"/>
  <c r="Z183"/>
  <c r="T183"/>
  <c r="S183"/>
  <c r="R183"/>
  <c r="Q183"/>
  <c r="P183"/>
  <c r="O183"/>
  <c r="N183"/>
  <c r="M183" s="1"/>
  <c r="L183" s="1"/>
  <c r="K183" s="1"/>
  <c r="J183"/>
  <c r="G183"/>
  <c r="AX182"/>
  <c r="AW182"/>
  <c r="AV182"/>
  <c r="AU182"/>
  <c r="AT182"/>
  <c r="AS182"/>
  <c r="AR182"/>
  <c r="AQ182"/>
  <c r="AP182"/>
  <c r="AO182"/>
  <c r="AN182"/>
  <c r="AM182"/>
  <c r="AK182"/>
  <c r="AJ182"/>
  <c r="AI182"/>
  <c r="AH182"/>
  <c r="AG182"/>
  <c r="AF182"/>
  <c r="AE182"/>
  <c r="AD182"/>
  <c r="AC182"/>
  <c r="AB182"/>
  <c r="AA182"/>
  <c r="Z182"/>
  <c r="T182"/>
  <c r="S182"/>
  <c r="R182"/>
  <c r="Q182"/>
  <c r="P182"/>
  <c r="O182"/>
  <c r="N182"/>
  <c r="M182"/>
  <c r="L182"/>
  <c r="K182"/>
  <c r="J182"/>
  <c r="G182"/>
  <c r="AX181"/>
  <c r="AW181"/>
  <c r="AV181"/>
  <c r="AU181"/>
  <c r="AT181"/>
  <c r="AS181"/>
  <c r="AR181"/>
  <c r="AQ181"/>
  <c r="AP181"/>
  <c r="AO181"/>
  <c r="AN181"/>
  <c r="AM181"/>
  <c r="AK181"/>
  <c r="AJ181"/>
  <c r="AI181"/>
  <c r="AH181"/>
  <c r="AG181"/>
  <c r="AF181"/>
  <c r="AE181"/>
  <c r="AD181"/>
  <c r="AC181"/>
  <c r="AB181"/>
  <c r="AA181"/>
  <c r="Z181"/>
  <c r="T181"/>
  <c r="S181"/>
  <c r="R181"/>
  <c r="Q181"/>
  <c r="P181" s="1"/>
  <c r="O181" s="1"/>
  <c r="N181" s="1"/>
  <c r="M181"/>
  <c r="L181"/>
  <c r="K181"/>
  <c r="J181"/>
  <c r="G181"/>
  <c r="AX180"/>
  <c r="AW180"/>
  <c r="AV180"/>
  <c r="AU180"/>
  <c r="AT180"/>
  <c r="AS180"/>
  <c r="AR180"/>
  <c r="AQ180"/>
  <c r="AP180"/>
  <c r="AO180"/>
  <c r="AN180"/>
  <c r="AM180"/>
  <c r="AK180"/>
  <c r="AJ180"/>
  <c r="AI180"/>
  <c r="AH180"/>
  <c r="AG180"/>
  <c r="AF180"/>
  <c r="AE180"/>
  <c r="AD180"/>
  <c r="AC180"/>
  <c r="AB180"/>
  <c r="AA180"/>
  <c r="Z180"/>
  <c r="T180"/>
  <c r="S180"/>
  <c r="R180"/>
  <c r="Q180"/>
  <c r="P180"/>
  <c r="O180"/>
  <c r="N180"/>
  <c r="M180"/>
  <c r="L180"/>
  <c r="K180"/>
  <c r="J180"/>
  <c r="G180"/>
  <c r="AX179"/>
  <c r="AW179"/>
  <c r="AV179"/>
  <c r="AU179"/>
  <c r="AT179"/>
  <c r="AS179"/>
  <c r="AR179"/>
  <c r="AQ179"/>
  <c r="AP179"/>
  <c r="AO179"/>
  <c r="AN179"/>
  <c r="AM179"/>
  <c r="AK179"/>
  <c r="AJ179"/>
  <c r="AI179"/>
  <c r="AH179"/>
  <c r="AG179"/>
  <c r="AF179"/>
  <c r="AE179"/>
  <c r="AD179"/>
  <c r="AC179"/>
  <c r="AB179"/>
  <c r="AA179"/>
  <c r="Z179"/>
  <c r="T179"/>
  <c r="S179"/>
  <c r="R179"/>
  <c r="Q179"/>
  <c r="P179"/>
  <c r="O179"/>
  <c r="N179" s="1"/>
  <c r="M179" s="1"/>
  <c r="L179" s="1"/>
  <c r="K179" s="1"/>
  <c r="J179"/>
  <c r="G179" s="1"/>
  <c r="AX178"/>
  <c r="AW178"/>
  <c r="AV178"/>
  <c r="AU178"/>
  <c r="AT178"/>
  <c r="AS178"/>
  <c r="AR178"/>
  <c r="AQ178"/>
  <c r="AP178"/>
  <c r="AO178"/>
  <c r="AN178"/>
  <c r="AM178"/>
  <c r="AK178"/>
  <c r="AJ178"/>
  <c r="AI178"/>
  <c r="AH178"/>
  <c r="AG178"/>
  <c r="AF178"/>
  <c r="AE178"/>
  <c r="AD178"/>
  <c r="AC178"/>
  <c r="AB178"/>
  <c r="AA178"/>
  <c r="Z178"/>
  <c r="T178"/>
  <c r="S178"/>
  <c r="R178"/>
  <c r="Q178"/>
  <c r="P178"/>
  <c r="O178"/>
  <c r="N178"/>
  <c r="M178"/>
  <c r="L178"/>
  <c r="K178"/>
  <c r="J178"/>
  <c r="G178"/>
  <c r="AX177"/>
  <c r="AW177"/>
  <c r="AV177"/>
  <c r="AU177"/>
  <c r="AT177"/>
  <c r="AS177"/>
  <c r="AR177"/>
  <c r="AQ177"/>
  <c r="AP177"/>
  <c r="AO177"/>
  <c r="AN177"/>
  <c r="AM177"/>
  <c r="AK177"/>
  <c r="AJ177"/>
  <c r="AI177"/>
  <c r="AH177"/>
  <c r="AG177"/>
  <c r="AF177"/>
  <c r="AE177"/>
  <c r="AD177"/>
  <c r="AC177"/>
  <c r="AB177"/>
  <c r="AA177"/>
  <c r="Z177"/>
  <c r="T177"/>
  <c r="S177"/>
  <c r="R177"/>
  <c r="Q177"/>
  <c r="P177"/>
  <c r="O177"/>
  <c r="N177"/>
  <c r="M177"/>
  <c r="L177" s="1"/>
  <c r="K177"/>
  <c r="J177"/>
  <c r="G177"/>
  <c r="AX176"/>
  <c r="AW176"/>
  <c r="AV176"/>
  <c r="AU176"/>
  <c r="AT176"/>
  <c r="AS176"/>
  <c r="AR176"/>
  <c r="AQ176"/>
  <c r="AP176"/>
  <c r="AO176"/>
  <c r="AN176"/>
  <c r="AM176"/>
  <c r="AK176"/>
  <c r="AJ176"/>
  <c r="AI176"/>
  <c r="AH176"/>
  <c r="AG176"/>
  <c r="AF176"/>
  <c r="AE176"/>
  <c r="AD176"/>
  <c r="AC176"/>
  <c r="AB176"/>
  <c r="AA176"/>
  <c r="Z176"/>
  <c r="T176"/>
  <c r="S176"/>
  <c r="R176"/>
  <c r="Q176"/>
  <c r="P176"/>
  <c r="O176"/>
  <c r="N176"/>
  <c r="M176"/>
  <c r="L176"/>
  <c r="K176" s="1"/>
  <c r="J176"/>
  <c r="G176"/>
  <c r="AX175"/>
  <c r="AW175"/>
  <c r="AV175"/>
  <c r="AU175"/>
  <c r="AT175"/>
  <c r="AS175"/>
  <c r="AR175"/>
  <c r="AQ175"/>
  <c r="AP175"/>
  <c r="AO175"/>
  <c r="AN175"/>
  <c r="AM175"/>
  <c r="AK175"/>
  <c r="AJ175"/>
  <c r="AI175"/>
  <c r="AH175"/>
  <c r="AG175"/>
  <c r="AF175"/>
  <c r="AE175"/>
  <c r="AD175"/>
  <c r="AC175"/>
  <c r="AB175"/>
  <c r="AA175"/>
  <c r="Z175"/>
  <c r="T175"/>
  <c r="S175"/>
  <c r="R175"/>
  <c r="Q175"/>
  <c r="P175"/>
  <c r="O175"/>
  <c r="N175"/>
  <c r="M175" s="1"/>
  <c r="L175" s="1"/>
  <c r="K175"/>
  <c r="J175"/>
  <c r="G175"/>
  <c r="AX174"/>
  <c r="AW174"/>
  <c r="AV174"/>
  <c r="AU174"/>
  <c r="AT174"/>
  <c r="AS174"/>
  <c r="AR174"/>
  <c r="AQ174"/>
  <c r="AP174"/>
  <c r="AO174"/>
  <c r="AN174"/>
  <c r="AM174"/>
  <c r="AK174"/>
  <c r="AJ174"/>
  <c r="AI174"/>
  <c r="AH174"/>
  <c r="AG174"/>
  <c r="AF174"/>
  <c r="AE174"/>
  <c r="AD174"/>
  <c r="AC174"/>
  <c r="AB174"/>
  <c r="AA174"/>
  <c r="Z174"/>
  <c r="T174"/>
  <c r="S174"/>
  <c r="R174"/>
  <c r="Q174"/>
  <c r="P174"/>
  <c r="O174"/>
  <c r="N174" s="1"/>
  <c r="M174" s="1"/>
  <c r="L174"/>
  <c r="K174"/>
  <c r="J174"/>
  <c r="G174"/>
  <c r="AX173"/>
  <c r="AW173"/>
  <c r="AV173"/>
  <c r="AU173"/>
  <c r="AT173"/>
  <c r="AS173"/>
  <c r="AR173"/>
  <c r="AQ173"/>
  <c r="AP173"/>
  <c r="AO173"/>
  <c r="AN173"/>
  <c r="AN187" s="1"/>
  <c r="AM173"/>
  <c r="AM187" s="1"/>
  <c r="AK173"/>
  <c r="AJ173"/>
  <c r="AI173"/>
  <c r="AH173"/>
  <c r="AG173"/>
  <c r="AF173"/>
  <c r="AE173"/>
  <c r="AD173"/>
  <c r="AC173"/>
  <c r="AB173"/>
  <c r="AA173"/>
  <c r="AA186" s="1"/>
  <c r="Z173"/>
  <c r="Z186" s="1"/>
  <c r="T173"/>
  <c r="S173"/>
  <c r="R173"/>
  <c r="Q173"/>
  <c r="P173"/>
  <c r="O173"/>
  <c r="N173"/>
  <c r="M173" s="1"/>
  <c r="L173"/>
  <c r="K173"/>
  <c r="J173"/>
  <c r="G173"/>
  <c r="F171"/>
  <c r="K157"/>
  <c r="AX154"/>
  <c r="AW154"/>
  <c r="AV154"/>
  <c r="AU154"/>
  <c r="AT154"/>
  <c r="AS154"/>
  <c r="AR154"/>
  <c r="AQ154"/>
  <c r="AP154"/>
  <c r="AO154"/>
  <c r="AN154"/>
  <c r="AM154"/>
  <c r="AK154"/>
  <c r="AJ154"/>
  <c r="AI154"/>
  <c r="AH154"/>
  <c r="AG154"/>
  <c r="AF154"/>
  <c r="AE154"/>
  <c r="AD154"/>
  <c r="AC154"/>
  <c r="AB154"/>
  <c r="AA154"/>
  <c r="Z154"/>
  <c r="T154"/>
  <c r="S154"/>
  <c r="R154"/>
  <c r="Q154"/>
  <c r="P154"/>
  <c r="O154"/>
  <c r="N154"/>
  <c r="M154"/>
  <c r="L154"/>
  <c r="K154"/>
  <c r="J154"/>
  <c r="G154"/>
  <c r="AX153"/>
  <c r="AW153"/>
  <c r="AV153"/>
  <c r="AU153"/>
  <c r="AT153"/>
  <c r="AS153"/>
  <c r="AR153"/>
  <c r="AQ153"/>
  <c r="AP153"/>
  <c r="AO153"/>
  <c r="AN153"/>
  <c r="AM153"/>
  <c r="AK153"/>
  <c r="AJ153"/>
  <c r="AI153"/>
  <c r="AH153"/>
  <c r="AG153"/>
  <c r="AF153"/>
  <c r="AE153"/>
  <c r="AD153"/>
  <c r="AC153"/>
  <c r="AB153"/>
  <c r="AA153"/>
  <c r="Z153"/>
  <c r="T153"/>
  <c r="S153"/>
  <c r="R153"/>
  <c r="Q153"/>
  <c r="P153"/>
  <c r="O153"/>
  <c r="N153"/>
  <c r="M153" s="1"/>
  <c r="L153" s="1"/>
  <c r="K153" s="1"/>
  <c r="J153"/>
  <c r="G153"/>
  <c r="AX152"/>
  <c r="AW152"/>
  <c r="AV152"/>
  <c r="AU152"/>
  <c r="AT152"/>
  <c r="AS152"/>
  <c r="AR152"/>
  <c r="AQ152"/>
  <c r="AP152"/>
  <c r="AO152"/>
  <c r="AN152"/>
  <c r="AM152"/>
  <c r="AK152"/>
  <c r="AJ152"/>
  <c r="AI152"/>
  <c r="AH152"/>
  <c r="AG152"/>
  <c r="AF152"/>
  <c r="AE152"/>
  <c r="AD152"/>
  <c r="AC152"/>
  <c r="AB152"/>
  <c r="AA152"/>
  <c r="Z152"/>
  <c r="T152"/>
  <c r="S152"/>
  <c r="R152"/>
  <c r="Q152"/>
  <c r="P152"/>
  <c r="O152"/>
  <c r="N152"/>
  <c r="M152"/>
  <c r="L152"/>
  <c r="K152" s="1"/>
  <c r="J152"/>
  <c r="G152" s="1"/>
  <c r="AX151"/>
  <c r="AW151"/>
  <c r="AV151"/>
  <c r="AU151"/>
  <c r="AT151"/>
  <c r="AS151"/>
  <c r="AR151"/>
  <c r="AQ151"/>
  <c r="AP151"/>
  <c r="AO151"/>
  <c r="AN151"/>
  <c r="AM151"/>
  <c r="AK151"/>
  <c r="AJ151"/>
  <c r="AI151"/>
  <c r="AH151"/>
  <c r="AG151"/>
  <c r="AF151"/>
  <c r="AE151"/>
  <c r="AD151"/>
  <c r="AC151"/>
  <c r="AB151"/>
  <c r="AA151"/>
  <c r="Z151"/>
  <c r="T151"/>
  <c r="S151"/>
  <c r="R151"/>
  <c r="Q151"/>
  <c r="P151"/>
  <c r="O151"/>
  <c r="N151"/>
  <c r="M151"/>
  <c r="L151" s="1"/>
  <c r="K151" s="1"/>
  <c r="J151"/>
  <c r="G151"/>
  <c r="AX150"/>
  <c r="AW150"/>
  <c r="AV150"/>
  <c r="AU150"/>
  <c r="AT150"/>
  <c r="AS150"/>
  <c r="AR150"/>
  <c r="AQ150"/>
  <c r="AP150"/>
  <c r="AO150"/>
  <c r="AN150"/>
  <c r="AM150"/>
  <c r="AK150"/>
  <c r="AJ150"/>
  <c r="AI150"/>
  <c r="AH150"/>
  <c r="AG150"/>
  <c r="AF150"/>
  <c r="AE150"/>
  <c r="AD150"/>
  <c r="AC150"/>
  <c r="AB150"/>
  <c r="AA150"/>
  <c r="Z150"/>
  <c r="T150"/>
  <c r="S150"/>
  <c r="R150"/>
  <c r="Q150"/>
  <c r="P150"/>
  <c r="O150"/>
  <c r="N150"/>
  <c r="M150"/>
  <c r="L150"/>
  <c r="K150"/>
  <c r="J150"/>
  <c r="G150"/>
  <c r="AX149"/>
  <c r="AW149"/>
  <c r="AV149"/>
  <c r="AU149"/>
  <c r="AT149"/>
  <c r="AS149"/>
  <c r="AR149"/>
  <c r="AQ149"/>
  <c r="AP149"/>
  <c r="AO149"/>
  <c r="AN149"/>
  <c r="AM149"/>
  <c r="AK149"/>
  <c r="AJ149"/>
  <c r="AI149"/>
  <c r="AH149"/>
  <c r="AG149"/>
  <c r="AF149"/>
  <c r="AE149"/>
  <c r="AD149"/>
  <c r="AC149"/>
  <c r="AB149"/>
  <c r="AA149"/>
  <c r="Z149"/>
  <c r="T149"/>
  <c r="S149"/>
  <c r="R149"/>
  <c r="Q149"/>
  <c r="P149"/>
  <c r="O149"/>
  <c r="N149"/>
  <c r="M149"/>
  <c r="L149" s="1"/>
  <c r="K149" s="1"/>
  <c r="J149"/>
  <c r="G149"/>
  <c r="AX148"/>
  <c r="AW148"/>
  <c r="AV148"/>
  <c r="AU148"/>
  <c r="AT148"/>
  <c r="AS148"/>
  <c r="AR148"/>
  <c r="AQ148"/>
  <c r="AP148"/>
  <c r="AO148"/>
  <c r="AN148"/>
  <c r="AM148"/>
  <c r="AK148"/>
  <c r="AJ148"/>
  <c r="AI148"/>
  <c r="AH148"/>
  <c r="AG148"/>
  <c r="AF148"/>
  <c r="AE148"/>
  <c r="AD148"/>
  <c r="AC148"/>
  <c r="AB148"/>
  <c r="AA148"/>
  <c r="Z148"/>
  <c r="T148"/>
  <c r="S148"/>
  <c r="R148"/>
  <c r="Q148"/>
  <c r="P148"/>
  <c r="O148"/>
  <c r="N148"/>
  <c r="M148"/>
  <c r="L148"/>
  <c r="K148" s="1"/>
  <c r="J148"/>
  <c r="G148"/>
  <c r="AX147"/>
  <c r="AW147"/>
  <c r="AV147"/>
  <c r="AU147"/>
  <c r="AT147"/>
  <c r="AS147"/>
  <c r="AR147"/>
  <c r="AQ147"/>
  <c r="AP147"/>
  <c r="AO147"/>
  <c r="AN147"/>
  <c r="AM147"/>
  <c r="AK147"/>
  <c r="AJ147"/>
  <c r="AI147"/>
  <c r="AH147"/>
  <c r="AG147"/>
  <c r="AF147"/>
  <c r="AE147"/>
  <c r="AD147"/>
  <c r="AC147"/>
  <c r="AB147"/>
  <c r="AA147"/>
  <c r="Z147"/>
  <c r="T147"/>
  <c r="S147"/>
  <c r="R147"/>
  <c r="Q147"/>
  <c r="P147"/>
  <c r="O147"/>
  <c r="N147"/>
  <c r="M147" s="1"/>
  <c r="L147" s="1"/>
  <c r="K147" s="1"/>
  <c r="J147"/>
  <c r="G147"/>
  <c r="AX146"/>
  <c r="AW146"/>
  <c r="AV146"/>
  <c r="AU146"/>
  <c r="AT146"/>
  <c r="AS146"/>
  <c r="AR146"/>
  <c r="AQ146"/>
  <c r="AP146"/>
  <c r="AO146"/>
  <c r="AN146"/>
  <c r="AM146"/>
  <c r="AK146"/>
  <c r="AJ146"/>
  <c r="AI146"/>
  <c r="AH146"/>
  <c r="AG146"/>
  <c r="AF146"/>
  <c r="AE146"/>
  <c r="AD146"/>
  <c r="AC146"/>
  <c r="AB146"/>
  <c r="AA146"/>
  <c r="Z146"/>
  <c r="T146"/>
  <c r="S146"/>
  <c r="R146"/>
  <c r="Q146"/>
  <c r="P146"/>
  <c r="O146"/>
  <c r="N146"/>
  <c r="M146"/>
  <c r="L146"/>
  <c r="K146"/>
  <c r="J146"/>
  <c r="G146"/>
  <c r="AX145"/>
  <c r="AW145"/>
  <c r="AV145"/>
  <c r="AU145"/>
  <c r="AT145"/>
  <c r="AS145"/>
  <c r="AR145"/>
  <c r="AQ145"/>
  <c r="AP145"/>
  <c r="AO145"/>
  <c r="AN145"/>
  <c r="AM145"/>
  <c r="AK145"/>
  <c r="AJ145"/>
  <c r="AI145"/>
  <c r="AH145"/>
  <c r="AG145"/>
  <c r="AF145"/>
  <c r="AE145"/>
  <c r="AD145"/>
  <c r="AC145"/>
  <c r="AB145"/>
  <c r="AA145"/>
  <c r="Z145"/>
  <c r="T145"/>
  <c r="S145"/>
  <c r="R145"/>
  <c r="Q145"/>
  <c r="P145"/>
  <c r="O145"/>
  <c r="N145"/>
  <c r="M145" s="1"/>
  <c r="L145" s="1"/>
  <c r="K145"/>
  <c r="J145"/>
  <c r="G145"/>
  <c r="AX144"/>
  <c r="AW144"/>
  <c r="AV144"/>
  <c r="AU144"/>
  <c r="AT144"/>
  <c r="AS144"/>
  <c r="AR144"/>
  <c r="AQ144"/>
  <c r="AP144"/>
  <c r="AO144"/>
  <c r="AN144"/>
  <c r="AM144"/>
  <c r="AK144"/>
  <c r="AJ144"/>
  <c r="AI144"/>
  <c r="AH144"/>
  <c r="AG144"/>
  <c r="AF144"/>
  <c r="AE144"/>
  <c r="AD144"/>
  <c r="AC144"/>
  <c r="AB144"/>
  <c r="AA144"/>
  <c r="Z144"/>
  <c r="T144"/>
  <c r="S144"/>
  <c r="R144"/>
  <c r="Q144"/>
  <c r="P144"/>
  <c r="O144"/>
  <c r="N144"/>
  <c r="M144"/>
  <c r="L144"/>
  <c r="K144"/>
  <c r="J144"/>
  <c r="G144"/>
  <c r="AX143"/>
  <c r="AW143"/>
  <c r="AV143"/>
  <c r="AU143"/>
  <c r="AT143"/>
  <c r="AS143"/>
  <c r="AR143"/>
  <c r="AQ143"/>
  <c r="AP143"/>
  <c r="AO143"/>
  <c r="AN143"/>
  <c r="AM143"/>
  <c r="AK143"/>
  <c r="AJ143"/>
  <c r="AI143"/>
  <c r="AH143"/>
  <c r="AG143"/>
  <c r="AF143"/>
  <c r="AE143"/>
  <c r="AD143"/>
  <c r="AC143"/>
  <c r="AB143"/>
  <c r="AA143"/>
  <c r="Z143"/>
  <c r="T143"/>
  <c r="S143"/>
  <c r="R143"/>
  <c r="Q143"/>
  <c r="P143"/>
  <c r="O143"/>
  <c r="N143"/>
  <c r="M143"/>
  <c r="L143" s="1"/>
  <c r="K143"/>
  <c r="J143"/>
  <c r="G143"/>
  <c r="AX142"/>
  <c r="AW142"/>
  <c r="AV142"/>
  <c r="AU142"/>
  <c r="AT142"/>
  <c r="AS142"/>
  <c r="AR142"/>
  <c r="AQ142"/>
  <c r="AP142"/>
  <c r="AO142"/>
  <c r="AN142"/>
  <c r="AM142"/>
  <c r="AK142"/>
  <c r="AJ142"/>
  <c r="AI142"/>
  <c r="AH142"/>
  <c r="AG142"/>
  <c r="AF142"/>
  <c r="AE142"/>
  <c r="AD142"/>
  <c r="AC142"/>
  <c r="AB142"/>
  <c r="AA142"/>
  <c r="Z142"/>
  <c r="T142"/>
  <c r="S142"/>
  <c r="R142"/>
  <c r="Q142"/>
  <c r="P142"/>
  <c r="O142"/>
  <c r="N142"/>
  <c r="M142"/>
  <c r="L142"/>
  <c r="K142"/>
  <c r="J142"/>
  <c r="G142"/>
  <c r="AX133"/>
  <c r="AW133"/>
  <c r="AV133"/>
  <c r="AU133"/>
  <c r="AT133"/>
  <c r="AS133"/>
  <c r="AR133"/>
  <c r="AQ133"/>
  <c r="AP133"/>
  <c r="AO133"/>
  <c r="AN133"/>
  <c r="AM133"/>
  <c r="AK133"/>
  <c r="AJ133"/>
  <c r="AI133"/>
  <c r="AH133"/>
  <c r="AG133"/>
  <c r="AF133"/>
  <c r="AE133"/>
  <c r="AD133"/>
  <c r="AC133"/>
  <c r="AB133"/>
  <c r="AA133"/>
  <c r="Z133"/>
  <c r="T133"/>
  <c r="S133"/>
  <c r="R133"/>
  <c r="Q133"/>
  <c r="P133"/>
  <c r="O133"/>
  <c r="N133" s="1"/>
  <c r="M133" s="1"/>
  <c r="L133" s="1"/>
  <c r="K133" s="1"/>
  <c r="J133"/>
  <c r="G133"/>
  <c r="AX132"/>
  <c r="AW132"/>
  <c r="AV132"/>
  <c r="AU132"/>
  <c r="AT132"/>
  <c r="AS132"/>
  <c r="AR132"/>
  <c r="AQ132"/>
  <c r="AP132"/>
  <c r="AO132"/>
  <c r="AN132"/>
  <c r="AM132"/>
  <c r="AK132"/>
  <c r="AJ132"/>
  <c r="AI132"/>
  <c r="AH132"/>
  <c r="AG132"/>
  <c r="AF132"/>
  <c r="AE132"/>
  <c r="AD132"/>
  <c r="AC132"/>
  <c r="AB132"/>
  <c r="AA132"/>
  <c r="Z132"/>
  <c r="T132"/>
  <c r="S132"/>
  <c r="R132"/>
  <c r="Q132"/>
  <c r="P132"/>
  <c r="O132"/>
  <c r="N132"/>
  <c r="M132"/>
  <c r="L132"/>
  <c r="K132"/>
  <c r="J132"/>
  <c r="G132"/>
  <c r="AX131"/>
  <c r="AW131"/>
  <c r="AV131"/>
  <c r="AU131"/>
  <c r="AT131"/>
  <c r="AS131"/>
  <c r="AR131"/>
  <c r="AQ131"/>
  <c r="AP131"/>
  <c r="AO131"/>
  <c r="AN131"/>
  <c r="AM131"/>
  <c r="AK131"/>
  <c r="AJ131"/>
  <c r="AI131"/>
  <c r="AH131"/>
  <c r="AG131"/>
  <c r="AF131"/>
  <c r="AE131"/>
  <c r="AD131"/>
  <c r="AC131"/>
  <c r="AB131"/>
  <c r="AA131"/>
  <c r="Z131"/>
  <c r="T131"/>
  <c r="S131"/>
  <c r="R131"/>
  <c r="Q131"/>
  <c r="P131"/>
  <c r="O131"/>
  <c r="N131"/>
  <c r="M131" s="1"/>
  <c r="L131" s="1"/>
  <c r="K131" s="1"/>
  <c r="J131"/>
  <c r="G131" s="1"/>
  <c r="AX130"/>
  <c r="AW130"/>
  <c r="AV130"/>
  <c r="AU130"/>
  <c r="AT130"/>
  <c r="AS130"/>
  <c r="AR130"/>
  <c r="AQ130"/>
  <c r="AP130"/>
  <c r="AO130"/>
  <c r="AN130"/>
  <c r="AM130"/>
  <c r="AK130"/>
  <c r="AJ130"/>
  <c r="AI130"/>
  <c r="AH130"/>
  <c r="AG130"/>
  <c r="AF130"/>
  <c r="AE130"/>
  <c r="AD130"/>
  <c r="AC130"/>
  <c r="AB130"/>
  <c r="AA130"/>
  <c r="Z130"/>
  <c r="T130"/>
  <c r="S130"/>
  <c r="R130"/>
  <c r="Q130"/>
  <c r="P130" s="1"/>
  <c r="O130" s="1"/>
  <c r="N130"/>
  <c r="M130"/>
  <c r="L130"/>
  <c r="K130"/>
  <c r="J130"/>
  <c r="G130"/>
  <c r="AX129"/>
  <c r="AW129"/>
  <c r="AV129"/>
  <c r="AU129"/>
  <c r="AT129"/>
  <c r="AS129"/>
  <c r="AR129"/>
  <c r="AQ129"/>
  <c r="AP129"/>
  <c r="AO129"/>
  <c r="AN129"/>
  <c r="AM129"/>
  <c r="AK129"/>
  <c r="AJ129"/>
  <c r="AI129"/>
  <c r="AH129"/>
  <c r="AG129"/>
  <c r="AF129"/>
  <c r="AE129"/>
  <c r="AD129"/>
  <c r="AC129"/>
  <c r="AB129"/>
  <c r="AA129"/>
  <c r="Z129"/>
  <c r="T129"/>
  <c r="S129"/>
  <c r="R129"/>
  <c r="Q129"/>
  <c r="P129"/>
  <c r="O129"/>
  <c r="N129"/>
  <c r="M129"/>
  <c r="L129"/>
  <c r="K129" s="1"/>
  <c r="J129"/>
  <c r="G129"/>
  <c r="AX128"/>
  <c r="AW128"/>
  <c r="AV128"/>
  <c r="AU128"/>
  <c r="AT128"/>
  <c r="AS128"/>
  <c r="AR128"/>
  <c r="AQ128"/>
  <c r="AP128"/>
  <c r="AO128"/>
  <c r="AN128"/>
  <c r="AM128"/>
  <c r="AK128"/>
  <c r="AJ128"/>
  <c r="AI128"/>
  <c r="AH128"/>
  <c r="AG128"/>
  <c r="AF128"/>
  <c r="AE128"/>
  <c r="AD128"/>
  <c r="AC128"/>
  <c r="AB128"/>
  <c r="AA128"/>
  <c r="Z128"/>
  <c r="T128"/>
  <c r="S128"/>
  <c r="R128"/>
  <c r="Q128"/>
  <c r="P128"/>
  <c r="O128"/>
  <c r="N128"/>
  <c r="M128"/>
  <c r="L128"/>
  <c r="K128"/>
  <c r="J128"/>
  <c r="G128"/>
  <c r="AX127"/>
  <c r="AW127"/>
  <c r="AV127"/>
  <c r="AU127"/>
  <c r="AT127"/>
  <c r="AS127"/>
  <c r="AR127"/>
  <c r="AQ127"/>
  <c r="AP127"/>
  <c r="AO127"/>
  <c r="AN127"/>
  <c r="AM127"/>
  <c r="AK127"/>
  <c r="AJ127"/>
  <c r="AI127"/>
  <c r="AH127"/>
  <c r="AG127"/>
  <c r="AF127"/>
  <c r="AE127"/>
  <c r="AD127"/>
  <c r="AC127"/>
  <c r="AB127"/>
  <c r="AA127"/>
  <c r="Z127"/>
  <c r="T127"/>
  <c r="S127"/>
  <c r="R127"/>
  <c r="Q127"/>
  <c r="P127"/>
  <c r="O127"/>
  <c r="N127"/>
  <c r="M127"/>
  <c r="L127"/>
  <c r="K127" s="1"/>
  <c r="J127"/>
  <c r="G127"/>
  <c r="AX126"/>
  <c r="AW126"/>
  <c r="AV126"/>
  <c r="AU126"/>
  <c r="AT126"/>
  <c r="AS126"/>
  <c r="AR126"/>
  <c r="AQ126"/>
  <c r="AP126"/>
  <c r="AO126"/>
  <c r="AN126"/>
  <c r="AM126"/>
  <c r="AK126"/>
  <c r="AJ126"/>
  <c r="AI126"/>
  <c r="AH126"/>
  <c r="AG126"/>
  <c r="AF126"/>
  <c r="AE126"/>
  <c r="AD126"/>
  <c r="AC126"/>
  <c r="AB126"/>
  <c r="AA126"/>
  <c r="Z126"/>
  <c r="T126"/>
  <c r="S126"/>
  <c r="R126"/>
  <c r="Q126"/>
  <c r="P126"/>
  <c r="O126"/>
  <c r="N126"/>
  <c r="M126"/>
  <c r="L126"/>
  <c r="K126"/>
  <c r="J126"/>
  <c r="G126"/>
  <c r="AX125"/>
  <c r="AW125"/>
  <c r="AV125"/>
  <c r="AU125"/>
  <c r="AT125"/>
  <c r="AS125"/>
  <c r="AR125"/>
  <c r="AQ125"/>
  <c r="AP125"/>
  <c r="AO125"/>
  <c r="AN125"/>
  <c r="AM125"/>
  <c r="AK125"/>
  <c r="AJ125"/>
  <c r="AI125"/>
  <c r="AH125"/>
  <c r="AG125"/>
  <c r="AF125"/>
  <c r="AE125"/>
  <c r="AD125"/>
  <c r="AC125"/>
  <c r="AB125"/>
  <c r="AA125"/>
  <c r="Z125"/>
  <c r="T125"/>
  <c r="S125"/>
  <c r="R125"/>
  <c r="Q125"/>
  <c r="P125"/>
  <c r="O125"/>
  <c r="N125"/>
  <c r="M125" s="1"/>
  <c r="L125" s="1"/>
  <c r="K125"/>
  <c r="J125"/>
  <c r="G125"/>
  <c r="AX124"/>
  <c r="AW124"/>
  <c r="AV124"/>
  <c r="AU124"/>
  <c r="AT124"/>
  <c r="AS124"/>
  <c r="AR124"/>
  <c r="AQ124"/>
  <c r="AP124"/>
  <c r="AO124"/>
  <c r="AN124"/>
  <c r="AM124"/>
  <c r="AK124"/>
  <c r="AJ124"/>
  <c r="AI124"/>
  <c r="AH124"/>
  <c r="AG124"/>
  <c r="AF124"/>
  <c r="AE124"/>
  <c r="AD124"/>
  <c r="AC124"/>
  <c r="AB124"/>
  <c r="AA124"/>
  <c r="Z124"/>
  <c r="T124"/>
  <c r="S124"/>
  <c r="R124"/>
  <c r="Q124"/>
  <c r="P124"/>
  <c r="O124"/>
  <c r="N124" s="1"/>
  <c r="M124"/>
  <c r="L124"/>
  <c r="K124"/>
  <c r="J124"/>
  <c r="G124"/>
  <c r="AX123"/>
  <c r="AW123"/>
  <c r="AV123"/>
  <c r="AU123"/>
  <c r="AT123"/>
  <c r="AS123"/>
  <c r="AR123"/>
  <c r="AQ123"/>
  <c r="AP123"/>
  <c r="AO123"/>
  <c r="AN123"/>
  <c r="AM123"/>
  <c r="AK123"/>
  <c r="AJ123"/>
  <c r="AI123"/>
  <c r="AH123"/>
  <c r="AG123"/>
  <c r="AF123"/>
  <c r="AE123"/>
  <c r="AD123"/>
  <c r="AC123"/>
  <c r="AB123"/>
  <c r="AA123"/>
  <c r="Z123"/>
  <c r="T123"/>
  <c r="S123"/>
  <c r="R123"/>
  <c r="Q123"/>
  <c r="P123"/>
  <c r="O123"/>
  <c r="N123"/>
  <c r="M123"/>
  <c r="L123" s="1"/>
  <c r="K123" s="1"/>
  <c r="J123"/>
  <c r="G123"/>
  <c r="AX122"/>
  <c r="AW122"/>
  <c r="AV122"/>
  <c r="AU122"/>
  <c r="AT122"/>
  <c r="AS122"/>
  <c r="AR122"/>
  <c r="AQ122"/>
  <c r="AP122"/>
  <c r="AO122"/>
  <c r="AN122"/>
  <c r="AM122"/>
  <c r="AK122"/>
  <c r="AJ122"/>
  <c r="AI122"/>
  <c r="AH122"/>
  <c r="AG122"/>
  <c r="AF122"/>
  <c r="AE122"/>
  <c r="AD122"/>
  <c r="AC122"/>
  <c r="AB122"/>
  <c r="AA122"/>
  <c r="Z122"/>
  <c r="T122"/>
  <c r="S122"/>
  <c r="R122"/>
  <c r="Q122"/>
  <c r="P122"/>
  <c r="O122"/>
  <c r="N122"/>
  <c r="M122"/>
  <c r="L122" s="1"/>
  <c r="K122"/>
  <c r="J122"/>
  <c r="G122"/>
  <c r="AX121"/>
  <c r="AW121"/>
  <c r="AV121"/>
  <c r="AU121"/>
  <c r="AT121"/>
  <c r="AS121"/>
  <c r="AR121"/>
  <c r="AQ121"/>
  <c r="AP121"/>
  <c r="AO121"/>
  <c r="AN121"/>
  <c r="AM121"/>
  <c r="AK121"/>
  <c r="AJ121"/>
  <c r="AI121"/>
  <c r="AH121"/>
  <c r="AG121"/>
  <c r="AF121"/>
  <c r="AE121"/>
  <c r="AD121"/>
  <c r="AC121"/>
  <c r="AB121"/>
  <c r="AA121"/>
  <c r="Z121"/>
  <c r="T121"/>
  <c r="S121"/>
  <c r="R121"/>
  <c r="Q121"/>
  <c r="P121"/>
  <c r="O121"/>
  <c r="N121"/>
  <c r="M121"/>
  <c r="L121"/>
  <c r="K121" s="1"/>
  <c r="J121"/>
  <c r="G121"/>
  <c r="G119"/>
  <c r="G171" s="1"/>
  <c r="K105"/>
  <c r="AX102"/>
  <c r="AW102"/>
  <c r="AV102"/>
  <c r="AU102"/>
  <c r="AT102"/>
  <c r="AS102"/>
  <c r="AR102"/>
  <c r="AQ102"/>
  <c r="AP102"/>
  <c r="AO102"/>
  <c r="AN102"/>
  <c r="AM102"/>
  <c r="AK102"/>
  <c r="AJ102"/>
  <c r="AI102"/>
  <c r="AH102"/>
  <c r="AG102"/>
  <c r="AF102"/>
  <c r="AE102"/>
  <c r="AD102"/>
  <c r="AC102"/>
  <c r="AB102"/>
  <c r="AA102"/>
  <c r="Z102"/>
  <c r="T102"/>
  <c r="S102"/>
  <c r="R102"/>
  <c r="Q102"/>
  <c r="P102"/>
  <c r="O102"/>
  <c r="N102"/>
  <c r="M102"/>
  <c r="L102"/>
  <c r="K102"/>
  <c r="J102"/>
  <c r="G102"/>
  <c r="AX101"/>
  <c r="AW101"/>
  <c r="AV101"/>
  <c r="AU101"/>
  <c r="AT101"/>
  <c r="AS101"/>
  <c r="AR101"/>
  <c r="AQ101"/>
  <c r="AP101"/>
  <c r="AO101"/>
  <c r="AN101"/>
  <c r="AM101"/>
  <c r="AK101"/>
  <c r="AJ101"/>
  <c r="AI101"/>
  <c r="AH101"/>
  <c r="AG101"/>
  <c r="AF101"/>
  <c r="AE101"/>
  <c r="AD101"/>
  <c r="AC101"/>
  <c r="AB101"/>
  <c r="AA101"/>
  <c r="Z101"/>
  <c r="T101"/>
  <c r="S101"/>
  <c r="R101"/>
  <c r="Q101"/>
  <c r="P101"/>
  <c r="O101"/>
  <c r="N101"/>
  <c r="M101"/>
  <c r="L101"/>
  <c r="K101"/>
  <c r="J101"/>
  <c r="G101"/>
  <c r="AX100"/>
  <c r="AW100"/>
  <c r="AV100"/>
  <c r="AU100"/>
  <c r="AT100"/>
  <c r="AS100"/>
  <c r="AR100"/>
  <c r="AQ100"/>
  <c r="AP100"/>
  <c r="AO100"/>
  <c r="AN100"/>
  <c r="AM100"/>
  <c r="AK100"/>
  <c r="AJ100"/>
  <c r="AI100"/>
  <c r="AH100"/>
  <c r="AG100"/>
  <c r="AF100"/>
  <c r="AE100"/>
  <c r="AD100"/>
  <c r="AC100"/>
  <c r="AB100"/>
  <c r="AA100"/>
  <c r="Z100"/>
  <c r="T100"/>
  <c r="S100"/>
  <c r="R100"/>
  <c r="Q100"/>
  <c r="P100"/>
  <c r="O100"/>
  <c r="N100"/>
  <c r="M100"/>
  <c r="L100"/>
  <c r="K100"/>
  <c r="J100"/>
  <c r="G100"/>
  <c r="AX99"/>
  <c r="AW99"/>
  <c r="AV99"/>
  <c r="AU99"/>
  <c r="AT99"/>
  <c r="AS99"/>
  <c r="AR99"/>
  <c r="AQ99"/>
  <c r="AP99"/>
  <c r="AO99"/>
  <c r="AN99"/>
  <c r="AM99"/>
  <c r="AK99"/>
  <c r="AJ99"/>
  <c r="AI99"/>
  <c r="AH99"/>
  <c r="AG99"/>
  <c r="AF99"/>
  <c r="AE99"/>
  <c r="AD99"/>
  <c r="AC99"/>
  <c r="AB99"/>
  <c r="AA99"/>
  <c r="Z99"/>
  <c r="T99"/>
  <c r="S99"/>
  <c r="R99"/>
  <c r="Q99"/>
  <c r="P99"/>
  <c r="O99"/>
  <c r="N99"/>
  <c r="M99"/>
  <c r="L99"/>
  <c r="K99"/>
  <c r="J99"/>
  <c r="G99"/>
  <c r="AX98"/>
  <c r="AW98"/>
  <c r="AV98"/>
  <c r="AU98"/>
  <c r="AT98"/>
  <c r="AS98"/>
  <c r="AR98"/>
  <c r="AQ98"/>
  <c r="AP98"/>
  <c r="AO98"/>
  <c r="AN98"/>
  <c r="AM98"/>
  <c r="AK98"/>
  <c r="AJ98"/>
  <c r="AI98"/>
  <c r="AH98"/>
  <c r="AG98"/>
  <c r="AF98"/>
  <c r="AE98"/>
  <c r="AD98"/>
  <c r="AC98"/>
  <c r="AB98"/>
  <c r="AA98"/>
  <c r="Z98"/>
  <c r="T98"/>
  <c r="S98"/>
  <c r="R98"/>
  <c r="Q98"/>
  <c r="P98"/>
  <c r="O98"/>
  <c r="N98"/>
  <c r="M98"/>
  <c r="L98"/>
  <c r="K98"/>
  <c r="J98"/>
  <c r="G98"/>
  <c r="AX97"/>
  <c r="AW97"/>
  <c r="AV97"/>
  <c r="AU97"/>
  <c r="AT97"/>
  <c r="AS97"/>
  <c r="AR97"/>
  <c r="AQ97"/>
  <c r="AP97"/>
  <c r="AO97"/>
  <c r="AN97"/>
  <c r="AM97"/>
  <c r="AK97"/>
  <c r="AJ97"/>
  <c r="AI97"/>
  <c r="AH97"/>
  <c r="AG97"/>
  <c r="AF97"/>
  <c r="AE97"/>
  <c r="AD97"/>
  <c r="AC97"/>
  <c r="AB97"/>
  <c r="AA97"/>
  <c r="Z97"/>
  <c r="T97"/>
  <c r="S97"/>
  <c r="R97"/>
  <c r="Q97"/>
  <c r="P97"/>
  <c r="O97"/>
  <c r="N97"/>
  <c r="M97"/>
  <c r="L97"/>
  <c r="K97"/>
  <c r="J97"/>
  <c r="G97"/>
  <c r="AX96"/>
  <c r="AW96"/>
  <c r="AV96"/>
  <c r="AU96"/>
  <c r="AT96"/>
  <c r="AS96"/>
  <c r="AR96"/>
  <c r="AQ96"/>
  <c r="AP96"/>
  <c r="AO96"/>
  <c r="AN96"/>
  <c r="AM96"/>
  <c r="AK96"/>
  <c r="AJ96"/>
  <c r="AI96"/>
  <c r="AH96"/>
  <c r="AG96"/>
  <c r="AF96"/>
  <c r="AE96"/>
  <c r="AD96"/>
  <c r="AC96"/>
  <c r="AB96"/>
  <c r="AA96"/>
  <c r="Z96"/>
  <c r="T96"/>
  <c r="S96"/>
  <c r="R96"/>
  <c r="Q96"/>
  <c r="P96"/>
  <c r="O96"/>
  <c r="N96"/>
  <c r="M96"/>
  <c r="L96"/>
  <c r="K96"/>
  <c r="J96"/>
  <c r="G96"/>
  <c r="AX95"/>
  <c r="AW95"/>
  <c r="AV95"/>
  <c r="AU95"/>
  <c r="AT95"/>
  <c r="AS95"/>
  <c r="AR95"/>
  <c r="AQ95"/>
  <c r="AP95"/>
  <c r="AO95"/>
  <c r="AN95"/>
  <c r="AM95"/>
  <c r="AK95"/>
  <c r="AJ95"/>
  <c r="AI95"/>
  <c r="AH95"/>
  <c r="AG95"/>
  <c r="AF95"/>
  <c r="AE95"/>
  <c r="AD95"/>
  <c r="AC95"/>
  <c r="AB95"/>
  <c r="AA95"/>
  <c r="Z95"/>
  <c r="T95"/>
  <c r="S95"/>
  <c r="R95"/>
  <c r="Q95"/>
  <c r="P95"/>
  <c r="O95"/>
  <c r="N95"/>
  <c r="M95"/>
  <c r="L95"/>
  <c r="K95" s="1"/>
  <c r="J95"/>
  <c r="G95"/>
  <c r="AX94"/>
  <c r="AW94"/>
  <c r="AV94"/>
  <c r="AU94"/>
  <c r="AT94"/>
  <c r="AS94"/>
  <c r="AR94"/>
  <c r="AQ94"/>
  <c r="AP94"/>
  <c r="AO94"/>
  <c r="AN94"/>
  <c r="AM94"/>
  <c r="AK94"/>
  <c r="AJ94"/>
  <c r="AI94"/>
  <c r="AH94"/>
  <c r="AG94"/>
  <c r="AF94"/>
  <c r="AE94"/>
  <c r="AD94"/>
  <c r="AC94"/>
  <c r="AB94"/>
  <c r="AA94"/>
  <c r="Z94"/>
  <c r="T94"/>
  <c r="S94"/>
  <c r="R94"/>
  <c r="Q94"/>
  <c r="P94"/>
  <c r="O94"/>
  <c r="N94"/>
  <c r="M94"/>
  <c r="L94"/>
  <c r="K94"/>
  <c r="J94"/>
  <c r="G94"/>
  <c r="AX93"/>
  <c r="AW93"/>
  <c r="AV93"/>
  <c r="AU93"/>
  <c r="AT93"/>
  <c r="AS93"/>
  <c r="AR93"/>
  <c r="AQ93"/>
  <c r="AP93"/>
  <c r="AO93"/>
  <c r="AN93"/>
  <c r="AM93"/>
  <c r="AK93"/>
  <c r="AJ93"/>
  <c r="AI93"/>
  <c r="AH93"/>
  <c r="AG93"/>
  <c r="AF93"/>
  <c r="AE93"/>
  <c r="AD93"/>
  <c r="AC93"/>
  <c r="AB93"/>
  <c r="AA93"/>
  <c r="Z93"/>
  <c r="T93"/>
  <c r="S93"/>
  <c r="R93"/>
  <c r="Q93"/>
  <c r="P93"/>
  <c r="O93"/>
  <c r="N93"/>
  <c r="M93"/>
  <c r="L93"/>
  <c r="K93"/>
  <c r="J93"/>
  <c r="G93"/>
  <c r="AX92"/>
  <c r="AW92"/>
  <c r="AV92"/>
  <c r="AU92"/>
  <c r="AT92"/>
  <c r="AS92"/>
  <c r="AR92"/>
  <c r="AQ92"/>
  <c r="AP92"/>
  <c r="AO92"/>
  <c r="AN92"/>
  <c r="AM92"/>
  <c r="AK92"/>
  <c r="AJ92"/>
  <c r="AI92"/>
  <c r="AH92"/>
  <c r="AG92"/>
  <c r="AF92"/>
  <c r="AE92"/>
  <c r="AD92"/>
  <c r="AC92"/>
  <c r="AB92"/>
  <c r="AA92"/>
  <c r="Z92"/>
  <c r="T92"/>
  <c r="S92"/>
  <c r="R92"/>
  <c r="Q92"/>
  <c r="P92"/>
  <c r="O92"/>
  <c r="N92"/>
  <c r="M92"/>
  <c r="L92"/>
  <c r="K92"/>
  <c r="J92"/>
  <c r="G92"/>
  <c r="AX91"/>
  <c r="AW91"/>
  <c r="AV91"/>
  <c r="AU91"/>
  <c r="AT91"/>
  <c r="AS91"/>
  <c r="AR91"/>
  <c r="AQ91"/>
  <c r="AP91"/>
  <c r="AO91"/>
  <c r="AN91"/>
  <c r="AM91"/>
  <c r="AK91"/>
  <c r="AJ91"/>
  <c r="AI91"/>
  <c r="AH91"/>
  <c r="AG91"/>
  <c r="AF91"/>
  <c r="AE91"/>
  <c r="AD91"/>
  <c r="AC91"/>
  <c r="AB91"/>
  <c r="AA91"/>
  <c r="Z91"/>
  <c r="T91"/>
  <c r="S91"/>
  <c r="R91"/>
  <c r="Q91"/>
  <c r="P91"/>
  <c r="O91"/>
  <c r="N91"/>
  <c r="M91"/>
  <c r="L91"/>
  <c r="K91"/>
  <c r="J91"/>
  <c r="G91"/>
  <c r="AX90"/>
  <c r="AX104" s="1"/>
  <c r="AW90"/>
  <c r="AW104" s="1"/>
  <c r="AV90"/>
  <c r="AV104" s="1"/>
  <c r="AU90"/>
  <c r="AU104" s="1"/>
  <c r="AT90"/>
  <c r="AT104" s="1"/>
  <c r="AS90"/>
  <c r="AS104" s="1"/>
  <c r="AR90"/>
  <c r="AR104" s="1"/>
  <c r="AQ90"/>
  <c r="AQ104" s="1"/>
  <c r="AP90"/>
  <c r="AP104" s="1"/>
  <c r="AO90"/>
  <c r="AO104" s="1"/>
  <c r="AN90"/>
  <c r="AN104" s="1"/>
  <c r="AM90"/>
  <c r="AM104" s="1"/>
  <c r="AK90"/>
  <c r="AK103" s="1"/>
  <c r="AJ90"/>
  <c r="AJ103" s="1"/>
  <c r="AI90"/>
  <c r="AI103" s="1"/>
  <c r="AH90"/>
  <c r="AH103" s="1"/>
  <c r="AG90"/>
  <c r="AG103" s="1"/>
  <c r="AF90"/>
  <c r="AF103" s="1"/>
  <c r="AE90"/>
  <c r="AE103" s="1"/>
  <c r="AD90"/>
  <c r="AD103" s="1"/>
  <c r="AC90"/>
  <c r="AC103" s="1"/>
  <c r="AB90"/>
  <c r="AB103" s="1"/>
  <c r="AA90"/>
  <c r="AA103" s="1"/>
  <c r="Z90"/>
  <c r="Z103" s="1"/>
  <c r="T90"/>
  <c r="S90"/>
  <c r="R90"/>
  <c r="Q90"/>
  <c r="P90"/>
  <c r="O90"/>
  <c r="N90"/>
  <c r="M90"/>
  <c r="L90"/>
  <c r="K90"/>
  <c r="J90"/>
  <c r="G90"/>
  <c r="AX80"/>
  <c r="AW80"/>
  <c r="AV80"/>
  <c r="AU80"/>
  <c r="AT80"/>
  <c r="AS80"/>
  <c r="AR80"/>
  <c r="AQ80"/>
  <c r="AP80"/>
  <c r="AO80"/>
  <c r="AN80"/>
  <c r="AM80"/>
  <c r="AK80"/>
  <c r="AJ80"/>
  <c r="AI80"/>
  <c r="AH80"/>
  <c r="AG80"/>
  <c r="AF80"/>
  <c r="AE80"/>
  <c r="AD80"/>
  <c r="AC80"/>
  <c r="AB80"/>
  <c r="AA80"/>
  <c r="Z80"/>
  <c r="T80"/>
  <c r="S80"/>
  <c r="R80"/>
  <c r="Q80"/>
  <c r="P80"/>
  <c r="O80" s="1"/>
  <c r="N80" s="1"/>
  <c r="M80" s="1"/>
  <c r="L80" s="1"/>
  <c r="K80" s="1"/>
  <c r="J80"/>
  <c r="G80"/>
  <c r="AX79"/>
  <c r="AW79"/>
  <c r="AV79"/>
  <c r="AU79"/>
  <c r="AT79"/>
  <c r="AS79"/>
  <c r="AR79"/>
  <c r="AQ79"/>
  <c r="AP79"/>
  <c r="AO79"/>
  <c r="AN79"/>
  <c r="AM79"/>
  <c r="AK79"/>
  <c r="AJ79"/>
  <c r="AI79"/>
  <c r="AH79"/>
  <c r="AG79"/>
  <c r="AF79"/>
  <c r="AE79"/>
  <c r="AD79"/>
  <c r="AC79"/>
  <c r="AB79"/>
  <c r="AA79"/>
  <c r="Z79"/>
  <c r="T79"/>
  <c r="S79"/>
  <c r="R79"/>
  <c r="Q79"/>
  <c r="P79"/>
  <c r="O79"/>
  <c r="N79"/>
  <c r="M79"/>
  <c r="L79"/>
  <c r="K79"/>
  <c r="J79"/>
  <c r="G79"/>
  <c r="AX78"/>
  <c r="AW78"/>
  <c r="AV78"/>
  <c r="AU78"/>
  <c r="AT78"/>
  <c r="AS78"/>
  <c r="AR78"/>
  <c r="AQ78"/>
  <c r="AP78"/>
  <c r="AO78"/>
  <c r="AN78"/>
  <c r="AM78"/>
  <c r="AK78"/>
  <c r="AJ78"/>
  <c r="AI78"/>
  <c r="AH78"/>
  <c r="AG78"/>
  <c r="AF78"/>
  <c r="AE78"/>
  <c r="AD78"/>
  <c r="AC78"/>
  <c r="AB78"/>
  <c r="AA78"/>
  <c r="Z78"/>
  <c r="T78"/>
  <c r="S78"/>
  <c r="R78"/>
  <c r="Q78"/>
  <c r="P78" s="1"/>
  <c r="O78" s="1"/>
  <c r="N78" s="1"/>
  <c r="M78" s="1"/>
  <c r="L78" s="1"/>
  <c r="K78" s="1"/>
  <c r="J78"/>
  <c r="G78"/>
  <c r="AX77"/>
  <c r="AW77"/>
  <c r="AV77"/>
  <c r="AU77"/>
  <c r="AT77"/>
  <c r="AS77"/>
  <c r="AR77"/>
  <c r="AQ77"/>
  <c r="AP77"/>
  <c r="AO77"/>
  <c r="AN77"/>
  <c r="AM77"/>
  <c r="AK77"/>
  <c r="AJ77"/>
  <c r="AI77"/>
  <c r="AH77"/>
  <c r="AG77"/>
  <c r="AF77"/>
  <c r="AE77"/>
  <c r="AD77"/>
  <c r="AC77"/>
  <c r="AB77"/>
  <c r="AA77"/>
  <c r="Z77"/>
  <c r="T77"/>
  <c r="S77"/>
  <c r="R77"/>
  <c r="Q77"/>
  <c r="P77"/>
  <c r="O77"/>
  <c r="N77"/>
  <c r="M77"/>
  <c r="L77"/>
  <c r="K77"/>
  <c r="J77"/>
  <c r="G77"/>
  <c r="AX76"/>
  <c r="AW76"/>
  <c r="AV76"/>
  <c r="AU76"/>
  <c r="AT76"/>
  <c r="AS76"/>
  <c r="AR76"/>
  <c r="AQ76"/>
  <c r="AP76"/>
  <c r="AO76"/>
  <c r="AN76"/>
  <c r="AM76"/>
  <c r="AK76"/>
  <c r="AJ76"/>
  <c r="AI76"/>
  <c r="AH76"/>
  <c r="AG76"/>
  <c r="AF76"/>
  <c r="AE76"/>
  <c r="AD76"/>
  <c r="AC76"/>
  <c r="AB76"/>
  <c r="AA76"/>
  <c r="Z76"/>
  <c r="T76"/>
  <c r="S76"/>
  <c r="R76"/>
  <c r="Q76"/>
  <c r="P76"/>
  <c r="O76"/>
  <c r="N76"/>
  <c r="M76"/>
  <c r="L76"/>
  <c r="K76"/>
  <c r="J76"/>
  <c r="G76"/>
  <c r="AX75"/>
  <c r="AW75"/>
  <c r="AV75"/>
  <c r="AU75"/>
  <c r="AT75"/>
  <c r="AS75"/>
  <c r="AR75"/>
  <c r="AQ75"/>
  <c r="AP75"/>
  <c r="AO75"/>
  <c r="AN75"/>
  <c r="AM75"/>
  <c r="AK75"/>
  <c r="AJ75"/>
  <c r="AI75"/>
  <c r="AH75"/>
  <c r="AG75"/>
  <c r="AF75"/>
  <c r="AE75"/>
  <c r="AD75"/>
  <c r="AC75"/>
  <c r="AB75"/>
  <c r="AA75"/>
  <c r="Z75"/>
  <c r="T75"/>
  <c r="S75"/>
  <c r="R75"/>
  <c r="Q75"/>
  <c r="P75"/>
  <c r="O75"/>
  <c r="N75"/>
  <c r="M75"/>
  <c r="L75"/>
  <c r="K75"/>
  <c r="J75"/>
  <c r="G75"/>
  <c r="AX74"/>
  <c r="AW74"/>
  <c r="AV74"/>
  <c r="AU74"/>
  <c r="AT74"/>
  <c r="AS74"/>
  <c r="AR74"/>
  <c r="AQ74"/>
  <c r="AP74"/>
  <c r="AO74"/>
  <c r="AN74"/>
  <c r="AM74"/>
  <c r="AK74"/>
  <c r="AJ74"/>
  <c r="AI74"/>
  <c r="AH74"/>
  <c r="AG74"/>
  <c r="AF74"/>
  <c r="AE74"/>
  <c r="AD74"/>
  <c r="AC74"/>
  <c r="AB74"/>
  <c r="AA74"/>
  <c r="Z74"/>
  <c r="T74"/>
  <c r="S74"/>
  <c r="R74"/>
  <c r="Q74"/>
  <c r="P74" s="1"/>
  <c r="O74" s="1"/>
  <c r="N74" s="1"/>
  <c r="M74" s="1"/>
  <c r="L74" s="1"/>
  <c r="K74" s="1"/>
  <c r="J74"/>
  <c r="G74" s="1"/>
  <c r="AX73"/>
  <c r="AW73"/>
  <c r="AV73"/>
  <c r="AU73"/>
  <c r="AT73"/>
  <c r="AS73"/>
  <c r="AR73"/>
  <c r="AQ73"/>
  <c r="AP73"/>
  <c r="AO73"/>
  <c r="AN73"/>
  <c r="AM73"/>
  <c r="AK73"/>
  <c r="AJ73"/>
  <c r="AI73"/>
  <c r="AH73"/>
  <c r="AG73"/>
  <c r="AF73"/>
  <c r="AE73"/>
  <c r="AD73"/>
  <c r="AC73"/>
  <c r="AB73"/>
  <c r="AA73"/>
  <c r="Z73"/>
  <c r="T73"/>
  <c r="S73"/>
  <c r="R73"/>
  <c r="Q73"/>
  <c r="P73"/>
  <c r="O73"/>
  <c r="N73" s="1"/>
  <c r="M73" s="1"/>
  <c r="L73" s="1"/>
  <c r="K73"/>
  <c r="J73"/>
  <c r="G73"/>
  <c r="AX72"/>
  <c r="AW72"/>
  <c r="AV72"/>
  <c r="AU72"/>
  <c r="AT72"/>
  <c r="AS72"/>
  <c r="AR72"/>
  <c r="AQ72"/>
  <c r="AP72"/>
  <c r="AO72"/>
  <c r="AN72"/>
  <c r="AM72"/>
  <c r="AK72"/>
  <c r="AJ72"/>
  <c r="AI72"/>
  <c r="AH72"/>
  <c r="AG72"/>
  <c r="AF72"/>
  <c r="AE72"/>
  <c r="AD72"/>
  <c r="AC72"/>
  <c r="AB72"/>
  <c r="AA72"/>
  <c r="Z72"/>
  <c r="T72" s="1"/>
  <c r="S72" s="1"/>
  <c r="R72" s="1"/>
  <c r="Q72" s="1"/>
  <c r="P72" s="1"/>
  <c r="O72" s="1"/>
  <c r="N72" s="1"/>
  <c r="M72" s="1"/>
  <c r="L72" s="1"/>
  <c r="K72" s="1"/>
  <c r="J72"/>
  <c r="G72"/>
  <c r="AX71"/>
  <c r="AW71"/>
  <c r="AV71"/>
  <c r="AU71"/>
  <c r="AT71"/>
  <c r="AS71"/>
  <c r="AR71"/>
  <c r="AQ71"/>
  <c r="AP71"/>
  <c r="AO71"/>
  <c r="AN71"/>
  <c r="AM71"/>
  <c r="AK71"/>
  <c r="AJ71"/>
  <c r="AI71"/>
  <c r="AH71"/>
  <c r="AG71"/>
  <c r="AF71"/>
  <c r="AE71"/>
  <c r="AD71"/>
  <c r="AC71"/>
  <c r="AB71"/>
  <c r="AA71"/>
  <c r="Z71"/>
  <c r="T71"/>
  <c r="S71"/>
  <c r="R71"/>
  <c r="Q71"/>
  <c r="P71"/>
  <c r="O71" s="1"/>
  <c r="N71" s="1"/>
  <c r="M71" s="1"/>
  <c r="L71" s="1"/>
  <c r="K71"/>
  <c r="J71"/>
  <c r="G71"/>
  <c r="AX70"/>
  <c r="AW70"/>
  <c r="AV70"/>
  <c r="AU70"/>
  <c r="AT70"/>
  <c r="AS70"/>
  <c r="AR70"/>
  <c r="AQ70"/>
  <c r="AP70"/>
  <c r="AO70"/>
  <c r="AN70"/>
  <c r="AM70"/>
  <c r="AK70"/>
  <c r="AJ70"/>
  <c r="AI70"/>
  <c r="AH70"/>
  <c r="AG70"/>
  <c r="AF70"/>
  <c r="AE70"/>
  <c r="AD70"/>
  <c r="AC70"/>
  <c r="AB70"/>
  <c r="AA70"/>
  <c r="Z70"/>
  <c r="T70"/>
  <c r="S70"/>
  <c r="R70"/>
  <c r="Q70"/>
  <c r="P70"/>
  <c r="O70"/>
  <c r="N70"/>
  <c r="M70"/>
  <c r="L70"/>
  <c r="K70" s="1"/>
  <c r="J70"/>
  <c r="G70" s="1"/>
  <c r="AX69"/>
  <c r="AW69"/>
  <c r="AV69"/>
  <c r="AU69"/>
  <c r="AT69"/>
  <c r="AS69"/>
  <c r="AR69"/>
  <c r="AQ69"/>
  <c r="AP69"/>
  <c r="AO69"/>
  <c r="AN69"/>
  <c r="AM69"/>
  <c r="AK69"/>
  <c r="AJ69"/>
  <c r="AI69"/>
  <c r="AH69"/>
  <c r="AG69"/>
  <c r="AF69"/>
  <c r="AE69"/>
  <c r="AD69"/>
  <c r="AC69"/>
  <c r="AB69"/>
  <c r="AA69"/>
  <c r="Z69"/>
  <c r="T69"/>
  <c r="S69"/>
  <c r="R69"/>
  <c r="Q69"/>
  <c r="P69"/>
  <c r="O69"/>
  <c r="N69"/>
  <c r="M69" s="1"/>
  <c r="L69" s="1"/>
  <c r="K69"/>
  <c r="J69"/>
  <c r="G69"/>
  <c r="AX68"/>
  <c r="AW68"/>
  <c r="AV68"/>
  <c r="AU68"/>
  <c r="AT68"/>
  <c r="AS68"/>
  <c r="AS82" s="1"/>
  <c r="AR68"/>
  <c r="AQ68"/>
  <c r="AP68"/>
  <c r="AO68"/>
  <c r="AO82" s="1"/>
  <c r="AN68"/>
  <c r="AN82" s="1"/>
  <c r="AM68"/>
  <c r="AM82" s="1"/>
  <c r="AK68"/>
  <c r="AK81" s="1"/>
  <c r="AJ68"/>
  <c r="AI68"/>
  <c r="AI81" s="1"/>
  <c r="AH81" s="1"/>
  <c r="AH68"/>
  <c r="AG68"/>
  <c r="AF68"/>
  <c r="AE68"/>
  <c r="AD68"/>
  <c r="AD81" s="1"/>
  <c r="AC68"/>
  <c r="AB68"/>
  <c r="AA68"/>
  <c r="AA81" s="1"/>
  <c r="Z68"/>
  <c r="Z81" s="1"/>
  <c r="T81" s="1"/>
  <c r="T68"/>
  <c r="S68"/>
  <c r="R68"/>
  <c r="Q68"/>
  <c r="P68"/>
  <c r="O68" s="1"/>
  <c r="N68" s="1"/>
  <c r="M68" s="1"/>
  <c r="L68" s="1"/>
  <c r="K68" s="1"/>
  <c r="J68"/>
  <c r="G68"/>
  <c r="K49"/>
  <c r="AR82" l="1"/>
  <c r="AQ82" s="1"/>
  <c r="AP82" s="1"/>
  <c r="AC155"/>
  <c r="AG155"/>
  <c r="AK155"/>
  <c r="AP156"/>
  <c r="AT156"/>
  <c r="AX156"/>
  <c r="AB155"/>
  <c r="AF155"/>
  <c r="AJ155"/>
  <c r="AO156"/>
  <c r="AS156"/>
  <c r="AW156"/>
  <c r="AA155"/>
  <c r="AE155"/>
  <c r="AI155"/>
  <c r="AN156"/>
  <c r="AR156"/>
  <c r="AV156"/>
  <c r="AS135"/>
  <c r="Z134"/>
  <c r="AH134"/>
  <c r="AM135"/>
  <c r="AU135"/>
  <c r="AC134"/>
  <c r="AG134"/>
  <c r="AP135"/>
  <c r="Z155"/>
  <c r="T155" s="1"/>
  <c r="S155" s="1"/>
  <c r="R155" s="1"/>
  <c r="AD155"/>
  <c r="AH155"/>
  <c r="AM156"/>
  <c r="T156" s="1"/>
  <c r="AQ156"/>
  <c r="AU156"/>
  <c r="AA134"/>
  <c r="AE134"/>
  <c r="AN135"/>
  <c r="AV135"/>
  <c r="AR135"/>
  <c r="AQ135" s="1"/>
  <c r="L155"/>
  <c r="P156"/>
  <c r="O156" s="1"/>
  <c r="N156" s="1"/>
  <c r="M156" s="1"/>
  <c r="AD134"/>
  <c r="AG81"/>
  <c r="AF81" s="1"/>
  <c r="AE81" s="1"/>
  <c r="AT135"/>
  <c r="AC81"/>
  <c r="AB81" s="1"/>
  <c r="AB134"/>
  <c r="AF134"/>
  <c r="AO135"/>
  <c r="AJ81"/>
  <c r="S81" s="1"/>
  <c r="R81" s="1"/>
  <c r="Q81" s="1"/>
  <c r="T103"/>
  <c r="S103" s="1"/>
  <c r="R103" s="1"/>
  <c r="Q103" s="1"/>
  <c r="P103" s="1"/>
  <c r="O103" s="1"/>
  <c r="N103" s="1"/>
  <c r="M103" s="1"/>
  <c r="L103" s="1"/>
  <c r="K103" s="1"/>
  <c r="J103" s="1"/>
  <c r="I103" s="1"/>
  <c r="G103" s="1"/>
  <c r="T104"/>
  <c r="S104" s="1"/>
  <c r="R104" s="1"/>
  <c r="Q104" s="1"/>
  <c r="P104" s="1"/>
  <c r="O104" s="1"/>
  <c r="N104" s="1"/>
  <c r="M104" s="1"/>
  <c r="L104" s="1"/>
  <c r="K104" s="1"/>
  <c r="J104" s="1"/>
  <c r="I104" s="1"/>
  <c r="G104" s="1"/>
  <c r="T207"/>
  <c r="S207" s="1"/>
  <c r="R207" s="1"/>
  <c r="Q207" s="1"/>
  <c r="P207" s="1"/>
  <c r="O207" s="1"/>
  <c r="N207" s="1"/>
  <c r="M207" s="1"/>
  <c r="L207" s="1"/>
  <c r="K207" s="1"/>
  <c r="J207" s="1"/>
  <c r="I207" s="1"/>
  <c r="G207" s="1"/>
  <c r="G140"/>
  <c r="K136" s="1"/>
  <c r="G192"/>
  <c r="AX46"/>
  <c r="AW46"/>
  <c r="AV46"/>
  <c r="AU46"/>
  <c r="AT46"/>
  <c r="AS46"/>
  <c r="AR46"/>
  <c r="AQ46"/>
  <c r="AP46"/>
  <c r="AO46"/>
  <c r="AN46"/>
  <c r="AM46"/>
  <c r="AK46"/>
  <c r="AJ46"/>
  <c r="AI46"/>
  <c r="AH46"/>
  <c r="AG46"/>
  <c r="AF46"/>
  <c r="AE46"/>
  <c r="AD46"/>
  <c r="AC46"/>
  <c r="AB46"/>
  <c r="AA46"/>
  <c r="Z46" s="1"/>
  <c r="T46"/>
  <c r="S46"/>
  <c r="R46"/>
  <c r="Q46"/>
  <c r="P46"/>
  <c r="O46"/>
  <c r="N46"/>
  <c r="M46"/>
  <c r="L46"/>
  <c r="K46"/>
  <c r="J46"/>
  <c r="G46"/>
  <c r="AX45"/>
  <c r="AW45"/>
  <c r="AV45"/>
  <c r="AU45"/>
  <c r="AT45"/>
  <c r="AS45"/>
  <c r="AR45"/>
  <c r="AQ45"/>
  <c r="AP45"/>
  <c r="AO45"/>
  <c r="AN45"/>
  <c r="AM45"/>
  <c r="AK45"/>
  <c r="AJ45"/>
  <c r="AI45"/>
  <c r="AH45"/>
  <c r="AG45"/>
  <c r="AF45"/>
  <c r="AE45"/>
  <c r="AD45"/>
  <c r="AC45"/>
  <c r="AB45"/>
  <c r="AA45"/>
  <c r="Z45" s="1"/>
  <c r="T45"/>
  <c r="S45"/>
  <c r="R45"/>
  <c r="Q45"/>
  <c r="P45"/>
  <c r="O45"/>
  <c r="N45"/>
  <c r="M45"/>
  <c r="L45" s="1"/>
  <c r="K45"/>
  <c r="J45"/>
  <c r="G45"/>
  <c r="AX44"/>
  <c r="AW44"/>
  <c r="AV44"/>
  <c r="AU44"/>
  <c r="AT44"/>
  <c r="AS44"/>
  <c r="AR44"/>
  <c r="AQ44"/>
  <c r="AP44"/>
  <c r="AO44"/>
  <c r="AN44"/>
  <c r="AM44"/>
  <c r="AK44"/>
  <c r="AJ44"/>
  <c r="AI44"/>
  <c r="AH44"/>
  <c r="AG44"/>
  <c r="AF44"/>
  <c r="AE44"/>
  <c r="AD44"/>
  <c r="AC44"/>
  <c r="AB44"/>
  <c r="AA44"/>
  <c r="Z44" s="1"/>
  <c r="T44"/>
  <c r="S44"/>
  <c r="R44"/>
  <c r="Q44"/>
  <c r="P44"/>
  <c r="O44"/>
  <c r="N44"/>
  <c r="M44"/>
  <c r="L44"/>
  <c r="K44"/>
  <c r="J44"/>
  <c r="G44"/>
  <c r="AX43"/>
  <c r="AW43"/>
  <c r="AV43"/>
  <c r="AU43"/>
  <c r="AT43"/>
  <c r="AS43"/>
  <c r="AR43"/>
  <c r="AQ43"/>
  <c r="AP43"/>
  <c r="AO43"/>
  <c r="AN43"/>
  <c r="AM43"/>
  <c r="AK43"/>
  <c r="AJ43"/>
  <c r="AI43"/>
  <c r="AH43"/>
  <c r="AG43"/>
  <c r="AF43"/>
  <c r="AE43"/>
  <c r="AD43"/>
  <c r="AC43"/>
  <c r="AB43"/>
  <c r="AA43"/>
  <c r="Z43" s="1"/>
  <c r="T43"/>
  <c r="S43"/>
  <c r="R43"/>
  <c r="Q43"/>
  <c r="P43"/>
  <c r="O43"/>
  <c r="N43"/>
  <c r="M43"/>
  <c r="L43" s="1"/>
  <c r="K43" s="1"/>
  <c r="J43"/>
  <c r="G43"/>
  <c r="AX42"/>
  <c r="AW42"/>
  <c r="AV42"/>
  <c r="AU42"/>
  <c r="AT42"/>
  <c r="AS42"/>
  <c r="AR42"/>
  <c r="AQ42"/>
  <c r="AP42"/>
  <c r="AO42"/>
  <c r="AN42"/>
  <c r="AM42"/>
  <c r="AK42"/>
  <c r="AJ42"/>
  <c r="AI42"/>
  <c r="AH42"/>
  <c r="AG42"/>
  <c r="AF42"/>
  <c r="AE42"/>
  <c r="AD42"/>
  <c r="AC42"/>
  <c r="AB42"/>
  <c r="AA42"/>
  <c r="Z42" s="1"/>
  <c r="T42"/>
  <c r="S42"/>
  <c r="R42"/>
  <c r="Q42"/>
  <c r="P42"/>
  <c r="O42"/>
  <c r="N42" s="1"/>
  <c r="M42" s="1"/>
  <c r="L42" s="1"/>
  <c r="K42" s="1"/>
  <c r="J42"/>
  <c r="G42"/>
  <c r="AX41"/>
  <c r="AW41"/>
  <c r="AV41"/>
  <c r="AU41"/>
  <c r="AT41"/>
  <c r="AS41"/>
  <c r="AR41"/>
  <c r="AQ41"/>
  <c r="AP41"/>
  <c r="AO41"/>
  <c r="AN41"/>
  <c r="AM41"/>
  <c r="AK41"/>
  <c r="AJ41"/>
  <c r="AI41"/>
  <c r="AH41"/>
  <c r="AG41"/>
  <c r="AF41"/>
  <c r="AE41"/>
  <c r="AD41"/>
  <c r="AC41"/>
  <c r="AB41"/>
  <c r="AA41"/>
  <c r="Z41" s="1"/>
  <c r="T41"/>
  <c r="S41"/>
  <c r="R41"/>
  <c r="Q41"/>
  <c r="P41"/>
  <c r="O41"/>
  <c r="N41"/>
  <c r="M41"/>
  <c r="L41"/>
  <c r="K41" s="1"/>
  <c r="J41"/>
  <c r="G41"/>
  <c r="AX40"/>
  <c r="AW40"/>
  <c r="AV40"/>
  <c r="AU40"/>
  <c r="AT40"/>
  <c r="AS40"/>
  <c r="AR40"/>
  <c r="AQ40"/>
  <c r="AP40"/>
  <c r="AO40"/>
  <c r="AN40"/>
  <c r="AM40"/>
  <c r="AK40"/>
  <c r="AJ40"/>
  <c r="AI40"/>
  <c r="AH40"/>
  <c r="AG40"/>
  <c r="AF40"/>
  <c r="AE40"/>
  <c r="AD40"/>
  <c r="AC40"/>
  <c r="AB40"/>
  <c r="AA40"/>
  <c r="Z40" s="1"/>
  <c r="T40"/>
  <c r="S40"/>
  <c r="R40"/>
  <c r="Q40"/>
  <c r="P40"/>
  <c r="O40"/>
  <c r="N40"/>
  <c r="M40"/>
  <c r="L40"/>
  <c r="K40"/>
  <c r="J40"/>
  <c r="G40"/>
  <c r="AX39"/>
  <c r="AW39"/>
  <c r="AV39"/>
  <c r="AU39"/>
  <c r="AT39"/>
  <c r="AS39"/>
  <c r="AR39"/>
  <c r="AQ39"/>
  <c r="AP39"/>
  <c r="AO39"/>
  <c r="AN39"/>
  <c r="AM39"/>
  <c r="AK39"/>
  <c r="AJ39"/>
  <c r="AI39"/>
  <c r="AH39"/>
  <c r="AG39"/>
  <c r="AF39"/>
  <c r="AE39"/>
  <c r="AD39"/>
  <c r="AC39"/>
  <c r="AB39"/>
  <c r="AA39"/>
  <c r="Z39" s="1"/>
  <c r="T39"/>
  <c r="S39"/>
  <c r="R39"/>
  <c r="Q39"/>
  <c r="P39"/>
  <c r="O39"/>
  <c r="N39"/>
  <c r="M39"/>
  <c r="L39"/>
  <c r="K39"/>
  <c r="J39"/>
  <c r="G39"/>
  <c r="AX38"/>
  <c r="AW38"/>
  <c r="AV38"/>
  <c r="AU38"/>
  <c r="AT38"/>
  <c r="AS38"/>
  <c r="AR38"/>
  <c r="AQ38"/>
  <c r="AP38"/>
  <c r="AO38"/>
  <c r="AN38"/>
  <c r="AM38"/>
  <c r="AK38"/>
  <c r="AJ38"/>
  <c r="AI38"/>
  <c r="AH38"/>
  <c r="AG38"/>
  <c r="AF38"/>
  <c r="AE38"/>
  <c r="AD38"/>
  <c r="AC38"/>
  <c r="AB38"/>
  <c r="AA38"/>
  <c r="Z38" s="1"/>
  <c r="T38"/>
  <c r="S38"/>
  <c r="R38"/>
  <c r="Q38"/>
  <c r="P38"/>
  <c r="O38"/>
  <c r="N38"/>
  <c r="M38"/>
  <c r="L38" s="1"/>
  <c r="K38" s="1"/>
  <c r="J38"/>
  <c r="G38"/>
  <c r="AX37"/>
  <c r="AW37"/>
  <c r="AV37"/>
  <c r="AU37"/>
  <c r="AT37"/>
  <c r="AS37"/>
  <c r="AR37"/>
  <c r="AQ37"/>
  <c r="AP37"/>
  <c r="AO37"/>
  <c r="AN37"/>
  <c r="AM37"/>
  <c r="AK37"/>
  <c r="AJ37"/>
  <c r="AI37"/>
  <c r="AH37"/>
  <c r="AG37"/>
  <c r="AF37"/>
  <c r="AE37"/>
  <c r="AD37"/>
  <c r="AC37"/>
  <c r="AB37"/>
  <c r="AA37"/>
  <c r="Z37" s="1"/>
  <c r="T37"/>
  <c r="S37"/>
  <c r="R37"/>
  <c r="Q37"/>
  <c r="P37"/>
  <c r="O37"/>
  <c r="N37"/>
  <c r="M37"/>
  <c r="L37"/>
  <c r="K37"/>
  <c r="J37"/>
  <c r="G37"/>
  <c r="AX36"/>
  <c r="AW36"/>
  <c r="AV36"/>
  <c r="AU36"/>
  <c r="AT36"/>
  <c r="AS36"/>
  <c r="AR36"/>
  <c r="AQ36"/>
  <c r="AP36"/>
  <c r="AO36"/>
  <c r="AN36"/>
  <c r="AM36"/>
  <c r="AK36"/>
  <c r="AJ36"/>
  <c r="AI36"/>
  <c r="AH36"/>
  <c r="AG36"/>
  <c r="AF36"/>
  <c r="AE36"/>
  <c r="AD36"/>
  <c r="AC36"/>
  <c r="AB36"/>
  <c r="AA36"/>
  <c r="Z36" s="1"/>
  <c r="T36"/>
  <c r="S36"/>
  <c r="R36"/>
  <c r="Q36"/>
  <c r="P36"/>
  <c r="O36"/>
  <c r="N36" s="1"/>
  <c r="M36" s="1"/>
  <c r="L36" s="1"/>
  <c r="K36"/>
  <c r="J36"/>
  <c r="G36"/>
  <c r="AX35"/>
  <c r="AW35"/>
  <c r="AV35"/>
  <c r="AU35"/>
  <c r="AT35"/>
  <c r="AS35"/>
  <c r="AR35"/>
  <c r="AQ35"/>
  <c r="AP35"/>
  <c r="AO35"/>
  <c r="AN35"/>
  <c r="AM35"/>
  <c r="AK35"/>
  <c r="AJ35"/>
  <c r="AI35"/>
  <c r="AH35"/>
  <c r="AG35"/>
  <c r="AF35"/>
  <c r="AE35"/>
  <c r="AD35"/>
  <c r="AC35"/>
  <c r="AB35"/>
  <c r="AA35"/>
  <c r="Z35" s="1"/>
  <c r="T35"/>
  <c r="S35"/>
  <c r="R35"/>
  <c r="Q35"/>
  <c r="P35"/>
  <c r="O35"/>
  <c r="N35"/>
  <c r="M35"/>
  <c r="L35"/>
  <c r="K35"/>
  <c r="J35"/>
  <c r="G35"/>
  <c r="AX34"/>
  <c r="AW34"/>
  <c r="AV34"/>
  <c r="AU34"/>
  <c r="AT34"/>
  <c r="AS34"/>
  <c r="AR34"/>
  <c r="AQ34"/>
  <c r="AP34"/>
  <c r="AO34"/>
  <c r="AN34"/>
  <c r="AM34"/>
  <c r="AK34"/>
  <c r="AJ34"/>
  <c r="AI34"/>
  <c r="AH34"/>
  <c r="AG34"/>
  <c r="AF34"/>
  <c r="AE34"/>
  <c r="AD34"/>
  <c r="AC34"/>
  <c r="AB34"/>
  <c r="AA34"/>
  <c r="Z34" s="1"/>
  <c r="T34"/>
  <c r="S34"/>
  <c r="R34"/>
  <c r="Q34"/>
  <c r="P34"/>
  <c r="O34"/>
  <c r="N34"/>
  <c r="M34"/>
  <c r="L34"/>
  <c r="K34" s="1"/>
  <c r="J34"/>
  <c r="G34"/>
  <c r="K27"/>
  <c r="AX24"/>
  <c r="AW24"/>
  <c r="AV24"/>
  <c r="AU24"/>
  <c r="AT24"/>
  <c r="AS24"/>
  <c r="AR24"/>
  <c r="AQ24"/>
  <c r="AP24"/>
  <c r="AO24"/>
  <c r="AN24"/>
  <c r="AM24"/>
  <c r="AK24"/>
  <c r="AJ24"/>
  <c r="AI24"/>
  <c r="AH24"/>
  <c r="AG24"/>
  <c r="AF24" s="1"/>
  <c r="AE24"/>
  <c r="AD24" s="1"/>
  <c r="AC24"/>
  <c r="AB24"/>
  <c r="AA24"/>
  <c r="Z24" s="1"/>
  <c r="T24"/>
  <c r="S24"/>
  <c r="R24"/>
  <c r="Q24"/>
  <c r="P24"/>
  <c r="O24"/>
  <c r="N24"/>
  <c r="M24"/>
  <c r="L24"/>
  <c r="K24"/>
  <c r="J24"/>
  <c r="G24"/>
  <c r="AX23"/>
  <c r="AW23"/>
  <c r="AV23"/>
  <c r="AU23"/>
  <c r="AT23"/>
  <c r="AS23"/>
  <c r="AR23"/>
  <c r="AQ23"/>
  <c r="AP23"/>
  <c r="AO23"/>
  <c r="AN23"/>
  <c r="AM23"/>
  <c r="AK23"/>
  <c r="AJ23"/>
  <c r="AI23"/>
  <c r="AH23"/>
  <c r="AG23"/>
  <c r="AF23"/>
  <c r="AE23"/>
  <c r="AD23" s="1"/>
  <c r="AC23"/>
  <c r="AB23"/>
  <c r="AA23"/>
  <c r="Z23" s="1"/>
  <c r="T23"/>
  <c r="S23"/>
  <c r="R23"/>
  <c r="Q23"/>
  <c r="P23"/>
  <c r="O23"/>
  <c r="N23"/>
  <c r="M23"/>
  <c r="L23"/>
  <c r="K23"/>
  <c r="J23"/>
  <c r="G23"/>
  <c r="AX22"/>
  <c r="AW22"/>
  <c r="AV22"/>
  <c r="AU22"/>
  <c r="AT22"/>
  <c r="AS22"/>
  <c r="AR22"/>
  <c r="AQ22"/>
  <c r="AP22"/>
  <c r="AO22"/>
  <c r="AN22"/>
  <c r="AM22"/>
  <c r="AK22"/>
  <c r="AJ22"/>
  <c r="AI22"/>
  <c r="AH22"/>
  <c r="AG22" s="1"/>
  <c r="AF22"/>
  <c r="AE22" s="1"/>
  <c r="AD22"/>
  <c r="AC22" s="1"/>
  <c r="AB22" s="1"/>
  <c r="AA22"/>
  <c r="Z22"/>
  <c r="T22"/>
  <c r="S22"/>
  <c r="R22"/>
  <c r="Q22"/>
  <c r="P22"/>
  <c r="O22"/>
  <c r="N22"/>
  <c r="M22"/>
  <c r="L22"/>
  <c r="K22"/>
  <c r="J22"/>
  <c r="G22"/>
  <c r="AX21"/>
  <c r="AW21"/>
  <c r="AV21"/>
  <c r="AU21"/>
  <c r="AT21"/>
  <c r="AS21"/>
  <c r="AR21"/>
  <c r="AQ21"/>
  <c r="AP21"/>
  <c r="AO21"/>
  <c r="AN21"/>
  <c r="AM21"/>
  <c r="AK21"/>
  <c r="AJ21"/>
  <c r="AI21"/>
  <c r="AH21"/>
  <c r="AG21" s="1"/>
  <c r="AF21" s="1"/>
  <c r="AE21" s="1"/>
  <c r="AD21" s="1"/>
  <c r="AC21" s="1"/>
  <c r="AB21"/>
  <c r="AA21"/>
  <c r="Z21" s="1"/>
  <c r="T21"/>
  <c r="S21"/>
  <c r="R21"/>
  <c r="Q21"/>
  <c r="P21"/>
  <c r="O21"/>
  <c r="N21"/>
  <c r="M21"/>
  <c r="L21"/>
  <c r="K21"/>
  <c r="J21"/>
  <c r="G21"/>
  <c r="AX20"/>
  <c r="AW20"/>
  <c r="AV20"/>
  <c r="AU20"/>
  <c r="AT20"/>
  <c r="AS20"/>
  <c r="AR20"/>
  <c r="AQ20"/>
  <c r="AP20"/>
  <c r="AO20"/>
  <c r="AN20"/>
  <c r="AM20"/>
  <c r="AK20"/>
  <c r="AJ20"/>
  <c r="AI20"/>
  <c r="AH20"/>
  <c r="AG20"/>
  <c r="AF20" s="1"/>
  <c r="AE20"/>
  <c r="AD20"/>
  <c r="AC20" s="1"/>
  <c r="AB20"/>
  <c r="AA20"/>
  <c r="Z20" s="1"/>
  <c r="T20"/>
  <c r="S20"/>
  <c r="R20"/>
  <c r="Q20"/>
  <c r="P20"/>
  <c r="O20"/>
  <c r="N20"/>
  <c r="M20"/>
  <c r="L20"/>
  <c r="K20"/>
  <c r="J20"/>
  <c r="G20" s="1"/>
  <c r="AX19"/>
  <c r="AW19"/>
  <c r="AV19"/>
  <c r="AU19"/>
  <c r="AT19"/>
  <c r="AS19"/>
  <c r="AR19"/>
  <c r="AQ19"/>
  <c r="AP19"/>
  <c r="AO19"/>
  <c r="AN19"/>
  <c r="AM19"/>
  <c r="AK19"/>
  <c r="AJ19"/>
  <c r="AI19"/>
  <c r="AH19" s="1"/>
  <c r="AG19" s="1"/>
  <c r="AF19" s="1"/>
  <c r="AE19" s="1"/>
  <c r="AD19" s="1"/>
  <c r="AC19" s="1"/>
  <c r="AB19" s="1"/>
  <c r="AA19" s="1"/>
  <c r="Z19" s="1"/>
  <c r="T19"/>
  <c r="S19"/>
  <c r="R19"/>
  <c r="Q19"/>
  <c r="P19"/>
  <c r="O19"/>
  <c r="N19"/>
  <c r="M19"/>
  <c r="L19"/>
  <c r="K19"/>
  <c r="J19"/>
  <c r="G19"/>
  <c r="AX18"/>
  <c r="AW18"/>
  <c r="AV18"/>
  <c r="AU18"/>
  <c r="AT18"/>
  <c r="AS18"/>
  <c r="AR18"/>
  <c r="AQ18"/>
  <c r="AP18"/>
  <c r="AO18"/>
  <c r="AN18"/>
  <c r="AM18"/>
  <c r="AK18"/>
  <c r="AJ18"/>
  <c r="AI18"/>
  <c r="AH18"/>
  <c r="AG18"/>
  <c r="AF18"/>
  <c r="AE18"/>
  <c r="AD18"/>
  <c r="AC18" s="1"/>
  <c r="AB18" s="1"/>
  <c r="AA18"/>
  <c r="Z18" s="1"/>
  <c r="T18"/>
  <c r="S18"/>
  <c r="R18" s="1"/>
  <c r="Q18"/>
  <c r="P18"/>
  <c r="O18"/>
  <c r="N18"/>
  <c r="M18"/>
  <c r="L18"/>
  <c r="K18"/>
  <c r="J18"/>
  <c r="G18"/>
  <c r="AX17"/>
  <c r="AW17"/>
  <c r="AV17"/>
  <c r="AU17"/>
  <c r="AT17"/>
  <c r="AS17"/>
  <c r="AR17"/>
  <c r="AQ17"/>
  <c r="AP17"/>
  <c r="AO17"/>
  <c r="AN17"/>
  <c r="AM17"/>
  <c r="AK17"/>
  <c r="AJ17"/>
  <c r="AI17"/>
  <c r="AH17"/>
  <c r="AG17"/>
  <c r="AF17" s="1"/>
  <c r="AE17"/>
  <c r="AD17" s="1"/>
  <c r="AC17" s="1"/>
  <c r="AB17"/>
  <c r="AA17"/>
  <c r="Z17" s="1"/>
  <c r="T17"/>
  <c r="S17"/>
  <c r="R17"/>
  <c r="Q17"/>
  <c r="P17"/>
  <c r="O17"/>
  <c r="N17"/>
  <c r="M17"/>
  <c r="L17"/>
  <c r="K17"/>
  <c r="J17"/>
  <c r="G17"/>
  <c r="AX16"/>
  <c r="AW16"/>
  <c r="AV16"/>
  <c r="AU16"/>
  <c r="AT16"/>
  <c r="AS16"/>
  <c r="AR16"/>
  <c r="AQ16"/>
  <c r="AP16"/>
  <c r="AO16"/>
  <c r="AN16"/>
  <c r="AM16"/>
  <c r="AK16"/>
  <c r="AJ16"/>
  <c r="AI16" s="1"/>
  <c r="AH16"/>
  <c r="AG16"/>
  <c r="AF16" s="1"/>
  <c r="AE16"/>
  <c r="AD16"/>
  <c r="AC16" s="1"/>
  <c r="AB16"/>
  <c r="AA16"/>
  <c r="Z16" s="1"/>
  <c r="T16"/>
  <c r="S16"/>
  <c r="R16"/>
  <c r="Q16"/>
  <c r="P16"/>
  <c r="O16"/>
  <c r="N16"/>
  <c r="M16"/>
  <c r="L16"/>
  <c r="K16"/>
  <c r="J16"/>
  <c r="G16"/>
  <c r="AX15"/>
  <c r="AW15"/>
  <c r="AV15"/>
  <c r="AU15"/>
  <c r="AT15"/>
  <c r="AS15"/>
  <c r="AR15"/>
  <c r="AQ15"/>
  <c r="AP15"/>
  <c r="AO15"/>
  <c r="AN15"/>
  <c r="AM15"/>
  <c r="AK15"/>
  <c r="AJ15"/>
  <c r="AI15"/>
  <c r="AH15"/>
  <c r="AG15" s="1"/>
  <c r="AF15"/>
  <c r="AE15" s="1"/>
  <c r="AD15"/>
  <c r="AC15" s="1"/>
  <c r="AB15" s="1"/>
  <c r="AA15" s="1"/>
  <c r="Z15" s="1"/>
  <c r="T15"/>
  <c r="S15"/>
  <c r="R15"/>
  <c r="Q15"/>
  <c r="P15"/>
  <c r="O15"/>
  <c r="N15"/>
  <c r="M15"/>
  <c r="L15"/>
  <c r="K15"/>
  <c r="J15"/>
  <c r="G15"/>
  <c r="AX14"/>
  <c r="AW14"/>
  <c r="AV14"/>
  <c r="AU14"/>
  <c r="AT14"/>
  <c r="AS14"/>
  <c r="AR14"/>
  <c r="AQ14"/>
  <c r="AP14"/>
  <c r="AO14"/>
  <c r="AN14"/>
  <c r="AM14"/>
  <c r="AK14"/>
  <c r="AJ14"/>
  <c r="AI14"/>
  <c r="AH14"/>
  <c r="AG14" s="1"/>
  <c r="AF14" s="1"/>
  <c r="AE14" s="1"/>
  <c r="AD14" s="1"/>
  <c r="AC14" s="1"/>
  <c r="AB14" s="1"/>
  <c r="AA14"/>
  <c r="Z14" s="1"/>
  <c r="T14"/>
  <c r="S14" s="1"/>
  <c r="R14"/>
  <c r="Q14"/>
  <c r="P14"/>
  <c r="O14"/>
  <c r="N14"/>
  <c r="M14"/>
  <c r="L14"/>
  <c r="K14"/>
  <c r="J14"/>
  <c r="G14" s="1"/>
  <c r="AX13"/>
  <c r="AW13"/>
  <c r="AV13"/>
  <c r="AU13"/>
  <c r="AT13"/>
  <c r="AS13"/>
  <c r="AR13"/>
  <c r="AQ13"/>
  <c r="AP13"/>
  <c r="AO13" s="1"/>
  <c r="AN13"/>
  <c r="AM13"/>
  <c r="AK13"/>
  <c r="AJ13"/>
  <c r="AI13" s="1"/>
  <c r="AH13" s="1"/>
  <c r="AG13"/>
  <c r="AF13" s="1"/>
  <c r="AE13"/>
  <c r="AD13" s="1"/>
  <c r="AC13" s="1"/>
  <c r="AB13"/>
  <c r="AA13"/>
  <c r="Z13" s="1"/>
  <c r="T13"/>
  <c r="S13"/>
  <c r="R13"/>
  <c r="Q13"/>
  <c r="P13"/>
  <c r="O13"/>
  <c r="N13"/>
  <c r="M13"/>
  <c r="L13"/>
  <c r="K13"/>
  <c r="J13"/>
  <c r="G13"/>
  <c r="AX12"/>
  <c r="AW12"/>
  <c r="AV12"/>
  <c r="AU12"/>
  <c r="AT12"/>
  <c r="AS12"/>
  <c r="AR12" s="1"/>
  <c r="AQ12"/>
  <c r="AP12"/>
  <c r="AO12"/>
  <c r="AN12" s="1"/>
  <c r="AM12"/>
  <c r="AK12"/>
  <c r="AJ12"/>
  <c r="AI12"/>
  <c r="AH12"/>
  <c r="AG12"/>
  <c r="AF12" s="1"/>
  <c r="AE12"/>
  <c r="AD12"/>
  <c r="AC12" s="1"/>
  <c r="AB12"/>
  <c r="AA12"/>
  <c r="Z12" s="1"/>
  <c r="T12"/>
  <c r="S12"/>
  <c r="R12" s="1"/>
  <c r="Q12"/>
  <c r="P12"/>
  <c r="O12"/>
  <c r="N12"/>
  <c r="M12"/>
  <c r="L12"/>
  <c r="K12"/>
  <c r="J12"/>
  <c r="G12"/>
  <c r="G10"/>
  <c r="E10"/>
  <c r="E9"/>
  <c r="C5"/>
  <c r="G208" i="2"/>
  <c r="G207"/>
  <c r="E199"/>
  <c r="E198"/>
  <c r="E197"/>
  <c r="D197"/>
  <c r="E196"/>
  <c r="E195"/>
  <c r="E194"/>
  <c r="D194"/>
  <c r="G190"/>
  <c r="G199" s="1"/>
  <c r="F190"/>
  <c r="S189"/>
  <c r="S198" s="1"/>
  <c r="J189"/>
  <c r="J198" s="1"/>
  <c r="G189"/>
  <c r="G198" s="1"/>
  <c r="F189"/>
  <c r="N188"/>
  <c r="V187"/>
  <c r="U187"/>
  <c r="S187"/>
  <c r="R187"/>
  <c r="P187"/>
  <c r="O187"/>
  <c r="M187"/>
  <c r="L187"/>
  <c r="J187"/>
  <c r="I187"/>
  <c r="G184"/>
  <c r="U185" s="1"/>
  <c r="F184"/>
  <c r="D183"/>
  <c r="G180"/>
  <c r="U180" s="1"/>
  <c r="U196" s="1"/>
  <c r="F180"/>
  <c r="G179"/>
  <c r="G195" s="1"/>
  <c r="F179"/>
  <c r="T178"/>
  <c r="Q178"/>
  <c r="N178"/>
  <c r="V177"/>
  <c r="U177"/>
  <c r="S177"/>
  <c r="R177"/>
  <c r="P177"/>
  <c r="O177"/>
  <c r="M177"/>
  <c r="L177"/>
  <c r="J177"/>
  <c r="I177"/>
  <c r="G174"/>
  <c r="R175" s="1"/>
  <c r="F174"/>
  <c r="D173"/>
  <c r="I161"/>
  <c r="F61" i="17" s="1"/>
  <c r="I160" i="2"/>
  <c r="F60" i="17" s="1"/>
  <c r="V156" i="2"/>
  <c r="S156"/>
  <c r="P156"/>
  <c r="M156"/>
  <c r="J156"/>
  <c r="V155"/>
  <c r="S155"/>
  <c r="P155"/>
  <c r="M155"/>
  <c r="J155"/>
  <c r="L139"/>
  <c r="I139"/>
  <c r="L138"/>
  <c r="I138"/>
  <c r="L137"/>
  <c r="I137"/>
  <c r="L136"/>
  <c r="I136"/>
  <c r="L135"/>
  <c r="I135"/>
  <c r="I147" s="1"/>
  <c r="L133"/>
  <c r="I133"/>
  <c r="L131"/>
  <c r="L130"/>
  <c r="L146" s="1"/>
  <c r="I130"/>
  <c r="I146" s="1"/>
  <c r="G129"/>
  <c r="O116"/>
  <c r="O115"/>
  <c r="M114"/>
  <c r="J114"/>
  <c r="M113"/>
  <c r="J113"/>
  <c r="M112"/>
  <c r="O112" s="1"/>
  <c r="J112"/>
  <c r="M111"/>
  <c r="J111"/>
  <c r="L110"/>
  <c r="I110"/>
  <c r="M109"/>
  <c r="J109"/>
  <c r="M108"/>
  <c r="O108" s="1"/>
  <c r="P108" s="1"/>
  <c r="J108"/>
  <c r="F107"/>
  <c r="O99"/>
  <c r="O98"/>
  <c r="M97"/>
  <c r="J97"/>
  <c r="M96"/>
  <c r="J96"/>
  <c r="M95"/>
  <c r="J95"/>
  <c r="M94"/>
  <c r="J94"/>
  <c r="L93"/>
  <c r="I93"/>
  <c r="M92"/>
  <c r="O92" s="1"/>
  <c r="J92"/>
  <c r="M91"/>
  <c r="O91" s="1"/>
  <c r="P91" s="1"/>
  <c r="J91"/>
  <c r="F90"/>
  <c r="O85"/>
  <c r="O84"/>
  <c r="L113" i="8" s="1"/>
  <c r="K113" s="1"/>
  <c r="M83" i="2"/>
  <c r="J83"/>
  <c r="M82"/>
  <c r="J82"/>
  <c r="M81"/>
  <c r="J81"/>
  <c r="M80"/>
  <c r="J80"/>
  <c r="L79"/>
  <c r="L86" s="1"/>
  <c r="I79"/>
  <c r="M78"/>
  <c r="J78"/>
  <c r="M77"/>
  <c r="J77"/>
  <c r="F76"/>
  <c r="O61"/>
  <c r="O60"/>
  <c r="M59"/>
  <c r="J59"/>
  <c r="M58"/>
  <c r="J58"/>
  <c r="M57"/>
  <c r="J57"/>
  <c r="M56"/>
  <c r="J56"/>
  <c r="L55"/>
  <c r="I55"/>
  <c r="M54"/>
  <c r="O54" s="1"/>
  <c r="J54"/>
  <c r="M53"/>
  <c r="J53"/>
  <c r="F52"/>
  <c r="O47"/>
  <c r="O46"/>
  <c r="M45"/>
  <c r="J45"/>
  <c r="M44"/>
  <c r="J44"/>
  <c r="M43"/>
  <c r="J43"/>
  <c r="M42"/>
  <c r="J42"/>
  <c r="L41"/>
  <c r="I41"/>
  <c r="M40"/>
  <c r="O40" s="1"/>
  <c r="J40"/>
  <c r="M39"/>
  <c r="J39"/>
  <c r="F38"/>
  <c r="O33"/>
  <c r="R33" s="1"/>
  <c r="M108" i="8" s="1"/>
  <c r="O32" i="2"/>
  <c r="L107" i="8" s="1"/>
  <c r="M31" i="2"/>
  <c r="J31"/>
  <c r="M30"/>
  <c r="J30"/>
  <c r="M29"/>
  <c r="M135" s="1"/>
  <c r="J29"/>
  <c r="M28"/>
  <c r="J28"/>
  <c r="L27"/>
  <c r="I27"/>
  <c r="I151" s="1"/>
  <c r="M26"/>
  <c r="J26"/>
  <c r="M25"/>
  <c r="O25" s="1"/>
  <c r="L156" i="3" l="1"/>
  <c r="K156" s="1"/>
  <c r="J156" s="1"/>
  <c r="M41" i="2"/>
  <c r="J55"/>
  <c r="M131"/>
  <c r="J133"/>
  <c r="M137"/>
  <c r="U33"/>
  <c r="N108" i="8" s="1"/>
  <c r="O39" i="2"/>
  <c r="J135"/>
  <c r="M133"/>
  <c r="M136"/>
  <c r="O139"/>
  <c r="O156" s="1"/>
  <c r="M79"/>
  <c r="M152" s="1"/>
  <c r="L152" s="1"/>
  <c r="J41"/>
  <c r="J48" s="1"/>
  <c r="I48" s="1"/>
  <c r="M55"/>
  <c r="L132"/>
  <c r="I132"/>
  <c r="M48"/>
  <c r="L48" s="1"/>
  <c r="L147"/>
  <c r="L148" s="1"/>
  <c r="J74" i="4" s="1"/>
  <c r="M86" i="2"/>
  <c r="F50" i="17"/>
  <c r="R91" i="2"/>
  <c r="O41"/>
  <c r="I148"/>
  <c r="I74" i="4" s="1"/>
  <c r="R108" i="2"/>
  <c r="I155"/>
  <c r="K43" i="8"/>
  <c r="J100" i="4"/>
  <c r="Z74"/>
  <c r="L108" i="8"/>
  <c r="J79" i="2"/>
  <c r="J152" s="1"/>
  <c r="J104" i="4"/>
  <c r="L114" i="8"/>
  <c r="K114" s="1"/>
  <c r="M130" i="2"/>
  <c r="J131"/>
  <c r="M27"/>
  <c r="M174" s="1"/>
  <c r="L174" s="1"/>
  <c r="O29"/>
  <c r="J93"/>
  <c r="O138"/>
  <c r="O155"/>
  <c r="L156"/>
  <c r="J43" i="8"/>
  <c r="I100" i="4"/>
  <c r="I104"/>
  <c r="J136" i="2"/>
  <c r="R32"/>
  <c r="J110"/>
  <c r="J117" s="1"/>
  <c r="I117" s="1"/>
  <c r="J137"/>
  <c r="J141" s="1"/>
  <c r="I141" s="1"/>
  <c r="L151"/>
  <c r="I152"/>
  <c r="L155"/>
  <c r="I156"/>
  <c r="P179"/>
  <c r="J179"/>
  <c r="J195" s="1"/>
  <c r="M180"/>
  <c r="L180" s="1"/>
  <c r="I184"/>
  <c r="S185"/>
  <c r="L179"/>
  <c r="L195" s="1"/>
  <c r="V179"/>
  <c r="V195" s="1"/>
  <c r="P81" i="3"/>
  <c r="O81" s="1"/>
  <c r="N81" s="1"/>
  <c r="M81" s="1"/>
  <c r="L81" s="1"/>
  <c r="K81" s="1"/>
  <c r="J81" s="1"/>
  <c r="I81" s="1"/>
  <c r="G81" s="1"/>
  <c r="I77" i="4" s="1"/>
  <c r="AP26" i="3"/>
  <c r="AJ25"/>
  <c r="AU26"/>
  <c r="K155"/>
  <c r="J155" s="1"/>
  <c r="S156"/>
  <c r="R156" s="1"/>
  <c r="AE25"/>
  <c r="I155"/>
  <c r="AC47"/>
  <c r="AG47"/>
  <c r="AK47"/>
  <c r="AP48"/>
  <c r="AT48"/>
  <c r="AX48"/>
  <c r="Q156"/>
  <c r="I156"/>
  <c r="AH25"/>
  <c r="AM26"/>
  <c r="AW26"/>
  <c r="AF25"/>
  <c r="AK25"/>
  <c r="AD47"/>
  <c r="AH47"/>
  <c r="AM48"/>
  <c r="AQ48"/>
  <c r="AU48"/>
  <c r="AB47"/>
  <c r="AJ47"/>
  <c r="AO48"/>
  <c r="AW48"/>
  <c r="AB25"/>
  <c r="AR26"/>
  <c r="AQ26" s="1"/>
  <c r="Z47"/>
  <c r="AE47"/>
  <c r="AI47"/>
  <c r="AN48"/>
  <c r="AR48"/>
  <c r="AV48"/>
  <c r="Q155"/>
  <c r="P155" s="1"/>
  <c r="O155" s="1"/>
  <c r="N155" s="1"/>
  <c r="M155" s="1"/>
  <c r="AN26"/>
  <c r="AF47"/>
  <c r="V175" i="2"/>
  <c r="P175"/>
  <c r="R179"/>
  <c r="R195" s="1"/>
  <c r="J180"/>
  <c r="AC25" i="3"/>
  <c r="AI25"/>
  <c r="AT26"/>
  <c r="AS26" s="1"/>
  <c r="AX26"/>
  <c r="T26" s="1"/>
  <c r="S26" s="1"/>
  <c r="J175" i="2"/>
  <c r="S180"/>
  <c r="S196" s="1"/>
  <c r="Q47" i="3"/>
  <c r="P47" s="1"/>
  <c r="R180" i="2"/>
  <c r="R196" s="1"/>
  <c r="M185"/>
  <c r="Z25" i="3"/>
  <c r="AV26"/>
  <c r="Q25"/>
  <c r="J78" i="4"/>
  <c r="G209" i="3"/>
  <c r="I78" i="4"/>
  <c r="G105" i="3"/>
  <c r="I175" i="2"/>
  <c r="O175"/>
  <c r="U175"/>
  <c r="L185"/>
  <c r="R185"/>
  <c r="I189"/>
  <c r="I198" s="1"/>
  <c r="R189"/>
  <c r="M190"/>
  <c r="L190" s="1"/>
  <c r="S190"/>
  <c r="G197"/>
  <c r="AA25" i="3"/>
  <c r="AS48"/>
  <c r="O48" s="1"/>
  <c r="N48" s="1"/>
  <c r="M48" s="1"/>
  <c r="I174" i="2"/>
  <c r="M175"/>
  <c r="S175"/>
  <c r="I179"/>
  <c r="I195" s="1"/>
  <c r="O179"/>
  <c r="O195" s="1"/>
  <c r="U179"/>
  <c r="U195" s="1"/>
  <c r="I180"/>
  <c r="P180"/>
  <c r="P196" s="1"/>
  <c r="V180"/>
  <c r="V196" s="1"/>
  <c r="M184"/>
  <c r="J185"/>
  <c r="P185"/>
  <c r="V185"/>
  <c r="O189"/>
  <c r="V189"/>
  <c r="V198" s="1"/>
  <c r="J190"/>
  <c r="R190"/>
  <c r="G194"/>
  <c r="G196"/>
  <c r="AD25" i="3"/>
  <c r="G32"/>
  <c r="L175" i="2"/>
  <c r="M179"/>
  <c r="S179"/>
  <c r="S195" s="1"/>
  <c r="O180"/>
  <c r="L184"/>
  <c r="I185"/>
  <c r="O185"/>
  <c r="M189"/>
  <c r="L189" s="1"/>
  <c r="U189"/>
  <c r="U198" s="1"/>
  <c r="I190"/>
  <c r="P190"/>
  <c r="V190"/>
  <c r="AG25" i="3"/>
  <c r="O190" i="2"/>
  <c r="U190"/>
  <c r="U199" s="1"/>
  <c r="AO26" i="3"/>
  <c r="K26" s="1"/>
  <c r="AA47"/>
  <c r="J47" s="1"/>
  <c r="J25" i="2"/>
  <c r="F24"/>
  <c r="J159" s="1"/>
  <c r="I17"/>
  <c r="G15" i="26" s="1"/>
  <c r="V9" i="2"/>
  <c r="U9"/>
  <c r="S9"/>
  <c r="R9"/>
  <c r="P9"/>
  <c r="O9"/>
  <c r="M9"/>
  <c r="L9"/>
  <c r="J9"/>
  <c r="I9"/>
  <c r="U8"/>
  <c r="R8"/>
  <c r="O8"/>
  <c r="L8"/>
  <c r="I8"/>
  <c r="C5"/>
  <c r="I110" i="4" l="1"/>
  <c r="R69" i="2"/>
  <c r="R124"/>
  <c r="L70"/>
  <c r="L125"/>
  <c r="R70"/>
  <c r="R125"/>
  <c r="O69"/>
  <c r="O124"/>
  <c r="J125"/>
  <c r="J70"/>
  <c r="P125"/>
  <c r="P70"/>
  <c r="V125"/>
  <c r="V70"/>
  <c r="U69"/>
  <c r="U124"/>
  <c r="M70"/>
  <c r="M125"/>
  <c r="S70"/>
  <c r="S125"/>
  <c r="L124"/>
  <c r="L69"/>
  <c r="I125"/>
  <c r="I70"/>
  <c r="O125"/>
  <c r="O70"/>
  <c r="U125"/>
  <c r="U70"/>
  <c r="I69"/>
  <c r="I124"/>
  <c r="J147"/>
  <c r="V171"/>
  <c r="J110" i="4"/>
  <c r="S108" i="2"/>
  <c r="U171"/>
  <c r="M196"/>
  <c r="L196" s="1"/>
  <c r="J196" s="1"/>
  <c r="P195"/>
  <c r="J27"/>
  <c r="J130"/>
  <c r="M34"/>
  <c r="L34" s="1"/>
  <c r="M151"/>
  <c r="M153" s="1"/>
  <c r="M146"/>
  <c r="M132"/>
  <c r="S199"/>
  <c r="R199" s="1"/>
  <c r="P199" s="1"/>
  <c r="L153"/>
  <c r="J127" i="4" s="1"/>
  <c r="J133" s="1"/>
  <c r="J86" i="2"/>
  <c r="I86" s="1"/>
  <c r="S91"/>
  <c r="M107" i="8"/>
  <c r="F52" i="17"/>
  <c r="F178" i="15"/>
  <c r="F167"/>
  <c r="F166"/>
  <c r="F144"/>
  <c r="F42"/>
  <c r="F82"/>
  <c r="F95"/>
  <c r="F74"/>
  <c r="F49"/>
  <c r="F163"/>
  <c r="F161"/>
  <c r="M108" i="4"/>
  <c r="U32" i="2"/>
  <c r="I176"/>
  <c r="I181" s="1"/>
  <c r="S171"/>
  <c r="R171" s="1"/>
  <c r="I159"/>
  <c r="F59" i="17" s="1"/>
  <c r="F129" i="2"/>
  <c r="L48" i="3"/>
  <c r="K48" s="1"/>
  <c r="J48" s="1"/>
  <c r="I48" s="1"/>
  <c r="T47"/>
  <c r="G155"/>
  <c r="J76" i="4" s="1"/>
  <c r="J26" i="3"/>
  <c r="I26" s="1"/>
  <c r="T48"/>
  <c r="G156"/>
  <c r="S47"/>
  <c r="R47" s="1"/>
  <c r="I47"/>
  <c r="T25"/>
  <c r="S25" s="1"/>
  <c r="R25" s="1"/>
  <c r="O47"/>
  <c r="N47" s="1"/>
  <c r="M47" s="1"/>
  <c r="L47" s="1"/>
  <c r="K47" s="1"/>
  <c r="S48"/>
  <c r="R48" s="1"/>
  <c r="Q48" s="1"/>
  <c r="P48" s="1"/>
  <c r="P171" i="2"/>
  <c r="O171" s="1"/>
  <c r="M171" s="1"/>
  <c r="L171" s="1"/>
  <c r="J171" s="1"/>
  <c r="I171" s="1"/>
  <c r="U170" s="1"/>
  <c r="R170" s="1"/>
  <c r="O170" s="1"/>
  <c r="L170" s="1"/>
  <c r="I170" s="1"/>
  <c r="R26" i="3"/>
  <c r="Q26" s="1"/>
  <c r="P26" s="1"/>
  <c r="O26" s="1"/>
  <c r="N26" s="1"/>
  <c r="M26" s="1"/>
  <c r="L26" s="1"/>
  <c r="M195" i="2"/>
  <c r="I196"/>
  <c r="J184"/>
  <c r="J186" s="1"/>
  <c r="L186"/>
  <c r="P189"/>
  <c r="R198"/>
  <c r="P25" i="3"/>
  <c r="O25" s="1"/>
  <c r="N25" s="1"/>
  <c r="M25" s="1"/>
  <c r="L25" s="1"/>
  <c r="K25" s="1"/>
  <c r="J25" s="1"/>
  <c r="I25" s="1"/>
  <c r="E32"/>
  <c r="E31" s="1"/>
  <c r="G66"/>
  <c r="O199" i="2"/>
  <c r="M199" s="1"/>
  <c r="L199" s="1"/>
  <c r="J199" s="1"/>
  <c r="I199" s="1"/>
  <c r="O196"/>
  <c r="G48" i="3" l="1"/>
  <c r="I178" i="2"/>
  <c r="K47" i="8"/>
  <c r="K51" s="1"/>
  <c r="N107"/>
  <c r="J132" i="2"/>
  <c r="J146"/>
  <c r="J148" s="1"/>
  <c r="J34"/>
  <c r="I34" s="1"/>
  <c r="K17" i="8"/>
  <c r="U108" i="2"/>
  <c r="J151"/>
  <c r="J153" s="1"/>
  <c r="J174"/>
  <c r="G157" i="3"/>
  <c r="G26"/>
  <c r="G25"/>
  <c r="I75" i="4" s="1"/>
  <c r="G47" i="3"/>
  <c r="I76" i="4" s="1"/>
  <c r="K76"/>
  <c r="Z76"/>
  <c r="M186" i="2"/>
  <c r="E66" i="3"/>
  <c r="E65" s="1"/>
  <c r="C61" s="1"/>
  <c r="G88"/>
  <c r="I186" i="2"/>
  <c r="J188"/>
  <c r="J191"/>
  <c r="L191"/>
  <c r="L188"/>
  <c r="P198"/>
  <c r="O198" s="1"/>
  <c r="M198" s="1"/>
  <c r="L198" s="1"/>
  <c r="J47" i="8" l="1"/>
  <c r="J51" s="1"/>
  <c r="I153" i="2"/>
  <c r="V108"/>
  <c r="J17" i="8"/>
  <c r="G27" i="3"/>
  <c r="G51"/>
  <c r="G49"/>
  <c r="L76" i="4"/>
  <c r="M76" s="1"/>
  <c r="AA76"/>
  <c r="E88" i="3"/>
  <c r="E87" s="1"/>
  <c r="K83" s="1"/>
  <c r="M197" i="2"/>
  <c r="L197" s="1"/>
  <c r="J197" s="1"/>
  <c r="M191"/>
  <c r="M188"/>
  <c r="I197"/>
  <c r="I191"/>
  <c r="I188"/>
  <c r="I127" i="4" l="1"/>
  <c r="I133" s="1"/>
  <c r="M176" i="2"/>
  <c r="L176" l="1"/>
  <c r="M194"/>
  <c r="M200" s="1"/>
  <c r="M181"/>
  <c r="M178"/>
  <c r="J176" l="1"/>
  <c r="L194"/>
  <c r="L200" s="1"/>
  <c r="L181"/>
  <c r="L178"/>
  <c r="J178" l="1"/>
  <c r="J181"/>
  <c r="J194"/>
  <c r="I194" s="1"/>
  <c r="J200" l="1"/>
  <c r="I200" s="1"/>
  <c r="V199" s="1"/>
  <c r="K78" i="4" l="1"/>
  <c r="L78" s="1"/>
  <c r="M78" s="1"/>
  <c r="AB19" i="6"/>
  <c r="AC19" s="1"/>
  <c r="AD19" s="1"/>
  <c r="I186" i="3"/>
  <c r="J186"/>
  <c r="AB186"/>
  <c r="K186" s="1"/>
  <c r="AC186"/>
  <c r="L186" s="1"/>
  <c r="AD186"/>
  <c r="M186" s="1"/>
  <c r="AE186"/>
  <c r="N186"/>
  <c r="AF186"/>
  <c r="O186" s="1"/>
  <c r="AG186"/>
  <c r="P186" s="1"/>
  <c r="AH186"/>
  <c r="Q186" s="1"/>
  <c r="AI186"/>
  <c r="R186" s="1"/>
  <c r="AJ186"/>
  <c r="S186" s="1"/>
  <c r="AK186"/>
  <c r="T186" s="1"/>
  <c r="AX82"/>
  <c r="T82" s="1"/>
  <c r="AW82"/>
  <c r="S82" s="1"/>
  <c r="AV82"/>
  <c r="R82" s="1"/>
  <c r="AU82"/>
  <c r="Q82" s="1"/>
  <c r="AT82"/>
  <c r="P82" s="1"/>
  <c r="O82"/>
  <c r="N82"/>
  <c r="M82"/>
  <c r="L82"/>
  <c r="K82"/>
  <c r="J82"/>
  <c r="I82"/>
  <c r="AK134"/>
  <c r="T134" s="1"/>
  <c r="AJ134"/>
  <c r="S134" s="1"/>
  <c r="AI134"/>
  <c r="R134" s="1"/>
  <c r="Q134"/>
  <c r="P134"/>
  <c r="O134"/>
  <c r="N134"/>
  <c r="M134"/>
  <c r="L134"/>
  <c r="K134"/>
  <c r="J134"/>
  <c r="I134"/>
  <c r="AX187"/>
  <c r="T187" s="1"/>
  <c r="AW187"/>
  <c r="S187" s="1"/>
  <c r="AV187"/>
  <c r="R187" s="1"/>
  <c r="AU187"/>
  <c r="Q187" s="1"/>
  <c r="AT187"/>
  <c r="P187" s="1"/>
  <c r="AS187"/>
  <c r="O187" s="1"/>
  <c r="AR187"/>
  <c r="N187" s="1"/>
  <c r="AQ187"/>
  <c r="M187" s="1"/>
  <c r="AP187"/>
  <c r="L187" s="1"/>
  <c r="AO187"/>
  <c r="K187" s="1"/>
  <c r="J187"/>
  <c r="I187"/>
  <c r="AX135"/>
  <c r="T135" s="1"/>
  <c r="AW135"/>
  <c r="S135" s="1"/>
  <c r="R135"/>
  <c r="Q135"/>
  <c r="P135"/>
  <c r="O135"/>
  <c r="N135"/>
  <c r="M135"/>
  <c r="L135"/>
  <c r="K135"/>
  <c r="J135"/>
  <c r="I135"/>
  <c r="G107"/>
  <c r="AC360" i="6"/>
  <c r="AD360" s="1"/>
  <c r="AC366"/>
  <c r="AD366" s="1"/>
  <c r="K367"/>
  <c r="AC368"/>
  <c r="AD368" s="1"/>
  <c r="AC370"/>
  <c r="AD370" s="1"/>
  <c r="K371"/>
  <c r="AC373"/>
  <c r="AD373" s="1"/>
  <c r="AC374"/>
  <c r="AD374" s="1"/>
  <c r="AC376"/>
  <c r="AD376" s="1"/>
  <c r="K379"/>
  <c r="AC381"/>
  <c r="K381"/>
  <c r="AC382"/>
  <c r="AD382" s="1"/>
  <c r="K387"/>
  <c r="AC388"/>
  <c r="AD388" s="1"/>
  <c r="AC390"/>
  <c r="AD390" s="1"/>
  <c r="K395"/>
  <c r="K401"/>
  <c r="AC402"/>
  <c r="AD402" s="1"/>
  <c r="AC404"/>
  <c r="AD404" s="1"/>
  <c r="AC406"/>
  <c r="AD406" s="1"/>
  <c r="K408"/>
  <c r="K410"/>
  <c r="AC412"/>
  <c r="AD412" s="1"/>
  <c r="AC413"/>
  <c r="AD413" s="1"/>
  <c r="K415"/>
  <c r="K417"/>
  <c r="K419"/>
  <c r="K420"/>
  <c r="K423"/>
  <c r="K426"/>
  <c r="K431"/>
  <c r="K432"/>
  <c r="AC437"/>
  <c r="AD437" s="1"/>
  <c r="K443"/>
  <c r="AC445"/>
  <c r="AD445" s="1"/>
  <c r="K446"/>
  <c r="K447"/>
  <c r="K450"/>
  <c r="K84" i="4"/>
  <c r="L84" s="1"/>
  <c r="AC241" i="6"/>
  <c r="AD241" s="1"/>
  <c r="AC243"/>
  <c r="AD243" s="1"/>
  <c r="AC247"/>
  <c r="AD247" s="1"/>
  <c r="AC249"/>
  <c r="AD249" s="1"/>
  <c r="AC251"/>
  <c r="AD251" s="1"/>
  <c r="AC255"/>
  <c r="AD255" s="1"/>
  <c r="AC257"/>
  <c r="AD257" s="1"/>
  <c r="AC259"/>
  <c r="AD259" s="1"/>
  <c r="AC263"/>
  <c r="AD263" s="1"/>
  <c r="AC265"/>
  <c r="AD265" s="1"/>
  <c r="AC267"/>
  <c r="AD267" s="1"/>
  <c r="AC271"/>
  <c r="AD271" s="1"/>
  <c r="AC273"/>
  <c r="AD273" s="1"/>
  <c r="AC275"/>
  <c r="AD275" s="1"/>
  <c r="AC279"/>
  <c r="AD279" s="1"/>
  <c r="AC281"/>
  <c r="AD281" s="1"/>
  <c r="AB282"/>
  <c r="AC282" s="1"/>
  <c r="AD282" s="1"/>
  <c r="AC283"/>
  <c r="AD283" s="1"/>
  <c r="AC287"/>
  <c r="AD287" s="1"/>
  <c r="AC289"/>
  <c r="AD289" s="1"/>
  <c r="AC291"/>
  <c r="AD291" s="1"/>
  <c r="AC295"/>
  <c r="AD295" s="1"/>
  <c r="AC297"/>
  <c r="AD297" s="1"/>
  <c r="AC299"/>
  <c r="AD299" s="1"/>
  <c r="AC303"/>
  <c r="AD303" s="1"/>
  <c r="AC305"/>
  <c r="AD305" s="1"/>
  <c r="AC307"/>
  <c r="AD307" s="1"/>
  <c r="AC311"/>
  <c r="AD311" s="1"/>
  <c r="AC313"/>
  <c r="AD313" s="1"/>
  <c r="AC315"/>
  <c r="AD315" s="1"/>
  <c r="AC319"/>
  <c r="AD319" s="1"/>
  <c r="AC321"/>
  <c r="AD321" s="1"/>
  <c r="AC323"/>
  <c r="AD323" s="1"/>
  <c r="AC327"/>
  <c r="AD327" s="1"/>
  <c r="AC329"/>
  <c r="AD329" s="1"/>
  <c r="AC331"/>
  <c r="AD331" s="1"/>
  <c r="AC335"/>
  <c r="AD335" s="1"/>
  <c r="AC337"/>
  <c r="AD337" s="1"/>
  <c r="AC339"/>
  <c r="AD339" s="1"/>
  <c r="AC129"/>
  <c r="AD129" s="1"/>
  <c r="AC130"/>
  <c r="AD130" s="1"/>
  <c r="AC133"/>
  <c r="AD133" s="1"/>
  <c r="AC134"/>
  <c r="AD134" s="1"/>
  <c r="AC136"/>
  <c r="AD136" s="1"/>
  <c r="AC137"/>
  <c r="AD137" s="1"/>
  <c r="AC138"/>
  <c r="AD138" s="1"/>
  <c r="AC140"/>
  <c r="AD140" s="1"/>
  <c r="AC141"/>
  <c r="AD141" s="1"/>
  <c r="AC144"/>
  <c r="AD144" s="1"/>
  <c r="AC145"/>
  <c r="AD145" s="1"/>
  <c r="AC146"/>
  <c r="AD146" s="1"/>
  <c r="AC149"/>
  <c r="AD149" s="1"/>
  <c r="AC150"/>
  <c r="AD150" s="1"/>
  <c r="AC152"/>
  <c r="AD152" s="1"/>
  <c r="AC153"/>
  <c r="AD153" s="1"/>
  <c r="AC154"/>
  <c r="AD154" s="1"/>
  <c r="AC156"/>
  <c r="AD156" s="1"/>
  <c r="AC157"/>
  <c r="AD157" s="1"/>
  <c r="AC161"/>
  <c r="AD161" s="1"/>
  <c r="AC162"/>
  <c r="AD162" s="1"/>
  <c r="AC165"/>
  <c r="AD165" s="1"/>
  <c r="AC166"/>
  <c r="AD166" s="1"/>
  <c r="AC168"/>
  <c r="AD168" s="1"/>
  <c r="AC169"/>
  <c r="AD169" s="1"/>
  <c r="AC170"/>
  <c r="AD170" s="1"/>
  <c r="AC172"/>
  <c r="AD172" s="1"/>
  <c r="AC173"/>
  <c r="AD173" s="1"/>
  <c r="AC176"/>
  <c r="AD176" s="1"/>
  <c r="AC177"/>
  <c r="AD177" s="1"/>
  <c r="AC178"/>
  <c r="AD178" s="1"/>
  <c r="AC181"/>
  <c r="AD181" s="1"/>
  <c r="AC182"/>
  <c r="AD182" s="1"/>
  <c r="AC184"/>
  <c r="AD184" s="1"/>
  <c r="AC185"/>
  <c r="AD185" s="1"/>
  <c r="AC186"/>
  <c r="AD186" s="1"/>
  <c r="AC188"/>
  <c r="AD188" s="1"/>
  <c r="AC189"/>
  <c r="AD189" s="1"/>
  <c r="AC193"/>
  <c r="AD193" s="1"/>
  <c r="AC194"/>
  <c r="AD194" s="1"/>
  <c r="AC197"/>
  <c r="AD197" s="1"/>
  <c r="AC198"/>
  <c r="AD198" s="1"/>
  <c r="AC200"/>
  <c r="AD200" s="1"/>
  <c r="AC201"/>
  <c r="AD201" s="1"/>
  <c r="AC202"/>
  <c r="AD202" s="1"/>
  <c r="AC204"/>
  <c r="AD204" s="1"/>
  <c r="AC205"/>
  <c r="AD205" s="1"/>
  <c r="AC208"/>
  <c r="AD208" s="1"/>
  <c r="AC209"/>
  <c r="AD209" s="1"/>
  <c r="AC210"/>
  <c r="AD210" s="1"/>
  <c r="AC213"/>
  <c r="AD213" s="1"/>
  <c r="AC214"/>
  <c r="AD214" s="1"/>
  <c r="AC216"/>
  <c r="AD216" s="1"/>
  <c r="AC217"/>
  <c r="AD217" s="1"/>
  <c r="AC218"/>
  <c r="AD218" s="1"/>
  <c r="AC220"/>
  <c r="AD220" s="1"/>
  <c r="AC221"/>
  <c r="AD221" s="1"/>
  <c r="AC225"/>
  <c r="AD225" s="1"/>
  <c r="AC226"/>
  <c r="AD226" s="1"/>
  <c r="L100" i="5"/>
  <c r="L127" s="1"/>
  <c r="K100"/>
  <c r="K127" s="1"/>
  <c r="L74"/>
  <c r="L101" s="1"/>
  <c r="L128" s="1"/>
  <c r="K74"/>
  <c r="K101" s="1"/>
  <c r="K128" s="1"/>
  <c r="L129"/>
  <c r="M129" s="1"/>
  <c r="L76"/>
  <c r="L103"/>
  <c r="L130" s="1"/>
  <c r="K130"/>
  <c r="L80"/>
  <c r="L107" s="1"/>
  <c r="K107"/>
  <c r="K134" s="1"/>
  <c r="L108"/>
  <c r="L135" s="1"/>
  <c r="M135" s="1"/>
  <c r="L82"/>
  <c r="L109" s="1"/>
  <c r="L136" s="1"/>
  <c r="K82"/>
  <c r="K109" s="1"/>
  <c r="L84"/>
  <c r="L111"/>
  <c r="L138" s="1"/>
  <c r="M138" s="1"/>
  <c r="U558" i="6"/>
  <c r="V558" s="1"/>
  <c r="L334"/>
  <c r="L446"/>
  <c r="L558" s="1"/>
  <c r="S558" s="1"/>
  <c r="T558" s="1"/>
  <c r="U551"/>
  <c r="V551" s="1"/>
  <c r="T551"/>
  <c r="U553"/>
  <c r="V553"/>
  <c r="T553"/>
  <c r="U482"/>
  <c r="V482" s="1"/>
  <c r="L482"/>
  <c r="S482" s="1"/>
  <c r="T482" s="1"/>
  <c r="U497"/>
  <c r="V497" s="1"/>
  <c r="S497"/>
  <c r="T497" s="1"/>
  <c r="U511"/>
  <c r="V511" s="1"/>
  <c r="R511"/>
  <c r="S511"/>
  <c r="U490"/>
  <c r="V490" s="1"/>
  <c r="T490"/>
  <c r="U486"/>
  <c r="V486" s="1"/>
  <c r="S486"/>
  <c r="T486" s="1"/>
  <c r="U554"/>
  <c r="V554" s="1"/>
  <c r="S554"/>
  <c r="T554" s="1"/>
  <c r="U519"/>
  <c r="V519" s="1"/>
  <c r="S519"/>
  <c r="T519" s="1"/>
  <c r="U485"/>
  <c r="V485"/>
  <c r="U561"/>
  <c r="V561" s="1"/>
  <c r="T561"/>
  <c r="U523"/>
  <c r="V523" s="1"/>
  <c r="T523"/>
  <c r="U495"/>
  <c r="V495" s="1"/>
  <c r="T495"/>
  <c r="U465"/>
  <c r="V465" s="1"/>
  <c r="U548"/>
  <c r="V548" s="1"/>
  <c r="T548"/>
  <c r="U491"/>
  <c r="V491" s="1"/>
  <c r="L267"/>
  <c r="L379" s="1"/>
  <c r="U496"/>
  <c r="V496" s="1"/>
  <c r="T496"/>
  <c r="U484"/>
  <c r="V484"/>
  <c r="T484"/>
  <c r="U508"/>
  <c r="V508" s="1"/>
  <c r="L508"/>
  <c r="S508"/>
  <c r="T508" s="1"/>
  <c r="U529"/>
  <c r="V529" s="1"/>
  <c r="L417"/>
  <c r="L529" s="1"/>
  <c r="U515"/>
  <c r="V515" s="1"/>
  <c r="L291"/>
  <c r="L403"/>
  <c r="L515" s="1"/>
  <c r="U489"/>
  <c r="V489" s="1"/>
  <c r="T489"/>
  <c r="U503"/>
  <c r="V503" s="1"/>
  <c r="S503"/>
  <c r="T503" s="1"/>
  <c r="U535"/>
  <c r="V535" s="1"/>
  <c r="L311"/>
  <c r="L423" s="1"/>
  <c r="U520"/>
  <c r="V520" s="1"/>
  <c r="L408"/>
  <c r="L520" s="1"/>
  <c r="U471"/>
  <c r="V471" s="1"/>
  <c r="S471"/>
  <c r="T471" s="1"/>
  <c r="U505"/>
  <c r="V505" s="1"/>
  <c r="T505"/>
  <c r="U545"/>
  <c r="V545" s="1"/>
  <c r="L545"/>
  <c r="S545" s="1"/>
  <c r="T545" s="1"/>
  <c r="U521"/>
  <c r="V521"/>
  <c r="S521"/>
  <c r="T521" s="1"/>
  <c r="U473"/>
  <c r="V473" s="1"/>
  <c r="S473"/>
  <c r="T473" s="1"/>
  <c r="U507"/>
  <c r="V507" s="1"/>
  <c r="L283"/>
  <c r="L395" s="1"/>
  <c r="L507" s="1"/>
  <c r="S507" s="1"/>
  <c r="T507" s="1"/>
  <c r="U549"/>
  <c r="V549" s="1"/>
  <c r="L549"/>
  <c r="S549" s="1"/>
  <c r="T549" s="1"/>
  <c r="U514"/>
  <c r="V514" s="1"/>
  <c r="T514"/>
  <c r="U467"/>
  <c r="V467" s="1"/>
  <c r="L355"/>
  <c r="L467" s="1"/>
  <c r="U542"/>
  <c r="V542"/>
  <c r="L542"/>
  <c r="S542" s="1"/>
  <c r="T542" s="1"/>
  <c r="U539"/>
  <c r="V539" s="1"/>
  <c r="T539"/>
  <c r="U527"/>
  <c r="V527" s="1"/>
  <c r="L303"/>
  <c r="L415" s="1"/>
  <c r="U476"/>
  <c r="V476" s="1"/>
  <c r="L476"/>
  <c r="S476" s="1"/>
  <c r="T476" s="1"/>
  <c r="U556"/>
  <c r="V556"/>
  <c r="T556"/>
  <c r="U510"/>
  <c r="V510" s="1"/>
  <c r="L510"/>
  <c r="S510" s="1"/>
  <c r="T510" s="1"/>
  <c r="U499"/>
  <c r="V499" s="1"/>
  <c r="R499"/>
  <c r="L275"/>
  <c r="L387" s="1"/>
  <c r="U531"/>
  <c r="V531" s="1"/>
  <c r="L419"/>
  <c r="L531" s="1"/>
  <c r="U475"/>
  <c r="V475" s="1"/>
  <c r="S475"/>
  <c r="T475" s="1"/>
  <c r="U528"/>
  <c r="V528"/>
  <c r="T528"/>
  <c r="U513"/>
  <c r="V513" s="1"/>
  <c r="L289"/>
  <c r="L401"/>
  <c r="L513" s="1"/>
  <c r="U543"/>
  <c r="V543"/>
  <c r="L319"/>
  <c r="L431" s="1"/>
  <c r="U481"/>
  <c r="V481" s="1"/>
  <c r="T481"/>
  <c r="S128"/>
  <c r="R129"/>
  <c r="S129"/>
  <c r="R130"/>
  <c r="S130"/>
  <c r="T131"/>
  <c r="R133"/>
  <c r="S133"/>
  <c r="R134"/>
  <c r="S134"/>
  <c r="R135"/>
  <c r="S135"/>
  <c r="T137"/>
  <c r="T139"/>
  <c r="R140"/>
  <c r="S140"/>
  <c r="T143"/>
  <c r="T145"/>
  <c r="R146"/>
  <c r="S146"/>
  <c r="R148"/>
  <c r="S148"/>
  <c r="R150"/>
  <c r="S150"/>
  <c r="T151"/>
  <c r="T158"/>
  <c r="T159"/>
  <c r="T162"/>
  <c r="R164"/>
  <c r="S164"/>
  <c r="R170"/>
  <c r="S170"/>
  <c r="T171"/>
  <c r="R174"/>
  <c r="S174"/>
  <c r="T175"/>
  <c r="R177"/>
  <c r="S177"/>
  <c r="R180"/>
  <c r="S180"/>
  <c r="R185"/>
  <c r="S185"/>
  <c r="R187"/>
  <c r="S187"/>
  <c r="R189"/>
  <c r="S189"/>
  <c r="T190"/>
  <c r="T191"/>
  <c r="R192"/>
  <c r="S192"/>
  <c r="R193"/>
  <c r="S193"/>
  <c r="R196"/>
  <c r="S196"/>
  <c r="R197"/>
  <c r="S197"/>
  <c r="R200"/>
  <c r="S200"/>
  <c r="R204"/>
  <c r="S204"/>
  <c r="R205"/>
  <c r="S205"/>
  <c r="T207"/>
  <c r="R208"/>
  <c r="S208"/>
  <c r="R209"/>
  <c r="S209"/>
  <c r="T209" s="1"/>
  <c r="R213"/>
  <c r="S213"/>
  <c r="T214"/>
  <c r="R216"/>
  <c r="S216"/>
  <c r="T217"/>
  <c r="T221"/>
  <c r="R222"/>
  <c r="S222"/>
  <c r="R225"/>
  <c r="S225"/>
  <c r="T227"/>
  <c r="U537"/>
  <c r="V537" s="1"/>
  <c r="S537"/>
  <c r="T537" s="1"/>
  <c r="U524"/>
  <c r="V524" s="1"/>
  <c r="T524"/>
  <c r="U522"/>
  <c r="V522"/>
  <c r="L410"/>
  <c r="L522" s="1"/>
  <c r="U474"/>
  <c r="V474" s="1"/>
  <c r="L362"/>
  <c r="L474" s="1"/>
  <c r="U559"/>
  <c r="V559" s="1"/>
  <c r="L447"/>
  <c r="L559" s="1"/>
  <c r="U552"/>
  <c r="V552" s="1"/>
  <c r="S552"/>
  <c r="T552" s="1"/>
  <c r="U555"/>
  <c r="V555" s="1"/>
  <c r="L331"/>
  <c r="L443"/>
  <c r="L555" s="1"/>
  <c r="U563"/>
  <c r="V563" s="1"/>
  <c r="U547"/>
  <c r="V547" s="1"/>
  <c r="T547"/>
  <c r="U560"/>
  <c r="V560" s="1"/>
  <c r="T560"/>
  <c r="U466"/>
  <c r="V466" s="1"/>
  <c r="T466"/>
  <c r="U240"/>
  <c r="V240" s="1"/>
  <c r="U242"/>
  <c r="V242" s="1"/>
  <c r="U243"/>
  <c r="V243" s="1"/>
  <c r="U245"/>
  <c r="V245" s="1"/>
  <c r="U246"/>
  <c r="V246" s="1"/>
  <c r="U247"/>
  <c r="V247"/>
  <c r="U249"/>
  <c r="V249" s="1"/>
  <c r="U250"/>
  <c r="V250" s="1"/>
  <c r="U251"/>
  <c r="V251" s="1"/>
  <c r="U254"/>
  <c r="V254" s="1"/>
  <c r="U255"/>
  <c r="V255" s="1"/>
  <c r="U258"/>
  <c r="V258" s="1"/>
  <c r="U259"/>
  <c r="V259" s="1"/>
  <c r="U262"/>
  <c r="V262"/>
  <c r="U266"/>
  <c r="V266" s="1"/>
  <c r="U270"/>
  <c r="V270" s="1"/>
  <c r="U271"/>
  <c r="V271" s="1"/>
  <c r="U273"/>
  <c r="V273" s="1"/>
  <c r="U275"/>
  <c r="V275" s="1"/>
  <c r="U277"/>
  <c r="V277" s="1"/>
  <c r="U278"/>
  <c r="V278" s="1"/>
  <c r="U279"/>
  <c r="V279" s="1"/>
  <c r="U282"/>
  <c r="V282" s="1"/>
  <c r="U283"/>
  <c r="V283" s="1"/>
  <c r="U286"/>
  <c r="V286" s="1"/>
  <c r="U287"/>
  <c r="V287" s="1"/>
  <c r="U289"/>
  <c r="V289" s="1"/>
  <c r="U290"/>
  <c r="V290" s="1"/>
  <c r="U291"/>
  <c r="V291" s="1"/>
  <c r="U298"/>
  <c r="V298" s="1"/>
  <c r="U301"/>
  <c r="V301" s="1"/>
  <c r="U302"/>
  <c r="V302" s="1"/>
  <c r="U303"/>
  <c r="V303" s="1"/>
  <c r="U307"/>
  <c r="V307" s="1"/>
  <c r="U310"/>
  <c r="V310" s="1"/>
  <c r="U311"/>
  <c r="V311" s="1"/>
  <c r="U315"/>
  <c r="V315" s="1"/>
  <c r="U319"/>
  <c r="V319" s="1"/>
  <c r="U322"/>
  <c r="V322" s="1"/>
  <c r="U323"/>
  <c r="V323" s="1"/>
  <c r="U325"/>
  <c r="V325" s="1"/>
  <c r="U326"/>
  <c r="V326" s="1"/>
  <c r="U329"/>
  <c r="V329" s="1"/>
  <c r="U330"/>
  <c r="V330"/>
  <c r="U333"/>
  <c r="V333" s="1"/>
  <c r="U335"/>
  <c r="V335" s="1"/>
  <c r="U337"/>
  <c r="V337" s="1"/>
  <c r="U339"/>
  <c r="V339" s="1"/>
  <c r="U550"/>
  <c r="V550" s="1"/>
  <c r="S550"/>
  <c r="T550" s="1"/>
  <c r="U494"/>
  <c r="V494"/>
  <c r="S494"/>
  <c r="T494" s="1"/>
  <c r="U479"/>
  <c r="V479"/>
  <c r="L255"/>
  <c r="U126" i="5"/>
  <c r="V126" s="1"/>
  <c r="R126"/>
  <c r="S126"/>
  <c r="R240" i="6"/>
  <c r="S240"/>
  <c r="R255"/>
  <c r="R267"/>
  <c r="S267"/>
  <c r="R275"/>
  <c r="S275"/>
  <c r="R283"/>
  <c r="S283"/>
  <c r="R287"/>
  <c r="S287"/>
  <c r="R289"/>
  <c r="S289"/>
  <c r="T290"/>
  <c r="R291"/>
  <c r="S291"/>
  <c r="R293"/>
  <c r="S293"/>
  <c r="R297"/>
  <c r="S297"/>
  <c r="R303"/>
  <c r="S303"/>
  <c r="R307"/>
  <c r="S307"/>
  <c r="R308"/>
  <c r="L308"/>
  <c r="S308" s="1"/>
  <c r="R311"/>
  <c r="S311"/>
  <c r="R312"/>
  <c r="L312"/>
  <c r="S312" s="1"/>
  <c r="R316"/>
  <c r="L316"/>
  <c r="S316" s="1"/>
  <c r="R319"/>
  <c r="S319"/>
  <c r="R320"/>
  <c r="L320"/>
  <c r="S320" s="1"/>
  <c r="R331"/>
  <c r="S331"/>
  <c r="R334"/>
  <c r="S334"/>
  <c r="R338"/>
  <c r="L338"/>
  <c r="S338" s="1"/>
  <c r="T339"/>
  <c r="AA484"/>
  <c r="AB484" s="1"/>
  <c r="AC484" s="1"/>
  <c r="AD484" s="1"/>
  <c r="U133" i="5"/>
  <c r="V133" s="1"/>
  <c r="R133"/>
  <c r="S133"/>
  <c r="U132"/>
  <c r="V132" s="1"/>
  <c r="R132"/>
  <c r="S132"/>
  <c r="AA552" i="6"/>
  <c r="AB552" s="1"/>
  <c r="AC552" s="1"/>
  <c r="AD552" s="1"/>
  <c r="U139" i="5"/>
  <c r="V139" s="1"/>
  <c r="R139"/>
  <c r="S139"/>
  <c r="R371" i="6"/>
  <c r="L371"/>
  <c r="S371" s="1"/>
  <c r="K559"/>
  <c r="AA559"/>
  <c r="AB559" s="1"/>
  <c r="AC559" s="1"/>
  <c r="AD559" s="1"/>
  <c r="K493"/>
  <c r="Z493"/>
  <c r="AA493" s="1"/>
  <c r="AB493" s="1"/>
  <c r="AC493" s="1"/>
  <c r="U493"/>
  <c r="V493" s="1"/>
  <c r="R125" i="5"/>
  <c r="S125"/>
  <c r="R127"/>
  <c r="S127"/>
  <c r="R128"/>
  <c r="S128"/>
  <c r="R129"/>
  <c r="S129"/>
  <c r="R130"/>
  <c r="R131"/>
  <c r="S131"/>
  <c r="R134"/>
  <c r="R135"/>
  <c r="S135"/>
  <c r="R136"/>
  <c r="S136"/>
  <c r="R137"/>
  <c r="T137" s="1"/>
  <c r="S137"/>
  <c r="R138"/>
  <c r="T138" s="1"/>
  <c r="S138"/>
  <c r="S464" i="6"/>
  <c r="T464" s="1"/>
  <c r="T468"/>
  <c r="S470"/>
  <c r="T470" s="1"/>
  <c r="T472"/>
  <c r="T477"/>
  <c r="T478"/>
  <c r="T480"/>
  <c r="L483"/>
  <c r="S483" s="1"/>
  <c r="T483" s="1"/>
  <c r="T487"/>
  <c r="L488"/>
  <c r="S488" s="1"/>
  <c r="T488" s="1"/>
  <c r="R493"/>
  <c r="L381"/>
  <c r="L493" s="1"/>
  <c r="S498"/>
  <c r="T498" s="1"/>
  <c r="T500"/>
  <c r="T501"/>
  <c r="L502"/>
  <c r="S502" s="1"/>
  <c r="T502" s="1"/>
  <c r="T504"/>
  <c r="T506"/>
  <c r="S512"/>
  <c r="T512" s="1"/>
  <c r="S516"/>
  <c r="T516" s="1"/>
  <c r="S517"/>
  <c r="T517" s="1"/>
  <c r="T518"/>
  <c r="T525"/>
  <c r="L526"/>
  <c r="S526" s="1"/>
  <c r="T526" s="1"/>
  <c r="T530"/>
  <c r="L420"/>
  <c r="L532" s="1"/>
  <c r="L533"/>
  <c r="S533" s="1"/>
  <c r="T533" s="1"/>
  <c r="L534"/>
  <c r="S534" s="1"/>
  <c r="T534" s="1"/>
  <c r="R536"/>
  <c r="L424"/>
  <c r="L536" s="1"/>
  <c r="L426"/>
  <c r="L538" s="1"/>
  <c r="L428"/>
  <c r="L540" s="1"/>
  <c r="S541"/>
  <c r="T541" s="1"/>
  <c r="L432"/>
  <c r="L544" s="1"/>
  <c r="T546"/>
  <c r="L557"/>
  <c r="S557" s="1"/>
  <c r="T557" s="1"/>
  <c r="L450"/>
  <c r="L562" s="1"/>
  <c r="R264" i="7"/>
  <c r="S264"/>
  <c r="T264" s="1"/>
  <c r="R265"/>
  <c r="S265"/>
  <c r="R266"/>
  <c r="S266"/>
  <c r="R267"/>
  <c r="S267"/>
  <c r="R268"/>
  <c r="S268"/>
  <c r="R269"/>
  <c r="S269"/>
  <c r="S270"/>
  <c r="T270" s="1"/>
  <c r="R271"/>
  <c r="S271"/>
  <c r="R272"/>
  <c r="S272"/>
  <c r="R273"/>
  <c r="S273"/>
  <c r="R274"/>
  <c r="S274"/>
  <c r="S275"/>
  <c r="T275" s="1"/>
  <c r="R276"/>
  <c r="S276"/>
  <c r="R277"/>
  <c r="S277"/>
  <c r="S278"/>
  <c r="T278" s="1"/>
  <c r="S279"/>
  <c r="T279" s="1"/>
  <c r="R280"/>
  <c r="S280"/>
  <c r="R281"/>
  <c r="S281"/>
  <c r="R282"/>
  <c r="S282"/>
  <c r="S283"/>
  <c r="T283" s="1"/>
  <c r="S284"/>
  <c r="T284" s="1"/>
  <c r="R285"/>
  <c r="S285"/>
  <c r="R286"/>
  <c r="S286"/>
  <c r="T286" s="1"/>
  <c r="R287"/>
  <c r="S287"/>
  <c r="R288"/>
  <c r="S288"/>
  <c r="R289"/>
  <c r="S289"/>
  <c r="R290"/>
  <c r="S290"/>
  <c r="R291"/>
  <c r="T291" s="1"/>
  <c r="S291"/>
  <c r="R292"/>
  <c r="S292"/>
  <c r="R293"/>
  <c r="S293"/>
  <c r="S294"/>
  <c r="T294" s="1"/>
  <c r="S295"/>
  <c r="T295" s="1"/>
  <c r="R296"/>
  <c r="S296"/>
  <c r="E297"/>
  <c r="P297" s="1"/>
  <c r="S297"/>
  <c r="R298"/>
  <c r="S298"/>
  <c r="S299"/>
  <c r="T299" s="1"/>
  <c r="S300"/>
  <c r="T300" s="1"/>
  <c r="R301"/>
  <c r="T301" s="1"/>
  <c r="S301"/>
  <c r="T302"/>
  <c r="R303"/>
  <c r="S303"/>
  <c r="S304"/>
  <c r="T304" s="1"/>
  <c r="R305"/>
  <c r="S305"/>
  <c r="S306"/>
  <c r="T306" s="1"/>
  <c r="R308"/>
  <c r="S308"/>
  <c r="R309"/>
  <c r="S309"/>
  <c r="R310"/>
  <c r="S310"/>
  <c r="S311"/>
  <c r="T311" s="1"/>
  <c r="S312"/>
  <c r="T312" s="1"/>
  <c r="R313"/>
  <c r="S313"/>
  <c r="R98" i="5"/>
  <c r="S98"/>
  <c r="R99"/>
  <c r="S99"/>
  <c r="R100"/>
  <c r="S100"/>
  <c r="R101"/>
  <c r="S101"/>
  <c r="R102"/>
  <c r="S102"/>
  <c r="R103"/>
  <c r="S103"/>
  <c r="R104"/>
  <c r="S104"/>
  <c r="R105"/>
  <c r="S105"/>
  <c r="R106"/>
  <c r="S106"/>
  <c r="R107"/>
  <c r="R108"/>
  <c r="T108" s="1"/>
  <c r="S108"/>
  <c r="R109"/>
  <c r="S109"/>
  <c r="R110"/>
  <c r="S110"/>
  <c r="R111"/>
  <c r="S111"/>
  <c r="R112"/>
  <c r="S112"/>
  <c r="R352" i="6"/>
  <c r="S352"/>
  <c r="R355"/>
  <c r="S355"/>
  <c r="T359"/>
  <c r="R362"/>
  <c r="S362"/>
  <c r="R367"/>
  <c r="R379"/>
  <c r="R381"/>
  <c r="S381"/>
  <c r="R386"/>
  <c r="S386"/>
  <c r="R387"/>
  <c r="T391"/>
  <c r="R395"/>
  <c r="S395"/>
  <c r="T399"/>
  <c r="R401"/>
  <c r="S401"/>
  <c r="R403"/>
  <c r="S403"/>
  <c r="R404"/>
  <c r="S404"/>
  <c r="S408"/>
  <c r="R410"/>
  <c r="S410"/>
  <c r="T414"/>
  <c r="S417"/>
  <c r="R419"/>
  <c r="S419"/>
  <c r="R420"/>
  <c r="S420"/>
  <c r="R423"/>
  <c r="S424"/>
  <c r="T424" s="1"/>
  <c r="R426"/>
  <c r="S426"/>
  <c r="R428"/>
  <c r="S428"/>
  <c r="R431"/>
  <c r="R432"/>
  <c r="S432"/>
  <c r="T442"/>
  <c r="R443"/>
  <c r="S443"/>
  <c r="R446"/>
  <c r="S446"/>
  <c r="R447"/>
  <c r="S447"/>
  <c r="R450"/>
  <c r="S450"/>
  <c r="T451"/>
  <c r="S203" i="7"/>
  <c r="T203" s="1"/>
  <c r="R204"/>
  <c r="S204"/>
  <c r="R205"/>
  <c r="S205"/>
  <c r="S206"/>
  <c r="T206" s="1"/>
  <c r="R207"/>
  <c r="S207"/>
  <c r="R208"/>
  <c r="S208"/>
  <c r="R209"/>
  <c r="S209"/>
  <c r="R210"/>
  <c r="S210"/>
  <c r="R211"/>
  <c r="T211" s="1"/>
  <c r="S211"/>
  <c r="R212"/>
  <c r="S212"/>
  <c r="T212" s="1"/>
  <c r="R213"/>
  <c r="T213" s="1"/>
  <c r="S213"/>
  <c r="R214"/>
  <c r="S214"/>
  <c r="R215"/>
  <c r="T215" s="1"/>
  <c r="S215"/>
  <c r="S216"/>
  <c r="T216" s="1"/>
  <c r="R217"/>
  <c r="S217"/>
  <c r="R219"/>
  <c r="S219"/>
  <c r="R220"/>
  <c r="S220"/>
  <c r="S221"/>
  <c r="T221" s="1"/>
  <c r="R222"/>
  <c r="S222"/>
  <c r="R223"/>
  <c r="T223" s="1"/>
  <c r="S223"/>
  <c r="R224"/>
  <c r="S224"/>
  <c r="R225"/>
  <c r="T225" s="1"/>
  <c r="S225"/>
  <c r="S226"/>
  <c r="T226" s="1"/>
  <c r="R227"/>
  <c r="T227" s="1"/>
  <c r="S227"/>
  <c r="S228"/>
  <c r="T228"/>
  <c r="R229"/>
  <c r="T229" s="1"/>
  <c r="S229"/>
  <c r="R230"/>
  <c r="S230"/>
  <c r="R231"/>
  <c r="S231"/>
  <c r="S233"/>
  <c r="T233"/>
  <c r="R234"/>
  <c r="T234" s="1"/>
  <c r="S234"/>
  <c r="R236"/>
  <c r="S236"/>
  <c r="S238"/>
  <c r="T238" s="1"/>
  <c r="R239"/>
  <c r="S239"/>
  <c r="T240"/>
  <c r="R241"/>
  <c r="S241"/>
  <c r="R243"/>
  <c r="S243"/>
  <c r="S244"/>
  <c r="T244" s="1"/>
  <c r="R245"/>
  <c r="S245"/>
  <c r="R246"/>
  <c r="S246"/>
  <c r="R247"/>
  <c r="S247"/>
  <c r="R248"/>
  <c r="S248"/>
  <c r="S249"/>
  <c r="T249" s="1"/>
  <c r="R250"/>
  <c r="S250"/>
  <c r="R251"/>
  <c r="T251" s="1"/>
  <c r="S251"/>
  <c r="R71" i="5"/>
  <c r="S71"/>
  <c r="R72"/>
  <c r="S72"/>
  <c r="R73"/>
  <c r="S73"/>
  <c r="R74"/>
  <c r="S74"/>
  <c r="R76"/>
  <c r="S76"/>
  <c r="R77"/>
  <c r="T77" s="1"/>
  <c r="S77"/>
  <c r="R78"/>
  <c r="S78"/>
  <c r="R79"/>
  <c r="T79" s="1"/>
  <c r="S79"/>
  <c r="R80"/>
  <c r="S80"/>
  <c r="T80" s="1"/>
  <c r="R81"/>
  <c r="S81"/>
  <c r="R82"/>
  <c r="S82"/>
  <c r="R83"/>
  <c r="T83" s="1"/>
  <c r="S83"/>
  <c r="R84"/>
  <c r="S84"/>
  <c r="R85"/>
  <c r="S85"/>
  <c r="R141" i="7"/>
  <c r="S141"/>
  <c r="R142"/>
  <c r="S142"/>
  <c r="R143"/>
  <c r="S143"/>
  <c r="R144"/>
  <c r="S144"/>
  <c r="R145"/>
  <c r="S145"/>
  <c r="T145"/>
  <c r="R146"/>
  <c r="S146"/>
  <c r="R147"/>
  <c r="S147"/>
  <c r="R148"/>
  <c r="T148" s="1"/>
  <c r="S148"/>
  <c r="R149"/>
  <c r="S149"/>
  <c r="R150"/>
  <c r="T150" s="1"/>
  <c r="S150"/>
  <c r="R152"/>
  <c r="S152"/>
  <c r="R153"/>
  <c r="T153" s="1"/>
  <c r="S153"/>
  <c r="R154"/>
  <c r="S154"/>
  <c r="R155"/>
  <c r="S155"/>
  <c r="R157"/>
  <c r="T157" s="1"/>
  <c r="S157"/>
  <c r="R158"/>
  <c r="S158"/>
  <c r="T158" s="1"/>
  <c r="R159"/>
  <c r="S159"/>
  <c r="R160"/>
  <c r="S160"/>
  <c r="R161"/>
  <c r="S161"/>
  <c r="R162"/>
  <c r="S162"/>
  <c r="R163"/>
  <c r="S163"/>
  <c r="R164"/>
  <c r="S164"/>
  <c r="R165"/>
  <c r="S165"/>
  <c r="R166"/>
  <c r="S166"/>
  <c r="R167"/>
  <c r="S167"/>
  <c r="R168"/>
  <c r="S168"/>
  <c r="R169"/>
  <c r="S169"/>
  <c r="R170"/>
  <c r="S170"/>
  <c r="R171"/>
  <c r="T171" s="1"/>
  <c r="S171"/>
  <c r="R172"/>
  <c r="S172"/>
  <c r="R173"/>
  <c r="S173"/>
  <c r="R174"/>
  <c r="S174"/>
  <c r="T174" s="1"/>
  <c r="R175"/>
  <c r="T175" s="1"/>
  <c r="S175"/>
  <c r="R176"/>
  <c r="S176"/>
  <c r="R177"/>
  <c r="S177"/>
  <c r="R178"/>
  <c r="S178"/>
  <c r="R179"/>
  <c r="T179" s="1"/>
  <c r="S179"/>
  <c r="R180"/>
  <c r="S180"/>
  <c r="R181"/>
  <c r="T181" s="1"/>
  <c r="S181"/>
  <c r="R182"/>
  <c r="S182"/>
  <c r="T182" s="1"/>
  <c r="R183"/>
  <c r="S183"/>
  <c r="R184"/>
  <c r="S184"/>
  <c r="R185"/>
  <c r="S185"/>
  <c r="R186"/>
  <c r="S186"/>
  <c r="R188"/>
  <c r="S188"/>
  <c r="R189"/>
  <c r="S189"/>
  <c r="R43" i="5"/>
  <c r="S43"/>
  <c r="R44"/>
  <c r="S44"/>
  <c r="R45"/>
  <c r="S45"/>
  <c r="S46"/>
  <c r="T46"/>
  <c r="R47"/>
  <c r="S47"/>
  <c r="T48"/>
  <c r="T49"/>
  <c r="S50"/>
  <c r="T50" s="1"/>
  <c r="R51"/>
  <c r="S51"/>
  <c r="R52"/>
  <c r="S52"/>
  <c r="T53"/>
  <c r="S54"/>
  <c r="T54"/>
  <c r="R55"/>
  <c r="T55" s="1"/>
  <c r="S55"/>
  <c r="R56"/>
  <c r="S56"/>
  <c r="R57"/>
  <c r="T57" s="1"/>
  <c r="S57"/>
  <c r="R78" i="7"/>
  <c r="S78"/>
  <c r="R79"/>
  <c r="T79" s="1"/>
  <c r="S79"/>
  <c r="R80"/>
  <c r="S80"/>
  <c r="T82"/>
  <c r="R83"/>
  <c r="S83"/>
  <c r="R84"/>
  <c r="S84"/>
  <c r="T86"/>
  <c r="R87"/>
  <c r="S87"/>
  <c r="R88"/>
  <c r="S88"/>
  <c r="R91"/>
  <c r="S91"/>
  <c r="R92"/>
  <c r="S92"/>
  <c r="T94"/>
  <c r="R95"/>
  <c r="S95"/>
  <c r="R96"/>
  <c r="T96" s="1"/>
  <c r="S96"/>
  <c r="T97"/>
  <c r="T98"/>
  <c r="R99"/>
  <c r="T99" s="1"/>
  <c r="S99"/>
  <c r="R100"/>
  <c r="S100"/>
  <c r="R102"/>
  <c r="S102"/>
  <c r="R103"/>
  <c r="S103"/>
  <c r="T105"/>
  <c r="R107"/>
  <c r="S107"/>
  <c r="R108"/>
  <c r="S108"/>
  <c r="R111"/>
  <c r="S111"/>
  <c r="T113"/>
  <c r="R117"/>
  <c r="T117" s="1"/>
  <c r="S117"/>
  <c r="T118"/>
  <c r="R119"/>
  <c r="S119"/>
  <c r="R120"/>
  <c r="S120"/>
  <c r="T121"/>
  <c r="R123"/>
  <c r="T123" s="1"/>
  <c r="S123"/>
  <c r="T124"/>
  <c r="R125"/>
  <c r="S125"/>
  <c r="T126"/>
  <c r="R127"/>
  <c r="S127"/>
  <c r="AA489" i="6"/>
  <c r="AB489" s="1"/>
  <c r="AC489" s="1"/>
  <c r="AD489" s="1"/>
  <c r="U127" i="5"/>
  <c r="V127" s="1"/>
  <c r="AB523" i="6"/>
  <c r="AC523" s="1"/>
  <c r="AD523" s="1"/>
  <c r="AA523"/>
  <c r="AA476"/>
  <c r="AB476" s="1"/>
  <c r="AC476" s="1"/>
  <c r="AD476" s="1"/>
  <c r="M100" i="5"/>
  <c r="M101"/>
  <c r="M103"/>
  <c r="M108"/>
  <c r="M111"/>
  <c r="U131"/>
  <c r="V131" s="1"/>
  <c r="U134"/>
  <c r="V134" s="1"/>
  <c r="K479" i="6"/>
  <c r="AA479"/>
  <c r="AB479" s="1"/>
  <c r="AC479" s="1"/>
  <c r="AD479" s="1"/>
  <c r="U135" i="5"/>
  <c r="V135" s="1"/>
  <c r="K491" i="6"/>
  <c r="AA491"/>
  <c r="AB491" s="1"/>
  <c r="AC491" s="1"/>
  <c r="Z397"/>
  <c r="AA397" s="1"/>
  <c r="AB397" s="1"/>
  <c r="AC397" s="1"/>
  <c r="AD397" s="1"/>
  <c r="Z478"/>
  <c r="AA478" s="1"/>
  <c r="U478"/>
  <c r="V478" s="1"/>
  <c r="Z544"/>
  <c r="AA544" s="1"/>
  <c r="U544"/>
  <c r="V544" s="1"/>
  <c r="K467"/>
  <c r="AA467"/>
  <c r="AB467" s="1"/>
  <c r="AC467" s="1"/>
  <c r="AD467" s="1"/>
  <c r="U130" i="5"/>
  <c r="V130" s="1"/>
  <c r="AA545" i="6"/>
  <c r="AB545" s="1"/>
  <c r="AC545" s="1"/>
  <c r="AD545" s="1"/>
  <c r="AA503"/>
  <c r="AB503" s="1"/>
  <c r="AC503" s="1"/>
  <c r="AD503" s="1"/>
  <c r="K529"/>
  <c r="AA529"/>
  <c r="AB529" s="1"/>
  <c r="AC529" s="1"/>
  <c r="AB509"/>
  <c r="AC509" s="1"/>
  <c r="AD509" s="1"/>
  <c r="Z509"/>
  <c r="AA509" s="1"/>
  <c r="U509"/>
  <c r="V509" s="1"/>
  <c r="AA481"/>
  <c r="AB481" s="1"/>
  <c r="AC481" s="1"/>
  <c r="AD481" s="1"/>
  <c r="K533"/>
  <c r="Z533"/>
  <c r="AA533" s="1"/>
  <c r="AB533" s="1"/>
  <c r="AC533" s="1"/>
  <c r="AD533" s="1"/>
  <c r="U533"/>
  <c r="V533"/>
  <c r="AA537"/>
  <c r="AB537" s="1"/>
  <c r="AC537" s="1"/>
  <c r="AD537" s="1"/>
  <c r="AB557"/>
  <c r="AC557" s="1"/>
  <c r="K557"/>
  <c r="Z557"/>
  <c r="AA557" s="1"/>
  <c r="U557"/>
  <c r="V557" s="1"/>
  <c r="AB473"/>
  <c r="AC473" s="1"/>
  <c r="AD473" s="1"/>
  <c r="AA473"/>
  <c r="AA475"/>
  <c r="AB475" s="1"/>
  <c r="AC475" s="1"/>
  <c r="AD475" s="1"/>
  <c r="AB483"/>
  <c r="AC483" s="1"/>
  <c r="K483"/>
  <c r="AA483"/>
  <c r="AA496"/>
  <c r="AB496" s="1"/>
  <c r="AC496" s="1"/>
  <c r="AD496" s="1"/>
  <c r="K499"/>
  <c r="AB544"/>
  <c r="AC544" s="1"/>
  <c r="K544"/>
  <c r="AB472"/>
  <c r="AC472" s="1"/>
  <c r="AD472" s="1"/>
  <c r="Z472"/>
  <c r="AA472" s="1"/>
  <c r="U472"/>
  <c r="V472" s="1"/>
  <c r="U136" i="5"/>
  <c r="V136" s="1"/>
  <c r="Z405" i="6"/>
  <c r="AA405" s="1"/>
  <c r="AB405" s="1"/>
  <c r="AC405" s="1"/>
  <c r="AD405" s="1"/>
  <c r="AB471"/>
  <c r="AC471" s="1"/>
  <c r="AD471" s="1"/>
  <c r="AA471"/>
  <c r="AC514"/>
  <c r="AD514" s="1"/>
  <c r="AB562"/>
  <c r="AC562" s="1"/>
  <c r="K562"/>
  <c r="Z562"/>
  <c r="AA562" s="1"/>
  <c r="U562"/>
  <c r="V562" s="1"/>
  <c r="AB470"/>
  <c r="AC470" s="1"/>
  <c r="AD470" s="1"/>
  <c r="Z470"/>
  <c r="AA470" s="1"/>
  <c r="U470"/>
  <c r="V470" s="1"/>
  <c r="Z541"/>
  <c r="AA541" s="1"/>
  <c r="AB541" s="1"/>
  <c r="AC541" s="1"/>
  <c r="AD541" s="1"/>
  <c r="U541"/>
  <c r="V541" s="1"/>
  <c r="K543"/>
  <c r="AA543"/>
  <c r="AB543" s="1"/>
  <c r="AC543" s="1"/>
  <c r="AD543" s="1"/>
  <c r="AA400"/>
  <c r="AB400" s="1"/>
  <c r="AC400" s="1"/>
  <c r="AD400" s="1"/>
  <c r="AA448"/>
  <c r="AB448" s="1"/>
  <c r="AC448" s="1"/>
  <c r="AD448" s="1"/>
  <c r="AA353"/>
  <c r="AB353" s="1"/>
  <c r="AC353" s="1"/>
  <c r="AD353" s="1"/>
  <c r="AB485"/>
  <c r="AC485" s="1"/>
  <c r="AD485" s="1"/>
  <c r="AA485"/>
  <c r="AA355"/>
  <c r="AB355" s="1"/>
  <c r="AC355" s="1"/>
  <c r="AD355" s="1"/>
  <c r="U227"/>
  <c r="V227" s="1"/>
  <c r="U193"/>
  <c r="V193" s="1"/>
  <c r="U199"/>
  <c r="V199" s="1"/>
  <c r="AC466"/>
  <c r="AD466" s="1"/>
  <c r="AA495"/>
  <c r="AB495" s="1"/>
  <c r="AC495" s="1"/>
  <c r="AD495" s="1"/>
  <c r="U161"/>
  <c r="V161" s="1"/>
  <c r="U173"/>
  <c r="V173" s="1"/>
  <c r="AA436"/>
  <c r="AB436" s="1"/>
  <c r="AC436" s="1"/>
  <c r="AD436" s="1"/>
  <c r="U102" i="5"/>
  <c r="V102" s="1"/>
  <c r="AA447" i="6"/>
  <c r="AB447" s="1"/>
  <c r="AC447" s="1"/>
  <c r="AA372"/>
  <c r="AB372" s="1"/>
  <c r="AC372" s="1"/>
  <c r="AD372" s="1"/>
  <c r="U175"/>
  <c r="V175" s="1"/>
  <c r="U154"/>
  <c r="V154" s="1"/>
  <c r="U131"/>
  <c r="V131" s="1"/>
  <c r="U151"/>
  <c r="V151" s="1"/>
  <c r="AA364"/>
  <c r="AB364" s="1"/>
  <c r="AC364" s="1"/>
  <c r="AD364" s="1"/>
  <c r="K507"/>
  <c r="M507" s="1"/>
  <c r="U217"/>
  <c r="V217" s="1"/>
  <c r="U197"/>
  <c r="V197" s="1"/>
  <c r="U187"/>
  <c r="V187" s="1"/>
  <c r="U207"/>
  <c r="V207" s="1"/>
  <c r="U201"/>
  <c r="V201" s="1"/>
  <c r="U185"/>
  <c r="V185" s="1"/>
  <c r="K513"/>
  <c r="AA513"/>
  <c r="AB513" s="1"/>
  <c r="AC513" s="1"/>
  <c r="AA377"/>
  <c r="AB377" s="1"/>
  <c r="AC377" s="1"/>
  <c r="AD377" s="1"/>
  <c r="AA515"/>
  <c r="AB515" s="1"/>
  <c r="AC515" s="1"/>
  <c r="AD515" s="1"/>
  <c r="AA542"/>
  <c r="AB542" s="1"/>
  <c r="AC542" s="1"/>
  <c r="AD542" s="1"/>
  <c r="U169"/>
  <c r="V169"/>
  <c r="U209"/>
  <c r="V209" s="1"/>
  <c r="AB511"/>
  <c r="AC511" s="1"/>
  <c r="AD511" s="1"/>
  <c r="AA511"/>
  <c r="AA367"/>
  <c r="AB367" s="1"/>
  <c r="AC367" s="1"/>
  <c r="AB478"/>
  <c r="AC478" s="1"/>
  <c r="AD478" s="1"/>
  <c r="U107" i="5"/>
  <c r="V107" s="1"/>
  <c r="K555" i="6"/>
  <c r="AA555"/>
  <c r="AB555" s="1"/>
  <c r="AC555" s="1"/>
  <c r="AD555" s="1"/>
  <c r="AB498"/>
  <c r="AC498" s="1"/>
  <c r="AD498" s="1"/>
  <c r="Z498"/>
  <c r="AA498" s="1"/>
  <c r="U498"/>
  <c r="V498" s="1"/>
  <c r="U145"/>
  <c r="V145" s="1"/>
  <c r="U165"/>
  <c r="V165" s="1"/>
  <c r="U129"/>
  <c r="V129" s="1"/>
  <c r="Z469"/>
  <c r="AA469" s="1"/>
  <c r="AB469" s="1"/>
  <c r="AC469" s="1"/>
  <c r="AD469" s="1"/>
  <c r="U469"/>
  <c r="V469" s="1"/>
  <c r="Z530"/>
  <c r="AA530" s="1"/>
  <c r="AB530" s="1"/>
  <c r="AC530" s="1"/>
  <c r="AD530" s="1"/>
  <c r="U530"/>
  <c r="V530" s="1"/>
  <c r="AC486"/>
  <c r="AD486" s="1"/>
  <c r="Z416"/>
  <c r="AA416" s="1"/>
  <c r="AB416" s="1"/>
  <c r="AC416" s="1"/>
  <c r="AD416" s="1"/>
  <c r="AA421"/>
  <c r="AB421" s="1"/>
  <c r="AC421" s="1"/>
  <c r="AD421" s="1"/>
  <c r="AC548"/>
  <c r="AD548" s="1"/>
  <c r="Z480"/>
  <c r="AA480" s="1"/>
  <c r="AB480" s="1"/>
  <c r="AC480" s="1"/>
  <c r="AD480" s="1"/>
  <c r="U480"/>
  <c r="V480" s="1"/>
  <c r="U186"/>
  <c r="V186" s="1"/>
  <c r="U183"/>
  <c r="V183" s="1"/>
  <c r="U147"/>
  <c r="V147" s="1"/>
  <c r="U166"/>
  <c r="V166" s="1"/>
  <c r="AB554"/>
  <c r="AC554" s="1"/>
  <c r="AD554" s="1"/>
  <c r="AA554"/>
  <c r="AC550"/>
  <c r="AD550" s="1"/>
  <c r="M355"/>
  <c r="M362"/>
  <c r="M371"/>
  <c r="M381"/>
  <c r="M395"/>
  <c r="M401"/>
  <c r="M403"/>
  <c r="M408"/>
  <c r="M410"/>
  <c r="M417"/>
  <c r="M419"/>
  <c r="M420"/>
  <c r="M424"/>
  <c r="M426"/>
  <c r="M428"/>
  <c r="M432"/>
  <c r="M443"/>
  <c r="M446"/>
  <c r="M447"/>
  <c r="M450"/>
  <c r="U138" i="5"/>
  <c r="V138" s="1"/>
  <c r="U218" i="6"/>
  <c r="V218" s="1"/>
  <c r="U223"/>
  <c r="V223" s="1"/>
  <c r="AB516"/>
  <c r="AC516" s="1"/>
  <c r="AD516" s="1"/>
  <c r="Z516"/>
  <c r="AA516" s="1"/>
  <c r="U516"/>
  <c r="V516" s="1"/>
  <c r="AA497"/>
  <c r="AB497" s="1"/>
  <c r="AC497" s="1"/>
  <c r="AD497" s="1"/>
  <c r="AA363"/>
  <c r="AB363" s="1"/>
  <c r="AC363" s="1"/>
  <c r="AD363" s="1"/>
  <c r="U137" i="5"/>
  <c r="V137" s="1"/>
  <c r="U157" i="6"/>
  <c r="V157" s="1"/>
  <c r="U200"/>
  <c r="V200" s="1"/>
  <c r="U138"/>
  <c r="V138" s="1"/>
  <c r="U171"/>
  <c r="V171" s="1"/>
  <c r="AA547"/>
  <c r="AB547" s="1"/>
  <c r="AC547" s="1"/>
  <c r="AD547" s="1"/>
  <c r="U181"/>
  <c r="V181" s="1"/>
  <c r="K482"/>
  <c r="K488"/>
  <c r="K510"/>
  <c r="K520"/>
  <c r="K522"/>
  <c r="K527"/>
  <c r="K531"/>
  <c r="K532"/>
  <c r="K535"/>
  <c r="K538"/>
  <c r="K540"/>
  <c r="K558"/>
  <c r="AA563"/>
  <c r="AB563" s="1"/>
  <c r="AC563" s="1"/>
  <c r="AD563" s="1"/>
  <c r="AB535"/>
  <c r="AC535" s="1"/>
  <c r="AA535"/>
  <c r="AA415"/>
  <c r="AB415" s="1"/>
  <c r="AC415" s="1"/>
  <c r="AA465"/>
  <c r="AB465" s="1"/>
  <c r="AC465" s="1"/>
  <c r="AD465" s="1"/>
  <c r="AA444"/>
  <c r="AB444" s="1"/>
  <c r="AC444" s="1"/>
  <c r="AD444" s="1"/>
  <c r="AA560"/>
  <c r="AB560" s="1"/>
  <c r="AC560" s="1"/>
  <c r="AD560" s="1"/>
  <c r="AB528"/>
  <c r="AC528" s="1"/>
  <c r="AD528" s="1"/>
  <c r="AA528"/>
  <c r="AC556"/>
  <c r="AD556" s="1"/>
  <c r="M74" i="5"/>
  <c r="M76"/>
  <c r="M80"/>
  <c r="M86" s="1"/>
  <c r="M82"/>
  <c r="M84"/>
  <c r="U182" i="6"/>
  <c r="V182" s="1"/>
  <c r="U137"/>
  <c r="V137" s="1"/>
  <c r="U130"/>
  <c r="V130" s="1"/>
  <c r="U163"/>
  <c r="V163" s="1"/>
  <c r="AB522"/>
  <c r="AC522" s="1"/>
  <c r="AD522" s="1"/>
  <c r="AA522"/>
  <c r="AA432"/>
  <c r="AB432" s="1"/>
  <c r="AC432" s="1"/>
  <c r="AA440"/>
  <c r="AB440" s="1"/>
  <c r="AC440" s="1"/>
  <c r="AD440" s="1"/>
  <c r="U225"/>
  <c r="V225" s="1"/>
  <c r="U178"/>
  <c r="V178" s="1"/>
  <c r="AA531"/>
  <c r="AB531" s="1"/>
  <c r="AC531" s="1"/>
  <c r="AC521"/>
  <c r="AD521" s="1"/>
  <c r="AA417"/>
  <c r="AB417" s="1"/>
  <c r="AC417" s="1"/>
  <c r="AD417" s="1"/>
  <c r="U202"/>
  <c r="V202"/>
  <c r="U149"/>
  <c r="V149" s="1"/>
  <c r="U179"/>
  <c r="V179" s="1"/>
  <c r="U208"/>
  <c r="V208" s="1"/>
  <c r="AC507"/>
  <c r="AD507" s="1"/>
  <c r="U354"/>
  <c r="V354" s="1"/>
  <c r="U355"/>
  <c r="V355" s="1"/>
  <c r="V356"/>
  <c r="U358"/>
  <c r="V358" s="1"/>
  <c r="U359"/>
  <c r="V359" s="1"/>
  <c r="U361"/>
  <c r="V361" s="1"/>
  <c r="U362"/>
  <c r="V362" s="1"/>
  <c r="U366"/>
  <c r="V366" s="1"/>
  <c r="U367"/>
  <c r="V367" s="1"/>
  <c r="U370"/>
  <c r="V370" s="1"/>
  <c r="U378"/>
  <c r="V378" s="1"/>
  <c r="U383"/>
  <c r="V383" s="1"/>
  <c r="U385"/>
  <c r="V385" s="1"/>
  <c r="U389"/>
  <c r="V389" s="1"/>
  <c r="U390"/>
  <c r="V390" s="1"/>
  <c r="U391"/>
  <c r="V391" s="1"/>
  <c r="U394"/>
  <c r="V394" s="1"/>
  <c r="U398"/>
  <c r="V398" s="1"/>
  <c r="U399"/>
  <c r="V399" s="1"/>
  <c r="U401"/>
  <c r="V401" s="1"/>
  <c r="U402"/>
  <c r="V402" s="1"/>
  <c r="U410"/>
  <c r="V410" s="1"/>
  <c r="U413"/>
  <c r="V413" s="1"/>
  <c r="U414"/>
  <c r="V414" s="1"/>
  <c r="U415"/>
  <c r="V415" s="1"/>
  <c r="U419"/>
  <c r="V419" s="1"/>
  <c r="U423"/>
  <c r="V423" s="1"/>
  <c r="U427"/>
  <c r="V427" s="1"/>
  <c r="U431"/>
  <c r="V431" s="1"/>
  <c r="U434"/>
  <c r="V434" s="1"/>
  <c r="U435"/>
  <c r="V435" s="1"/>
  <c r="U438"/>
  <c r="V438" s="1"/>
  <c r="U441"/>
  <c r="V441" s="1"/>
  <c r="U442"/>
  <c r="V442" s="1"/>
  <c r="U447"/>
  <c r="V447" s="1"/>
  <c r="U449"/>
  <c r="V449" s="1"/>
  <c r="U451"/>
  <c r="V451" s="1"/>
  <c r="U106" i="5"/>
  <c r="V106" s="1"/>
  <c r="V112"/>
  <c r="U133" i="6"/>
  <c r="V133" s="1"/>
  <c r="U205"/>
  <c r="V205" s="1"/>
  <c r="AA429"/>
  <c r="AB429" s="1"/>
  <c r="AC429" s="1"/>
  <c r="AD429" s="1"/>
  <c r="AA510"/>
  <c r="AB510" s="1"/>
  <c r="AC510" s="1"/>
  <c r="AD510" s="1"/>
  <c r="U153"/>
  <c r="V153" s="1"/>
  <c r="U155"/>
  <c r="V155" s="1"/>
  <c r="U135"/>
  <c r="V135" s="1"/>
  <c r="AA358"/>
  <c r="AB358" s="1"/>
  <c r="AC358" s="1"/>
  <c r="AD358" s="1"/>
  <c r="AB539"/>
  <c r="AC539" s="1"/>
  <c r="AD539" s="1"/>
  <c r="AA539"/>
  <c r="Z506"/>
  <c r="AA506" s="1"/>
  <c r="AB506" s="1"/>
  <c r="AC506" s="1"/>
  <c r="AD506" s="1"/>
  <c r="U506"/>
  <c r="V506" s="1"/>
  <c r="U141"/>
  <c r="V141" s="1"/>
  <c r="AA464"/>
  <c r="AB464" s="1"/>
  <c r="AC464" s="1"/>
  <c r="AD464" s="1"/>
  <c r="AB494"/>
  <c r="AC494" s="1"/>
  <c r="AD494" s="1"/>
  <c r="AA494"/>
  <c r="AB551"/>
  <c r="AC551" s="1"/>
  <c r="AD551" s="1"/>
  <c r="AA551"/>
  <c r="AB527"/>
  <c r="AC527" s="1"/>
  <c r="AD527" s="1"/>
  <c r="AA527"/>
  <c r="U170"/>
  <c r="V170" s="1"/>
  <c r="U210"/>
  <c r="V210" s="1"/>
  <c r="U167"/>
  <c r="V167" s="1"/>
  <c r="U191"/>
  <c r="V191"/>
  <c r="U129" i="5"/>
  <c r="V129" s="1"/>
  <c r="AC474" i="6"/>
  <c r="AD474" s="1"/>
  <c r="AB490"/>
  <c r="AC490" s="1"/>
  <c r="AD490" s="1"/>
  <c r="AA490"/>
  <c r="AA434"/>
  <c r="AB434" s="1"/>
  <c r="AC434" s="1"/>
  <c r="AD434" s="1"/>
  <c r="AB532"/>
  <c r="AC532" s="1"/>
  <c r="AD532" s="1"/>
  <c r="Z532"/>
  <c r="AA532" s="1"/>
  <c r="U532"/>
  <c r="V532" s="1"/>
  <c r="U146"/>
  <c r="V146" s="1"/>
  <c r="U214"/>
  <c r="V214" s="1"/>
  <c r="U213"/>
  <c r="V213" s="1"/>
  <c r="U150"/>
  <c r="V150" s="1"/>
  <c r="AA369"/>
  <c r="AB369" s="1"/>
  <c r="AC369" s="1"/>
  <c r="AD369" s="1"/>
  <c r="AA361"/>
  <c r="AB361" s="1"/>
  <c r="AC361" s="1"/>
  <c r="AD361" s="1"/>
  <c r="AA520"/>
  <c r="AB520" s="1"/>
  <c r="AC520" s="1"/>
  <c r="AD520" s="1"/>
  <c r="AB558"/>
  <c r="AC558" s="1"/>
  <c r="AD558" s="1"/>
  <c r="AA558"/>
  <c r="Z512"/>
  <c r="AA512" s="1"/>
  <c r="AB512" s="1"/>
  <c r="AC512" s="1"/>
  <c r="AD512" s="1"/>
  <c r="U512"/>
  <c r="V512" s="1"/>
  <c r="AA379"/>
  <c r="AB379" s="1"/>
  <c r="AC379" s="1"/>
  <c r="AD379" s="1"/>
  <c r="U198"/>
  <c r="V198" s="1"/>
  <c r="U216"/>
  <c r="V216" s="1"/>
  <c r="U143"/>
  <c r="V143" s="1"/>
  <c r="U177"/>
  <c r="V177"/>
  <c r="AA431"/>
  <c r="AB431" s="1"/>
  <c r="AC431" s="1"/>
  <c r="AB468"/>
  <c r="AC468" s="1"/>
  <c r="AD468" s="1"/>
  <c r="Z468"/>
  <c r="AA468" s="1"/>
  <c r="U468"/>
  <c r="V468" s="1"/>
  <c r="M476"/>
  <c r="M482"/>
  <c r="M483"/>
  <c r="M488"/>
  <c r="M502"/>
  <c r="M508"/>
  <c r="M510"/>
  <c r="M526"/>
  <c r="M533"/>
  <c r="M534"/>
  <c r="M542"/>
  <c r="M545"/>
  <c r="M549"/>
  <c r="M557"/>
  <c r="M558"/>
  <c r="AB561"/>
  <c r="AC561" s="1"/>
  <c r="AD561" s="1"/>
  <c r="AA561"/>
  <c r="AA396"/>
  <c r="AB396" s="1"/>
  <c r="AC396" s="1"/>
  <c r="AD396" s="1"/>
  <c r="U162"/>
  <c r="V162" s="1"/>
  <c r="U219"/>
  <c r="V219" s="1"/>
  <c r="U215"/>
  <c r="V215" s="1"/>
  <c r="U139"/>
  <c r="V139" s="1"/>
  <c r="AB519"/>
  <c r="AC519" s="1"/>
  <c r="AD519" s="1"/>
  <c r="AA519"/>
  <c r="AB482"/>
  <c r="AC482" s="1"/>
  <c r="AD482" s="1"/>
  <c r="AA482"/>
  <c r="AA425"/>
  <c r="AB425" s="1"/>
  <c r="AC425" s="1"/>
  <c r="AD425" s="1"/>
  <c r="U176"/>
  <c r="V176" s="1"/>
  <c r="U195"/>
  <c r="V195" s="1"/>
  <c r="U159"/>
  <c r="V159" s="1"/>
  <c r="U152"/>
  <c r="V152" s="1"/>
  <c r="AB553"/>
  <c r="AC553" s="1"/>
  <c r="AD553" s="1"/>
  <c r="AA553"/>
  <c r="AA384"/>
  <c r="AB384" s="1"/>
  <c r="AC384" s="1"/>
  <c r="AD384" s="1"/>
  <c r="AB499"/>
  <c r="AC499" s="1"/>
  <c r="AD499" s="1"/>
  <c r="AA499"/>
  <c r="AA371"/>
  <c r="AB371" s="1"/>
  <c r="AC371" s="1"/>
  <c r="AD371" s="1"/>
  <c r="U194"/>
  <c r="V194" s="1"/>
  <c r="U226"/>
  <c r="V226" s="1"/>
  <c r="U203"/>
  <c r="V203" s="1"/>
  <c r="U211"/>
  <c r="V211" s="1"/>
  <c r="AB487"/>
  <c r="AC487" s="1"/>
  <c r="AD487" s="1"/>
  <c r="AA487"/>
  <c r="AB505"/>
  <c r="AC505" s="1"/>
  <c r="AD505" s="1"/>
  <c r="AA505"/>
  <c r="U221"/>
  <c r="V221" s="1"/>
  <c r="U189"/>
  <c r="V189" s="1"/>
  <c r="AA280"/>
  <c r="AB280" s="1"/>
  <c r="AC280" s="1"/>
  <c r="AD280" s="1"/>
  <c r="AA387"/>
  <c r="AB387" s="1"/>
  <c r="AC387" s="1"/>
  <c r="AA449"/>
  <c r="AB449" s="1"/>
  <c r="AC449" s="1"/>
  <c r="AD449" s="1"/>
  <c r="AA419"/>
  <c r="AB419" s="1"/>
  <c r="AC419" s="1"/>
  <c r="AD419" s="1"/>
  <c r="AA401"/>
  <c r="AB401" s="1"/>
  <c r="AC401" s="1"/>
  <c r="U98" i="5"/>
  <c r="V98" s="1"/>
  <c r="U202" i="7"/>
  <c r="V202" s="1"/>
  <c r="U203"/>
  <c r="V203" s="1"/>
  <c r="U204"/>
  <c r="V204" s="1"/>
  <c r="U208"/>
  <c r="V208" s="1"/>
  <c r="U212"/>
  <c r="V212"/>
  <c r="U214"/>
  <c r="V214" s="1"/>
  <c r="U216"/>
  <c r="V216" s="1"/>
  <c r="U218"/>
  <c r="V218" s="1"/>
  <c r="U219"/>
  <c r="V219" s="1"/>
  <c r="U220"/>
  <c r="V220" s="1"/>
  <c r="U224"/>
  <c r="V224" s="1"/>
  <c r="U227"/>
  <c r="V227" s="1"/>
  <c r="U228"/>
  <c r="V228"/>
  <c r="U230"/>
  <c r="V230" s="1"/>
  <c r="U231"/>
  <c r="V231" s="1"/>
  <c r="U232"/>
  <c r="V232" s="1"/>
  <c r="U234"/>
  <c r="V234" s="1"/>
  <c r="U236"/>
  <c r="V236" s="1"/>
  <c r="U238"/>
  <c r="V238" s="1"/>
  <c r="U240"/>
  <c r="V240" s="1"/>
  <c r="U242"/>
  <c r="V242"/>
  <c r="U243"/>
  <c r="V243" s="1"/>
  <c r="U244"/>
  <c r="V244" s="1"/>
  <c r="U246"/>
  <c r="V246" s="1"/>
  <c r="U247"/>
  <c r="V247" s="1"/>
  <c r="U248"/>
  <c r="V248" s="1"/>
  <c r="U250"/>
  <c r="V250" s="1"/>
  <c r="U251"/>
  <c r="V251" s="1"/>
  <c r="U125" i="5"/>
  <c r="V125" s="1"/>
  <c r="U128"/>
  <c r="V128" s="1"/>
  <c r="U464" i="6"/>
  <c r="V464" s="1"/>
  <c r="U477"/>
  <c r="V477" s="1"/>
  <c r="U483"/>
  <c r="V483" s="1"/>
  <c r="U487"/>
  <c r="V487" s="1"/>
  <c r="U488"/>
  <c r="V488" s="1"/>
  <c r="U492"/>
  <c r="V492" s="1"/>
  <c r="U500"/>
  <c r="V500" s="1"/>
  <c r="U501"/>
  <c r="V501" s="1"/>
  <c r="U502"/>
  <c r="V502" s="1"/>
  <c r="U504"/>
  <c r="V504" s="1"/>
  <c r="U517"/>
  <c r="V517" s="1"/>
  <c r="U518"/>
  <c r="V518" s="1"/>
  <c r="U525"/>
  <c r="V525" s="1"/>
  <c r="U526"/>
  <c r="V526" s="1"/>
  <c r="U534"/>
  <c r="V534" s="1"/>
  <c r="U536"/>
  <c r="V536"/>
  <c r="U538"/>
  <c r="V538" s="1"/>
  <c r="U540"/>
  <c r="V540" s="1"/>
  <c r="U546"/>
  <c r="V546" s="1"/>
  <c r="U264" i="7"/>
  <c r="V264" s="1"/>
  <c r="U265"/>
  <c r="V265" s="1"/>
  <c r="U266"/>
  <c r="V266" s="1"/>
  <c r="U267"/>
  <c r="V267" s="1"/>
  <c r="U268"/>
  <c r="V268" s="1"/>
  <c r="U269"/>
  <c r="V269" s="1"/>
  <c r="U270"/>
  <c r="V270" s="1"/>
  <c r="U271"/>
  <c r="V271"/>
  <c r="U272"/>
  <c r="V272" s="1"/>
  <c r="U273"/>
  <c r="V273" s="1"/>
  <c r="U274"/>
  <c r="V274" s="1"/>
  <c r="U275"/>
  <c r="V275" s="1"/>
  <c r="U276"/>
  <c r="V276" s="1"/>
  <c r="U277"/>
  <c r="V277" s="1"/>
  <c r="U278"/>
  <c r="V278" s="1"/>
  <c r="U279"/>
  <c r="V279" s="1"/>
  <c r="U280"/>
  <c r="V280" s="1"/>
  <c r="U281"/>
  <c r="V281" s="1"/>
  <c r="U282"/>
  <c r="V282" s="1"/>
  <c r="U283"/>
  <c r="V283" s="1"/>
  <c r="U284"/>
  <c r="V284" s="1"/>
  <c r="U285"/>
  <c r="V285" s="1"/>
  <c r="U286"/>
  <c r="V286" s="1"/>
  <c r="U287"/>
  <c r="V287" s="1"/>
  <c r="U288"/>
  <c r="V288" s="1"/>
  <c r="U289"/>
  <c r="V289" s="1"/>
  <c r="U290"/>
  <c r="V290" s="1"/>
  <c r="U291"/>
  <c r="V291" s="1"/>
  <c r="U292"/>
  <c r="V292" s="1"/>
  <c r="U293"/>
  <c r="V293" s="1"/>
  <c r="U294"/>
  <c r="V294" s="1"/>
  <c r="U295"/>
  <c r="V295" s="1"/>
  <c r="U296"/>
  <c r="V296" s="1"/>
  <c r="G297"/>
  <c r="U297" s="1"/>
  <c r="V297" s="1"/>
  <c r="U298"/>
  <c r="V298" s="1"/>
  <c r="U299"/>
  <c r="V299" s="1"/>
  <c r="U300"/>
  <c r="V300" s="1"/>
  <c r="U301"/>
  <c r="V301" s="1"/>
  <c r="U302"/>
  <c r="V302" s="1"/>
  <c r="U303"/>
  <c r="V303"/>
  <c r="U304"/>
  <c r="V304" s="1"/>
  <c r="U305"/>
  <c r="V305" s="1"/>
  <c r="U306"/>
  <c r="V306" s="1"/>
  <c r="U307"/>
  <c r="V307" s="1"/>
  <c r="U308"/>
  <c r="V308" s="1"/>
  <c r="U309"/>
  <c r="V309" s="1"/>
  <c r="U310"/>
  <c r="V310" s="1"/>
  <c r="U311"/>
  <c r="V311" s="1"/>
  <c r="U312"/>
  <c r="V312" s="1"/>
  <c r="U313"/>
  <c r="V313" s="1"/>
  <c r="U71" i="5"/>
  <c r="V71" s="1"/>
  <c r="U72"/>
  <c r="V72" s="1"/>
  <c r="U73"/>
  <c r="V73" s="1"/>
  <c r="U75"/>
  <c r="V75" s="1"/>
  <c r="U76"/>
  <c r="V76" s="1"/>
  <c r="U77"/>
  <c r="V77" s="1"/>
  <c r="U79"/>
  <c r="V79" s="1"/>
  <c r="U80"/>
  <c r="V80" s="1"/>
  <c r="U81"/>
  <c r="V81" s="1"/>
  <c r="U83"/>
  <c r="V83" s="1"/>
  <c r="U84"/>
  <c r="V84" s="1"/>
  <c r="U85"/>
  <c r="V85" s="1"/>
  <c r="U140" i="7"/>
  <c r="V140" s="1"/>
  <c r="U141"/>
  <c r="V141" s="1"/>
  <c r="U142"/>
  <c r="V142" s="1"/>
  <c r="U144"/>
  <c r="V144" s="1"/>
  <c r="U145"/>
  <c r="V145" s="1"/>
  <c r="U146"/>
  <c r="V146" s="1"/>
  <c r="U148"/>
  <c r="V148" s="1"/>
  <c r="U149"/>
  <c r="V149" s="1"/>
  <c r="U150"/>
  <c r="V150" s="1"/>
  <c r="U152"/>
  <c r="V152" s="1"/>
  <c r="U153"/>
  <c r="V153" s="1"/>
  <c r="U154"/>
  <c r="V154" s="1"/>
  <c r="U156"/>
  <c r="V156" s="1"/>
  <c r="U157"/>
  <c r="V157"/>
  <c r="U158"/>
  <c r="V158" s="1"/>
  <c r="U160"/>
  <c r="V160" s="1"/>
  <c r="U161"/>
  <c r="V161" s="1"/>
  <c r="U162"/>
  <c r="V162" s="1"/>
  <c r="U164"/>
  <c r="V164" s="1"/>
  <c r="U165"/>
  <c r="V165" s="1"/>
  <c r="U166"/>
  <c r="V166" s="1"/>
  <c r="U168"/>
  <c r="V168"/>
  <c r="U169"/>
  <c r="V169" s="1"/>
  <c r="U170"/>
  <c r="V170" s="1"/>
  <c r="U172"/>
  <c r="V172" s="1"/>
  <c r="U173"/>
  <c r="V173" s="1"/>
  <c r="U174"/>
  <c r="V174" s="1"/>
  <c r="U176"/>
  <c r="V176" s="1"/>
  <c r="U177"/>
  <c r="V177" s="1"/>
  <c r="U178"/>
  <c r="V178" s="1"/>
  <c r="U180"/>
  <c r="V180" s="1"/>
  <c r="U181"/>
  <c r="V181" s="1"/>
  <c r="U182"/>
  <c r="V182" s="1"/>
  <c r="U184"/>
  <c r="V184" s="1"/>
  <c r="U185"/>
  <c r="V185" s="1"/>
  <c r="U186"/>
  <c r="V186" s="1"/>
  <c r="U188"/>
  <c r="V188" s="1"/>
  <c r="U189"/>
  <c r="V189" s="1"/>
  <c r="AA260" i="6"/>
  <c r="AB260" s="1"/>
  <c r="AC260" s="1"/>
  <c r="AD260" s="1"/>
  <c r="AA394"/>
  <c r="AB394" s="1"/>
  <c r="AC394" s="1"/>
  <c r="AD394" s="1"/>
  <c r="AA284"/>
  <c r="AB284" s="1"/>
  <c r="AC284" s="1"/>
  <c r="AD284" s="1"/>
  <c r="AA264"/>
  <c r="AB264" s="1"/>
  <c r="AC264" s="1"/>
  <c r="AD264" s="1"/>
  <c r="AA427"/>
  <c r="AB427" s="1"/>
  <c r="AC427" s="1"/>
  <c r="AD427" s="1"/>
  <c r="Z356"/>
  <c r="AA356" s="1"/>
  <c r="AB356" s="1"/>
  <c r="AC356" s="1"/>
  <c r="AD356" s="1"/>
  <c r="Z212"/>
  <c r="AA212" s="1"/>
  <c r="AB212" s="1"/>
  <c r="AC212" s="1"/>
  <c r="AD212" s="1"/>
  <c r="U212"/>
  <c r="V212" s="1"/>
  <c r="Z132"/>
  <c r="AA132" s="1"/>
  <c r="AB132" s="1"/>
  <c r="AC132" s="1"/>
  <c r="AD132" s="1"/>
  <c r="V132"/>
  <c r="Z164"/>
  <c r="AA164" s="1"/>
  <c r="AB164" s="1"/>
  <c r="AC164" s="1"/>
  <c r="AD164" s="1"/>
  <c r="V164"/>
  <c r="Z192"/>
  <c r="AA192" s="1"/>
  <c r="AB192" s="1"/>
  <c r="AC192" s="1"/>
  <c r="AD192" s="1"/>
  <c r="V192"/>
  <c r="AA414"/>
  <c r="AB414" s="1"/>
  <c r="AC414" s="1"/>
  <c r="AD414" s="1"/>
  <c r="AA389"/>
  <c r="AB389" s="1"/>
  <c r="AC389" s="1"/>
  <c r="AD389" s="1"/>
  <c r="AA435"/>
  <c r="AB435" s="1"/>
  <c r="AC435" s="1"/>
  <c r="AD435" s="1"/>
  <c r="AA407"/>
  <c r="AB407" s="1"/>
  <c r="AC407" s="1"/>
  <c r="AD407" s="1"/>
  <c r="AA398"/>
  <c r="AB398" s="1"/>
  <c r="AC398" s="1"/>
  <c r="AD398" s="1"/>
  <c r="AA316"/>
  <c r="AB316" s="1"/>
  <c r="AC316" s="1"/>
  <c r="AD316" s="1"/>
  <c r="AA317"/>
  <c r="AB317" s="1"/>
  <c r="AC317" s="1"/>
  <c r="AD317" s="1"/>
  <c r="AA324"/>
  <c r="AB324" s="1"/>
  <c r="AC324" s="1"/>
  <c r="AD324" s="1"/>
  <c r="AA352"/>
  <c r="AB352" s="1"/>
  <c r="AC352" s="1"/>
  <c r="AD352" s="1"/>
  <c r="AA290"/>
  <c r="AB290" s="1"/>
  <c r="AC290" s="1"/>
  <c r="AD290" s="1"/>
  <c r="Z206"/>
  <c r="AA206" s="1"/>
  <c r="AB206" s="1"/>
  <c r="AC206" s="1"/>
  <c r="AD206" s="1"/>
  <c r="U206"/>
  <c r="V206"/>
  <c r="AA391"/>
  <c r="AB391" s="1"/>
  <c r="AC391" s="1"/>
  <c r="AD391" s="1"/>
  <c r="AA433"/>
  <c r="AB433" s="1"/>
  <c r="AC433" s="1"/>
  <c r="AD433" s="1"/>
  <c r="AA268"/>
  <c r="AB268" s="1"/>
  <c r="AC268" s="1"/>
  <c r="AD268" s="1"/>
  <c r="Z196"/>
  <c r="AA196" s="1"/>
  <c r="AB196" s="1"/>
  <c r="AC196" s="1"/>
  <c r="AD196" s="1"/>
  <c r="U196"/>
  <c r="V196"/>
  <c r="AA309"/>
  <c r="AB309" s="1"/>
  <c r="AC309" s="1"/>
  <c r="AD309" s="1"/>
  <c r="AA423"/>
  <c r="AB423" s="1"/>
  <c r="AC423" s="1"/>
  <c r="AA375"/>
  <c r="AB375" s="1"/>
  <c r="AC375" s="1"/>
  <c r="AD375" s="1"/>
  <c r="AA365"/>
  <c r="AB365" s="1"/>
  <c r="AC365" s="1"/>
  <c r="AD365" s="1"/>
  <c r="AA252"/>
  <c r="AB252" s="1"/>
  <c r="AC252" s="1"/>
  <c r="AD252" s="1"/>
  <c r="Z142"/>
  <c r="AA142" s="1"/>
  <c r="AB142" s="1"/>
  <c r="AC142" s="1"/>
  <c r="AD142" s="1"/>
  <c r="U142"/>
  <c r="V142"/>
  <c r="Z224"/>
  <c r="AA224" s="1"/>
  <c r="AB224" s="1"/>
  <c r="AC224" s="1"/>
  <c r="AD224" s="1"/>
  <c r="V224"/>
  <c r="AA403"/>
  <c r="AB403" s="1"/>
  <c r="AC403" s="1"/>
  <c r="AD403" s="1"/>
  <c r="AA332"/>
  <c r="AB332" s="1"/>
  <c r="AC332" s="1"/>
  <c r="AD332" s="1"/>
  <c r="AA304"/>
  <c r="AB304" s="1"/>
  <c r="AC304" s="1"/>
  <c r="AD304" s="1"/>
  <c r="AA246"/>
  <c r="AB246" s="1"/>
  <c r="AC246" s="1"/>
  <c r="AD246" s="1"/>
  <c r="AA443"/>
  <c r="AB443" s="1"/>
  <c r="AC443" s="1"/>
  <c r="AA439"/>
  <c r="AB439" s="1"/>
  <c r="AC439" s="1"/>
  <c r="AD439" s="1"/>
  <c r="AA408"/>
  <c r="AB408" s="1"/>
  <c r="AC408" s="1"/>
  <c r="AD408" s="1"/>
  <c r="AA328"/>
  <c r="AB328" s="1"/>
  <c r="AC328" s="1"/>
  <c r="AD328" s="1"/>
  <c r="AA442"/>
  <c r="AB442" s="1"/>
  <c r="AC442" s="1"/>
  <c r="AD442" s="1"/>
  <c r="AA385"/>
  <c r="AB385" s="1"/>
  <c r="AC385" s="1"/>
  <c r="AD385" s="1"/>
  <c r="AA399"/>
  <c r="AB399" s="1"/>
  <c r="AC399" s="1"/>
  <c r="AD399" s="1"/>
  <c r="AA272"/>
  <c r="AB272" s="1"/>
  <c r="AC272" s="1"/>
  <c r="AD272" s="1"/>
  <c r="AA378"/>
  <c r="AB378" s="1"/>
  <c r="AC378" s="1"/>
  <c r="AD378" s="1"/>
  <c r="AA393"/>
  <c r="AB393" s="1"/>
  <c r="AC393" s="1"/>
  <c r="AD393" s="1"/>
  <c r="AA418"/>
  <c r="AB418" s="1"/>
  <c r="AC418" s="1"/>
  <c r="AD418" s="1"/>
  <c r="AA357"/>
  <c r="AB357" s="1"/>
  <c r="AC357" s="1"/>
  <c r="AD357" s="1"/>
  <c r="AA308"/>
  <c r="AB308" s="1"/>
  <c r="AC308" s="1"/>
  <c r="AD308" s="1"/>
  <c r="Z174"/>
  <c r="AA174" s="1"/>
  <c r="AB174" s="1"/>
  <c r="AC174" s="1"/>
  <c r="AD174" s="1"/>
  <c r="U174"/>
  <c r="V174"/>
  <c r="AA395"/>
  <c r="AB395" s="1"/>
  <c r="AC395" s="1"/>
  <c r="AA386"/>
  <c r="AB386" s="1"/>
  <c r="AC386" s="1"/>
  <c r="AD386" s="1"/>
  <c r="AA288"/>
  <c r="AB288" s="1"/>
  <c r="AC288" s="1"/>
  <c r="AD288" s="1"/>
  <c r="AA248"/>
  <c r="AB248" s="1"/>
  <c r="AC248" s="1"/>
  <c r="AD248" s="1"/>
  <c r="AA262"/>
  <c r="AB262" s="1"/>
  <c r="AC262" s="1"/>
  <c r="AD262" s="1"/>
  <c r="AA446"/>
  <c r="AB446" s="1"/>
  <c r="AC446" s="1"/>
  <c r="AD446" s="1"/>
  <c r="AA409"/>
  <c r="AB409" s="1"/>
  <c r="AC409" s="1"/>
  <c r="AD409" s="1"/>
  <c r="AA426"/>
  <c r="AB426" s="1"/>
  <c r="AC426" s="1"/>
  <c r="AD426" s="1"/>
  <c r="AA383"/>
  <c r="AB383" s="1"/>
  <c r="AC383" s="1"/>
  <c r="AD383" s="1"/>
  <c r="AA256"/>
  <c r="AB256" s="1"/>
  <c r="AC256" s="1"/>
  <c r="AD256" s="1"/>
  <c r="AA438"/>
  <c r="AB438" s="1"/>
  <c r="AC438" s="1"/>
  <c r="AD438" s="1"/>
  <c r="U57" i="5"/>
  <c r="V57" s="1"/>
  <c r="Z158" i="6"/>
  <c r="AA158" s="1"/>
  <c r="AB158" s="1"/>
  <c r="AC158" s="1"/>
  <c r="AD158" s="1"/>
  <c r="U158"/>
  <c r="V158" s="1"/>
  <c r="AA269"/>
  <c r="AB269" s="1"/>
  <c r="AC269" s="1"/>
  <c r="AD269" s="1"/>
  <c r="AA354"/>
  <c r="AB354" s="1"/>
  <c r="AC354" s="1"/>
  <c r="AD354" s="1"/>
  <c r="Z180"/>
  <c r="AA180" s="1"/>
  <c r="AB180" s="1"/>
  <c r="AC180" s="1"/>
  <c r="AD180" s="1"/>
  <c r="U180"/>
  <c r="V180" s="1"/>
  <c r="AA441"/>
  <c r="AB441" s="1"/>
  <c r="AC441" s="1"/>
  <c r="AD441" s="1"/>
  <c r="AA410"/>
  <c r="AB410" s="1"/>
  <c r="AC410" s="1"/>
  <c r="AD410" s="1"/>
  <c r="K86" i="5"/>
  <c r="Z148" i="6"/>
  <c r="AA148"/>
  <c r="AB148" s="1"/>
  <c r="AC148" s="1"/>
  <c r="AD148" s="1"/>
  <c r="V148"/>
  <c r="AA320"/>
  <c r="AB320" s="1"/>
  <c r="AC320" s="1"/>
  <c r="AD320" s="1"/>
  <c r="AA411"/>
  <c r="AB411" s="1"/>
  <c r="AC411" s="1"/>
  <c r="AD411" s="1"/>
  <c r="AA336"/>
  <c r="AB336" s="1"/>
  <c r="AC336" s="1"/>
  <c r="AD336" s="1"/>
  <c r="AA359"/>
  <c r="AB359" s="1"/>
  <c r="AC359" s="1"/>
  <c r="AD359" s="1"/>
  <c r="AA300"/>
  <c r="AB300" s="1"/>
  <c r="AC300" s="1"/>
  <c r="AD300" s="1"/>
  <c r="I297" i="7"/>
  <c r="O297"/>
  <c r="O314" s="1"/>
  <c r="S252"/>
  <c r="S314"/>
  <c r="AA325" i="6"/>
  <c r="AB325" s="1"/>
  <c r="AC325" s="1"/>
  <c r="AD325" s="1"/>
  <c r="AA333"/>
  <c r="AB333" s="1"/>
  <c r="AC333" s="1"/>
  <c r="AD333" s="1"/>
  <c r="AA314"/>
  <c r="AB314" s="1"/>
  <c r="AC314" s="1"/>
  <c r="AD314" s="1"/>
  <c r="AA244"/>
  <c r="AB244" s="1"/>
  <c r="AC244" s="1"/>
  <c r="AD244" s="1"/>
  <c r="AA322"/>
  <c r="AB322" s="1"/>
  <c r="AC322" s="1"/>
  <c r="AD322" s="1"/>
  <c r="AA298"/>
  <c r="AB298" s="1"/>
  <c r="AC298" s="1"/>
  <c r="AD298" s="1"/>
  <c r="AA334"/>
  <c r="AB334" s="1"/>
  <c r="AC334" s="1"/>
  <c r="AD334" s="1"/>
  <c r="U45" i="5"/>
  <c r="V45" s="1"/>
  <c r="AA250" i="6"/>
  <c r="AB250" s="1"/>
  <c r="AC250" s="1"/>
  <c r="AD250" s="1"/>
  <c r="AA294"/>
  <c r="AB294" s="1"/>
  <c r="AC294" s="1"/>
  <c r="AD294" s="1"/>
  <c r="AA278"/>
  <c r="AB278" s="1"/>
  <c r="AC278" s="1"/>
  <c r="AD278" s="1"/>
  <c r="AA330"/>
  <c r="AB330" s="1"/>
  <c r="AC330" s="1"/>
  <c r="AD330" s="1"/>
  <c r="AA312"/>
  <c r="AB312" s="1"/>
  <c r="AC312" s="1"/>
  <c r="AD312" s="1"/>
  <c r="AA338"/>
  <c r="AB338" s="1"/>
  <c r="AC338" s="1"/>
  <c r="AD338" s="1"/>
  <c r="AA240"/>
  <c r="AB240" s="1"/>
  <c r="AC240" s="1"/>
  <c r="AD240" s="1"/>
  <c r="AA245"/>
  <c r="AB245" s="1"/>
  <c r="AC245" s="1"/>
  <c r="AD245" s="1"/>
  <c r="AA270"/>
  <c r="AB270" s="1"/>
  <c r="AC270" s="1"/>
  <c r="AD270" s="1"/>
  <c r="AA242"/>
  <c r="AB242" s="1"/>
  <c r="AC242" s="1"/>
  <c r="AD242" s="1"/>
  <c r="AA306"/>
  <c r="AB306" s="1"/>
  <c r="AC306" s="1"/>
  <c r="AD306" s="1"/>
  <c r="P314" i="7"/>
  <c r="S86" i="5"/>
  <c r="S190" i="7"/>
  <c r="AA258" i="6"/>
  <c r="AB258" s="1"/>
  <c r="AC258" s="1"/>
  <c r="AD258" s="1"/>
  <c r="U43" i="5"/>
  <c r="V43" s="1"/>
  <c r="U44"/>
  <c r="V44" s="1"/>
  <c r="U46"/>
  <c r="V46"/>
  <c r="U47"/>
  <c r="V47" s="1"/>
  <c r="U48"/>
  <c r="V48" s="1"/>
  <c r="U49"/>
  <c r="V49" s="1"/>
  <c r="U50"/>
  <c r="V50" s="1"/>
  <c r="U51"/>
  <c r="V51" s="1"/>
  <c r="U52"/>
  <c r="V52" s="1"/>
  <c r="U53"/>
  <c r="V53" s="1"/>
  <c r="U54"/>
  <c r="V54"/>
  <c r="U55"/>
  <c r="V55" s="1"/>
  <c r="U56"/>
  <c r="V56" s="1"/>
  <c r="U128" i="6"/>
  <c r="V128" s="1"/>
  <c r="V160"/>
  <c r="U190"/>
  <c r="V190" s="1"/>
  <c r="U222"/>
  <c r="V222" s="1"/>
  <c r="U78" i="7"/>
  <c r="V78" s="1"/>
  <c r="U79"/>
  <c r="V79" s="1"/>
  <c r="U80"/>
  <c r="V80" s="1"/>
  <c r="U81"/>
  <c r="V81" s="1"/>
  <c r="U82"/>
  <c r="V82" s="1"/>
  <c r="U83"/>
  <c r="V83" s="1"/>
  <c r="U84"/>
  <c r="V84" s="1"/>
  <c r="U85"/>
  <c r="V85" s="1"/>
  <c r="U86"/>
  <c r="V86" s="1"/>
  <c r="U87"/>
  <c r="V87" s="1"/>
  <c r="U88"/>
  <c r="V88" s="1"/>
  <c r="U89"/>
  <c r="V89" s="1"/>
  <c r="U90"/>
  <c r="V90" s="1"/>
  <c r="U91"/>
  <c r="V91"/>
  <c r="U92"/>
  <c r="V92" s="1"/>
  <c r="U93"/>
  <c r="V93" s="1"/>
  <c r="U94"/>
  <c r="V94" s="1"/>
  <c r="U95"/>
  <c r="V95" s="1"/>
  <c r="U96"/>
  <c r="V96" s="1"/>
  <c r="U97"/>
  <c r="V97" s="1"/>
  <c r="U98"/>
  <c r="V98" s="1"/>
  <c r="U99"/>
  <c r="V99"/>
  <c r="U100"/>
  <c r="V100" s="1"/>
  <c r="U101"/>
  <c r="V101" s="1"/>
  <c r="U102"/>
  <c r="V102" s="1"/>
  <c r="U103"/>
  <c r="V103" s="1"/>
  <c r="U104"/>
  <c r="V104" s="1"/>
  <c r="U105"/>
  <c r="V105" s="1"/>
  <c r="U106"/>
  <c r="V106" s="1"/>
  <c r="U107"/>
  <c r="V107"/>
  <c r="U108"/>
  <c r="V108" s="1"/>
  <c r="U109"/>
  <c r="V109" s="1"/>
  <c r="U110"/>
  <c r="V110" s="1"/>
  <c r="U111"/>
  <c r="V111" s="1"/>
  <c r="U112"/>
  <c r="V112" s="1"/>
  <c r="U113"/>
  <c r="V113" s="1"/>
  <c r="U114"/>
  <c r="V114" s="1"/>
  <c r="U115"/>
  <c r="V115"/>
  <c r="U116"/>
  <c r="V116" s="1"/>
  <c r="U117"/>
  <c r="V117" s="1"/>
  <c r="U118"/>
  <c r="V118" s="1"/>
  <c r="U119"/>
  <c r="V119" s="1"/>
  <c r="U120"/>
  <c r="V120" s="1"/>
  <c r="U121"/>
  <c r="V121" s="1"/>
  <c r="U122"/>
  <c r="V122" s="1"/>
  <c r="U123"/>
  <c r="V123" s="1"/>
  <c r="U124"/>
  <c r="V124" s="1"/>
  <c r="U125"/>
  <c r="V125" s="1"/>
  <c r="U126"/>
  <c r="V126" s="1"/>
  <c r="U127"/>
  <c r="V127" s="1"/>
  <c r="AA276" i="6"/>
  <c r="AB276" s="1"/>
  <c r="AC276" s="1"/>
  <c r="AD276" s="1"/>
  <c r="Z222"/>
  <c r="AA222" s="1"/>
  <c r="AB222" s="1"/>
  <c r="AC222" s="1"/>
  <c r="AD222" s="1"/>
  <c r="AA286"/>
  <c r="AB286" s="1"/>
  <c r="AC286" s="1"/>
  <c r="AD286" s="1"/>
  <c r="Z190"/>
  <c r="AA190"/>
  <c r="AB190" s="1"/>
  <c r="AC190" s="1"/>
  <c r="AD190" s="1"/>
  <c r="AA274"/>
  <c r="AB274" s="1"/>
  <c r="AC274" s="1"/>
  <c r="AD274" s="1"/>
  <c r="AA296"/>
  <c r="AB296" s="1"/>
  <c r="AC296" s="1"/>
  <c r="AD296" s="1"/>
  <c r="AA285"/>
  <c r="AB285" s="1"/>
  <c r="AC285" s="1"/>
  <c r="AD285" s="1"/>
  <c r="AA293"/>
  <c r="AB293" s="1"/>
  <c r="AC293" s="1"/>
  <c r="AD293" s="1"/>
  <c r="AA254"/>
  <c r="AB254" s="1"/>
  <c r="AC254" s="1"/>
  <c r="AD254" s="1"/>
  <c r="AA301"/>
  <c r="AB301" s="1"/>
  <c r="AC301" s="1"/>
  <c r="AD301" s="1"/>
  <c r="AA450"/>
  <c r="AB450" s="1"/>
  <c r="AC450" s="1"/>
  <c r="AD450" s="1"/>
  <c r="S58" i="5"/>
  <c r="S228" i="6"/>
  <c r="S128" i="7"/>
  <c r="AA310" i="6"/>
  <c r="AB310" s="1"/>
  <c r="AC310" s="1"/>
  <c r="AD310" s="1"/>
  <c r="AA261"/>
  <c r="AB261" s="1"/>
  <c r="AC261" s="1"/>
  <c r="AD261" s="1"/>
  <c r="Z160"/>
  <c r="AA160" s="1"/>
  <c r="AB160" s="1"/>
  <c r="AC160" s="1"/>
  <c r="AD160" s="1"/>
  <c r="AA318"/>
  <c r="AB318" s="1"/>
  <c r="AC318" s="1"/>
  <c r="AD318" s="1"/>
  <c r="AA277"/>
  <c r="AB277" s="1"/>
  <c r="AC277" s="1"/>
  <c r="AD277" s="1"/>
  <c r="AA302"/>
  <c r="AB302" s="1"/>
  <c r="AC302" s="1"/>
  <c r="AD302" s="1"/>
  <c r="M255"/>
  <c r="M267"/>
  <c r="M275"/>
  <c r="M283"/>
  <c r="M289"/>
  <c r="M291"/>
  <c r="M303"/>
  <c r="M308"/>
  <c r="M311"/>
  <c r="M312"/>
  <c r="M316"/>
  <c r="M319"/>
  <c r="M320"/>
  <c r="M331"/>
  <c r="M334"/>
  <c r="M338"/>
  <c r="AA253"/>
  <c r="AB253" s="1"/>
  <c r="AC253" s="1"/>
  <c r="AD253" s="1"/>
  <c r="AA266"/>
  <c r="AB266" s="1"/>
  <c r="AC266" s="1"/>
  <c r="AD266" s="1"/>
  <c r="AA326"/>
  <c r="AB326" s="1"/>
  <c r="AC326" s="1"/>
  <c r="AD326" s="1"/>
  <c r="AA292"/>
  <c r="AB292" s="1"/>
  <c r="AC292" s="1"/>
  <c r="AD292" s="1"/>
  <c r="AA103"/>
  <c r="AB103" s="1"/>
  <c r="AC103" s="1"/>
  <c r="AD103" s="1"/>
  <c r="AA98"/>
  <c r="AB98" s="1"/>
  <c r="AC98" s="1"/>
  <c r="AD98" s="1"/>
  <c r="AA92"/>
  <c r="AB92" s="1"/>
  <c r="AC92" s="1"/>
  <c r="AD92" s="1"/>
  <c r="AA69"/>
  <c r="AB69" s="1"/>
  <c r="AC69" s="1"/>
  <c r="AD69" s="1"/>
  <c r="AA61"/>
  <c r="AB61" s="1"/>
  <c r="AC61" s="1"/>
  <c r="AD61" s="1"/>
  <c r="AA36"/>
  <c r="AB36" s="1"/>
  <c r="AC36" s="1"/>
  <c r="AD36" s="1"/>
  <c r="AA28"/>
  <c r="AB28" s="1"/>
  <c r="AC28" s="1"/>
  <c r="AD28" s="1"/>
  <c r="AA17"/>
  <c r="AB17" s="1"/>
  <c r="AC17" s="1"/>
  <c r="AD17" s="1"/>
  <c r="AA115"/>
  <c r="AB115" s="1"/>
  <c r="AC115" s="1"/>
  <c r="AD115" s="1"/>
  <c r="AA105"/>
  <c r="AB105" s="1"/>
  <c r="AC105" s="1"/>
  <c r="AD105" s="1"/>
  <c r="AA83"/>
  <c r="AB83" s="1"/>
  <c r="AC83" s="1"/>
  <c r="AD83" s="1"/>
  <c r="AA79"/>
  <c r="AB79" s="1"/>
  <c r="AC79" s="1"/>
  <c r="AD79" s="1"/>
  <c r="AA75"/>
  <c r="AB75" s="1"/>
  <c r="AC75" s="1"/>
  <c r="AD75" s="1"/>
  <c r="AA71"/>
  <c r="AB71" s="1"/>
  <c r="AC71" s="1"/>
  <c r="AD71" s="1"/>
  <c r="AA128"/>
  <c r="AB128" s="1"/>
  <c r="AC128" s="1"/>
  <c r="AD128" s="1"/>
  <c r="AA102"/>
  <c r="AB102" s="1"/>
  <c r="AC102" s="1"/>
  <c r="AD102" s="1"/>
  <c r="AA93"/>
  <c r="AB93" s="1"/>
  <c r="AC93" s="1"/>
  <c r="AD93" s="1"/>
  <c r="AA68"/>
  <c r="AB68" s="1"/>
  <c r="AC68" s="1"/>
  <c r="AD68" s="1"/>
  <c r="AA60"/>
  <c r="AB60" s="1"/>
  <c r="AC60" s="1"/>
  <c r="AD60" s="1"/>
  <c r="AA37"/>
  <c r="AB37" s="1"/>
  <c r="AC37" s="1"/>
  <c r="AD37" s="1"/>
  <c r="AA29"/>
  <c r="AB29" s="1"/>
  <c r="AC29" s="1"/>
  <c r="AD29" s="1"/>
  <c r="AA18"/>
  <c r="AB18" s="1"/>
  <c r="AC18" s="1"/>
  <c r="AD18" s="1"/>
  <c r="AA111"/>
  <c r="AB111" s="1"/>
  <c r="AC111" s="1"/>
  <c r="AD111" s="1"/>
  <c r="AA53"/>
  <c r="AB53" s="1"/>
  <c r="AC53" s="1"/>
  <c r="AD53" s="1"/>
  <c r="AA49"/>
  <c r="AB49" s="1"/>
  <c r="AC49" s="1"/>
  <c r="AD49" s="1"/>
  <c r="AA45"/>
  <c r="AB45" s="1"/>
  <c r="AC45" s="1"/>
  <c r="AD45" s="1"/>
  <c r="AA41"/>
  <c r="AB41" s="1"/>
  <c r="AC41" s="1"/>
  <c r="AD41" s="1"/>
  <c r="AA110"/>
  <c r="AB110" s="1"/>
  <c r="AC110" s="1"/>
  <c r="AD110" s="1"/>
  <c r="AA94"/>
  <c r="AB94" s="1"/>
  <c r="AC94" s="1"/>
  <c r="AD94" s="1"/>
  <c r="AA86"/>
  <c r="AB86" s="1"/>
  <c r="AC86" s="1"/>
  <c r="AD86" s="1"/>
  <c r="AA63"/>
  <c r="AB63" s="1"/>
  <c r="AC63" s="1"/>
  <c r="AD63" s="1"/>
  <c r="AA55"/>
  <c r="AB55" s="1"/>
  <c r="AC55" s="1"/>
  <c r="AD55" s="1"/>
  <c r="AA30"/>
  <c r="AB30" s="1"/>
  <c r="AC30" s="1"/>
  <c r="AD30" s="1"/>
  <c r="AA22"/>
  <c r="AB22" s="1"/>
  <c r="AC22" s="1"/>
  <c r="AD22" s="1"/>
  <c r="AA52"/>
  <c r="AB52" s="1"/>
  <c r="AC52" s="1"/>
  <c r="AD52" s="1"/>
  <c r="AA48"/>
  <c r="AB48" s="1"/>
  <c r="AC48" s="1"/>
  <c r="AD48" s="1"/>
  <c r="AA44"/>
  <c r="AB44" s="1"/>
  <c r="AC44" s="1"/>
  <c r="AD44" s="1"/>
  <c r="AA40"/>
  <c r="AB40" s="1"/>
  <c r="AC40" s="1"/>
  <c r="AD40" s="1"/>
  <c r="AA109"/>
  <c r="AB109" s="1"/>
  <c r="AC109" s="1"/>
  <c r="AD109" s="1"/>
  <c r="AA95"/>
  <c r="AB95" s="1"/>
  <c r="AC95" s="1"/>
  <c r="AD95" s="1"/>
  <c r="AA87"/>
  <c r="AB87" s="1"/>
  <c r="AC87" s="1"/>
  <c r="AD87" s="1"/>
  <c r="AA62"/>
  <c r="AB62" s="1"/>
  <c r="AC62" s="1"/>
  <c r="AD62" s="1"/>
  <c r="AA54"/>
  <c r="AB54" s="1"/>
  <c r="AC54" s="1"/>
  <c r="AD54" s="1"/>
  <c r="AA31"/>
  <c r="AB31" s="1"/>
  <c r="AC31" s="1"/>
  <c r="AD31" s="1"/>
  <c r="AA23"/>
  <c r="AB23" s="1"/>
  <c r="AC23" s="1"/>
  <c r="AD23" s="1"/>
  <c r="AA101"/>
  <c r="AB101" s="1"/>
  <c r="AC101" s="1"/>
  <c r="AD101" s="1"/>
  <c r="AA82"/>
  <c r="AB82" s="1"/>
  <c r="AC82" s="1"/>
  <c r="AD82" s="1"/>
  <c r="AA78"/>
  <c r="AB78" s="1"/>
  <c r="AC78" s="1"/>
  <c r="AD78" s="1"/>
  <c r="AA74"/>
  <c r="AB74" s="1"/>
  <c r="AC74" s="1"/>
  <c r="AD74" s="1"/>
  <c r="AA70"/>
  <c r="AB70" s="1"/>
  <c r="AC70" s="1"/>
  <c r="AD70" s="1"/>
  <c r="AA151"/>
  <c r="AB151" s="1"/>
  <c r="AC151" s="1"/>
  <c r="AD151" s="1"/>
  <c r="AA113"/>
  <c r="AB113" s="1"/>
  <c r="AC113" s="1"/>
  <c r="AD113" s="1"/>
  <c r="AA100"/>
  <c r="AB100" s="1"/>
  <c r="AC100" s="1"/>
  <c r="AD100" s="1"/>
  <c r="AA96"/>
  <c r="AB96" s="1"/>
  <c r="AC96" s="1"/>
  <c r="AD96" s="1"/>
  <c r="AA88"/>
  <c r="AB88" s="1"/>
  <c r="AC88" s="1"/>
  <c r="AD88" s="1"/>
  <c r="AA65"/>
  <c r="AB65" s="1"/>
  <c r="AC65" s="1"/>
  <c r="AD65" s="1"/>
  <c r="AA57"/>
  <c r="AB57" s="1"/>
  <c r="AC57" s="1"/>
  <c r="AD57" s="1"/>
  <c r="AA32"/>
  <c r="AB32" s="1"/>
  <c r="AC32" s="1"/>
  <c r="AD32" s="1"/>
  <c r="AA24"/>
  <c r="AB24" s="1"/>
  <c r="AC24" s="1"/>
  <c r="AD24" s="1"/>
  <c r="AA85"/>
  <c r="AB85" s="1"/>
  <c r="AC85" s="1"/>
  <c r="AD85" s="1"/>
  <c r="AA81"/>
  <c r="AB81" s="1"/>
  <c r="AC81" s="1"/>
  <c r="AD81" s="1"/>
  <c r="AA77"/>
  <c r="AB77" s="1"/>
  <c r="AC77" s="1"/>
  <c r="AD77" s="1"/>
  <c r="AA73"/>
  <c r="AB73" s="1"/>
  <c r="AC73" s="1"/>
  <c r="AD73" s="1"/>
  <c r="AA21"/>
  <c r="AB21" s="1"/>
  <c r="AC21" s="1"/>
  <c r="AD21" s="1"/>
  <c r="AA104"/>
  <c r="AB104" s="1"/>
  <c r="AC104" s="1"/>
  <c r="AD104" s="1"/>
  <c r="AA97"/>
  <c r="AB97" s="1"/>
  <c r="AC97" s="1"/>
  <c r="AD97" s="1"/>
  <c r="AA89"/>
  <c r="AB89" s="1"/>
  <c r="AC89" s="1"/>
  <c r="AD89" s="1"/>
  <c r="AA64"/>
  <c r="AB64" s="1"/>
  <c r="AC64" s="1"/>
  <c r="AD64" s="1"/>
  <c r="AA56"/>
  <c r="AB56" s="1"/>
  <c r="AC56" s="1"/>
  <c r="AD56" s="1"/>
  <c r="AA33"/>
  <c r="AB33" s="1"/>
  <c r="AC33" s="1"/>
  <c r="AD33" s="1"/>
  <c r="AA25"/>
  <c r="AB25" s="1"/>
  <c r="AC25" s="1"/>
  <c r="AD25" s="1"/>
  <c r="AA135"/>
  <c r="AB135" s="1"/>
  <c r="AC135" s="1"/>
  <c r="AD135" s="1"/>
  <c r="AA51"/>
  <c r="AB51" s="1"/>
  <c r="AC51" s="1"/>
  <c r="AD51" s="1"/>
  <c r="AA47"/>
  <c r="AB47" s="1"/>
  <c r="AC47" s="1"/>
  <c r="AD47" s="1"/>
  <c r="AA43"/>
  <c r="AB43" s="1"/>
  <c r="AC43" s="1"/>
  <c r="AD43" s="1"/>
  <c r="AA39"/>
  <c r="AB39" s="1"/>
  <c r="AC39" s="1"/>
  <c r="AD39" s="1"/>
  <c r="AA16"/>
  <c r="AB16" s="1"/>
  <c r="AC16" s="1"/>
  <c r="AD16" s="1"/>
  <c r="R252" i="7"/>
  <c r="AA108" i="6"/>
  <c r="AB108" s="1"/>
  <c r="AC108" s="1"/>
  <c r="AD108" s="1"/>
  <c r="AA90"/>
  <c r="AB90" s="1"/>
  <c r="AC90" s="1"/>
  <c r="AD90" s="1"/>
  <c r="AA67"/>
  <c r="AB67" s="1"/>
  <c r="AC67" s="1"/>
  <c r="AD67" s="1"/>
  <c r="AA59"/>
  <c r="AB59" s="1"/>
  <c r="AC59" s="1"/>
  <c r="AD59" s="1"/>
  <c r="AA34"/>
  <c r="AB34" s="1"/>
  <c r="AC34" s="1"/>
  <c r="AD34" s="1"/>
  <c r="AA26"/>
  <c r="AB26" s="1"/>
  <c r="AC26" s="1"/>
  <c r="AD26" s="1"/>
  <c r="AA112"/>
  <c r="AB112" s="1"/>
  <c r="AC112" s="1"/>
  <c r="AD112" s="1"/>
  <c r="AA50"/>
  <c r="AB50" s="1"/>
  <c r="AC50" s="1"/>
  <c r="AD50" s="1"/>
  <c r="AA46"/>
  <c r="AB46" s="1"/>
  <c r="AC46" s="1"/>
  <c r="AD46" s="1"/>
  <c r="AA42"/>
  <c r="AB42" s="1"/>
  <c r="AC42" s="1"/>
  <c r="AD42" s="1"/>
  <c r="AA38"/>
  <c r="AB38" s="1"/>
  <c r="AC38" s="1"/>
  <c r="AD38" s="1"/>
  <c r="AA114"/>
  <c r="AB114" s="1"/>
  <c r="AC114" s="1"/>
  <c r="AD114" s="1"/>
  <c r="AA107"/>
  <c r="AB107" s="1"/>
  <c r="AC107" s="1"/>
  <c r="AD107" s="1"/>
  <c r="AA99"/>
  <c r="AB99" s="1"/>
  <c r="AC99" s="1"/>
  <c r="AD99" s="1"/>
  <c r="AA91"/>
  <c r="AB91" s="1"/>
  <c r="AC91" s="1"/>
  <c r="AD91" s="1"/>
  <c r="AA66"/>
  <c r="AB66" s="1"/>
  <c r="AC66" s="1"/>
  <c r="AD66" s="1"/>
  <c r="AA58"/>
  <c r="AB58" s="1"/>
  <c r="AC58" s="1"/>
  <c r="AD58" s="1"/>
  <c r="AA35"/>
  <c r="AB35" s="1"/>
  <c r="AC35" s="1"/>
  <c r="AD35" s="1"/>
  <c r="AA27"/>
  <c r="AB27" s="1"/>
  <c r="AC27" s="1"/>
  <c r="AD27" s="1"/>
  <c r="AA106"/>
  <c r="AB106" s="1"/>
  <c r="AC106" s="1"/>
  <c r="AD106" s="1"/>
  <c r="AA84"/>
  <c r="AB84" s="1"/>
  <c r="AC84" s="1"/>
  <c r="AD84" s="1"/>
  <c r="AA80"/>
  <c r="AB80" s="1"/>
  <c r="AC80" s="1"/>
  <c r="AD80" s="1"/>
  <c r="AA76"/>
  <c r="AB76" s="1"/>
  <c r="AC76" s="1"/>
  <c r="AD76" s="1"/>
  <c r="AA72"/>
  <c r="AB72" s="1"/>
  <c r="AC72" s="1"/>
  <c r="AD72" s="1"/>
  <c r="AA20"/>
  <c r="AB20" s="1"/>
  <c r="AC20" s="1"/>
  <c r="AD20" s="1"/>
  <c r="U58" i="5"/>
  <c r="L86"/>
  <c r="U140"/>
  <c r="AA131" i="6"/>
  <c r="AB131" s="1"/>
  <c r="AC131" s="1"/>
  <c r="AD131" s="1"/>
  <c r="AA143"/>
  <c r="AB143" s="1"/>
  <c r="AC143" s="1"/>
  <c r="AD143" s="1"/>
  <c r="AA147"/>
  <c r="AB147" s="1"/>
  <c r="AC147" s="1"/>
  <c r="AD147" s="1"/>
  <c r="AA159"/>
  <c r="AB159" s="1"/>
  <c r="AC159" s="1"/>
  <c r="AD159" s="1"/>
  <c r="AA167"/>
  <c r="AB167" s="1"/>
  <c r="AC167" s="1"/>
  <c r="AD167" s="1"/>
  <c r="AA179"/>
  <c r="AB179" s="1"/>
  <c r="AC179" s="1"/>
  <c r="AD179" s="1"/>
  <c r="AA203"/>
  <c r="AB203" s="1"/>
  <c r="AC203" s="1"/>
  <c r="AD203" s="1"/>
  <c r="AA219"/>
  <c r="AB219" s="1"/>
  <c r="AC219" s="1"/>
  <c r="AD219" s="1"/>
  <c r="U228"/>
  <c r="AA155"/>
  <c r="AB155" s="1"/>
  <c r="AC155" s="1"/>
  <c r="AD155" s="1"/>
  <c r="AA183"/>
  <c r="AB183" s="1"/>
  <c r="AC183" s="1"/>
  <c r="AD183" s="1"/>
  <c r="AA195"/>
  <c r="AB195" s="1"/>
  <c r="AC195" s="1"/>
  <c r="AD195" s="1"/>
  <c r="AA207"/>
  <c r="AB207" s="1"/>
  <c r="AC207" s="1"/>
  <c r="AD207" s="1"/>
  <c r="AA227"/>
  <c r="AB227" s="1"/>
  <c r="AC227" s="1"/>
  <c r="AD227" s="1"/>
  <c r="R58" i="5"/>
  <c r="U86"/>
  <c r="U113"/>
  <c r="AA175" i="6"/>
  <c r="AB175" s="1"/>
  <c r="AC175" s="1"/>
  <c r="AD175" s="1"/>
  <c r="AA187"/>
  <c r="AB187" s="1"/>
  <c r="AC187" s="1"/>
  <c r="AD187" s="1"/>
  <c r="AA139"/>
  <c r="AB139" s="1"/>
  <c r="AC139" s="1"/>
  <c r="AD139" s="1"/>
  <c r="AA163"/>
  <c r="AB163" s="1"/>
  <c r="AC163" s="1"/>
  <c r="AD163" s="1"/>
  <c r="AA171"/>
  <c r="AB171" s="1"/>
  <c r="AC171" s="1"/>
  <c r="AD171" s="1"/>
  <c r="AA191"/>
  <c r="AB191" s="1"/>
  <c r="AC191" s="1"/>
  <c r="AD191" s="1"/>
  <c r="AA199"/>
  <c r="AB199" s="1"/>
  <c r="AC199" s="1"/>
  <c r="AD199" s="1"/>
  <c r="AA211"/>
  <c r="AB211" s="1"/>
  <c r="AC211" s="1"/>
  <c r="AD211" s="1"/>
  <c r="AA215"/>
  <c r="AB215" s="1"/>
  <c r="AC215" s="1"/>
  <c r="AD215" s="1"/>
  <c r="AA223"/>
  <c r="AB223" s="1"/>
  <c r="AC223" s="1"/>
  <c r="AD223" s="1"/>
  <c r="R340"/>
  <c r="U340"/>
  <c r="AA380"/>
  <c r="AB380" s="1"/>
  <c r="AC380" s="1"/>
  <c r="AD380" s="1"/>
  <c r="AA362"/>
  <c r="AB362" s="1"/>
  <c r="AC362" s="1"/>
  <c r="AD362" s="1"/>
  <c r="U452"/>
  <c r="L340"/>
  <c r="R190" i="7"/>
  <c r="AA392" i="6"/>
  <c r="AB392" s="1"/>
  <c r="AC392" s="1"/>
  <c r="AD392" s="1"/>
  <c r="Z420"/>
  <c r="AA420" s="1"/>
  <c r="AB420" s="1"/>
  <c r="AC420" s="1"/>
  <c r="AA422"/>
  <c r="AB422" s="1"/>
  <c r="AC422" s="1"/>
  <c r="AD422" s="1"/>
  <c r="AA424"/>
  <c r="AB424" s="1"/>
  <c r="AC424" s="1"/>
  <c r="AD424" s="1"/>
  <c r="AA428"/>
  <c r="AB428" s="1"/>
  <c r="AC428" s="1"/>
  <c r="AD428" s="1"/>
  <c r="Z430"/>
  <c r="AA430" s="1"/>
  <c r="AB430" s="1"/>
  <c r="AC430" s="1"/>
  <c r="AD430" s="1"/>
  <c r="AB477"/>
  <c r="AC477" s="1"/>
  <c r="AD477" s="1"/>
  <c r="Z477"/>
  <c r="AA477" s="1"/>
  <c r="K452"/>
  <c r="AA451"/>
  <c r="AB451" s="1"/>
  <c r="AC451" s="1"/>
  <c r="AD451" s="1"/>
  <c r="Z517"/>
  <c r="AA517" s="1"/>
  <c r="AB517" s="1"/>
  <c r="AC517" s="1"/>
  <c r="AD517" s="1"/>
  <c r="Z518"/>
  <c r="AA518" s="1"/>
  <c r="AB518" s="1"/>
  <c r="AC518" s="1"/>
  <c r="AD518" s="1"/>
  <c r="AB524"/>
  <c r="AC524" s="1"/>
  <c r="AD524" s="1"/>
  <c r="Z534"/>
  <c r="AA534" s="1"/>
  <c r="AB534" s="1"/>
  <c r="AC534" s="1"/>
  <c r="AD534" s="1"/>
  <c r="Z540"/>
  <c r="AA540" s="1"/>
  <c r="AB540" s="1"/>
  <c r="AC540" s="1"/>
  <c r="AD540" s="1"/>
  <c r="Z546"/>
  <c r="AA546" s="1"/>
  <c r="AB546" s="1"/>
  <c r="AC546" s="1"/>
  <c r="AD546" s="1"/>
  <c r="AA549"/>
  <c r="AB549" s="1"/>
  <c r="AC549" s="1"/>
  <c r="AD549" s="1"/>
  <c r="Z492"/>
  <c r="AA492" s="1"/>
  <c r="AB492" s="1"/>
  <c r="AC492" s="1"/>
  <c r="AD492" s="1"/>
  <c r="Z500"/>
  <c r="AA500" s="1"/>
  <c r="AB500" s="1"/>
  <c r="AC500" s="1"/>
  <c r="AD500" s="1"/>
  <c r="Z502"/>
  <c r="AA502" s="1"/>
  <c r="AB502" s="1"/>
  <c r="AC502" s="1"/>
  <c r="AD502" s="1"/>
  <c r="AC508"/>
  <c r="AD508" s="1"/>
  <c r="J408"/>
  <c r="AB525"/>
  <c r="AC525" s="1"/>
  <c r="AD525" s="1"/>
  <c r="Z525"/>
  <c r="AA525" s="1"/>
  <c r="J415"/>
  <c r="J555"/>
  <c r="O555" s="1"/>
  <c r="P555" s="1"/>
  <c r="R555" s="1"/>
  <c r="J522"/>
  <c r="O522" s="1"/>
  <c r="P522" s="1"/>
  <c r="R522" s="1"/>
  <c r="Z526"/>
  <c r="AA526" s="1"/>
  <c r="AB526" s="1"/>
  <c r="AC526" s="1"/>
  <c r="AD526" s="1"/>
  <c r="J417"/>
  <c r="AB536"/>
  <c r="AC536" s="1"/>
  <c r="AD536" s="1"/>
  <c r="Z536"/>
  <c r="AA536" s="1"/>
  <c r="AB538"/>
  <c r="AC538" s="1"/>
  <c r="AD538" s="1"/>
  <c r="Z538"/>
  <c r="AA538" s="1"/>
  <c r="Z488"/>
  <c r="AA488" s="1"/>
  <c r="AB488" s="1"/>
  <c r="AC488" s="1"/>
  <c r="AD488" s="1"/>
  <c r="Z501"/>
  <c r="AA501" s="1"/>
  <c r="AB501" s="1"/>
  <c r="AC501" s="1"/>
  <c r="AD501" s="1"/>
  <c r="Z504"/>
  <c r="AA504" s="1"/>
  <c r="AB504" s="1"/>
  <c r="AC504" s="1"/>
  <c r="AD504" s="1"/>
  <c r="G52" i="3"/>
  <c r="U128" i="7"/>
  <c r="U564" i="6"/>
  <c r="R128" i="7"/>
  <c r="U190"/>
  <c r="U252"/>
  <c r="U314"/>
  <c r="J297"/>
  <c r="H297"/>
  <c r="F297"/>
  <c r="D297"/>
  <c r="I13" i="9"/>
  <c r="J13" s="1"/>
  <c r="K13" s="1"/>
  <c r="L13" s="1"/>
  <c r="M13" s="1"/>
  <c r="N13" s="1"/>
  <c r="O13" s="1"/>
  <c r="F23" s="1"/>
  <c r="G23" s="1"/>
  <c r="H23" s="1"/>
  <c r="I23" s="1"/>
  <c r="J23" s="1"/>
  <c r="K23" s="1"/>
  <c r="L23" s="1"/>
  <c r="M23" s="1"/>
  <c r="N23" s="1"/>
  <c r="O23" s="1"/>
  <c r="M121" i="8"/>
  <c r="N121" s="1"/>
  <c r="G14" i="11"/>
  <c r="G57" s="1"/>
  <c r="H14" s="1"/>
  <c r="H57" s="1"/>
  <c r="I14" s="1"/>
  <c r="I57" s="1"/>
  <c r="J14" s="1"/>
  <c r="J57" s="1"/>
  <c r="G53" i="3"/>
  <c r="O19" i="9"/>
  <c r="N19"/>
  <c r="M19"/>
  <c r="L19"/>
  <c r="K19"/>
  <c r="J19"/>
  <c r="I19"/>
  <c r="H19"/>
  <c r="G13" i="11"/>
  <c r="G56" s="1"/>
  <c r="H13" s="1"/>
  <c r="H56" s="1"/>
  <c r="I13" s="1"/>
  <c r="I56" s="1"/>
  <c r="J13" s="1"/>
  <c r="J56" s="1"/>
  <c r="F60"/>
  <c r="F61" s="1"/>
  <c r="F14" i="13" s="1"/>
  <c r="F17" s="1"/>
  <c r="F25" s="1"/>
  <c r="G12" i="11"/>
  <c r="G16"/>
  <c r="G59" s="1"/>
  <c r="H16" s="1"/>
  <c r="H59" s="1"/>
  <c r="I16" s="1"/>
  <c r="I59" s="1"/>
  <c r="J16" s="1"/>
  <c r="J59" s="1"/>
  <c r="G8"/>
  <c r="H8" s="1"/>
  <c r="I8" s="1"/>
  <c r="J8" s="1"/>
  <c r="F41" i="13"/>
  <c r="F22" i="12"/>
  <c r="J35" i="13"/>
  <c r="I35"/>
  <c r="I26" i="14"/>
  <c r="H26"/>
  <c r="G26"/>
  <c r="F26"/>
  <c r="H94" i="15"/>
  <c r="I94" s="1"/>
  <c r="I89" i="17" s="1"/>
  <c r="I122" i="15"/>
  <c r="I52" i="14" s="1"/>
  <c r="H122" i="15"/>
  <c r="H52" i="14" s="1"/>
  <c r="G122" i="15"/>
  <c r="G52" i="14" s="1"/>
  <c r="F122" i="15"/>
  <c r="F52" i="14" s="1"/>
  <c r="G102" i="15"/>
  <c r="H73"/>
  <c r="I73" s="1"/>
  <c r="I86" i="17" s="1"/>
  <c r="J40" i="13"/>
  <c r="I40"/>
  <c r="H40"/>
  <c r="G87" i="17"/>
  <c r="L491" i="6" l="1"/>
  <c r="M379"/>
  <c r="S379"/>
  <c r="M130" i="5"/>
  <c r="S130"/>
  <c r="M520" i="6"/>
  <c r="S520"/>
  <c r="S515"/>
  <c r="T515" s="1"/>
  <c r="M515"/>
  <c r="S559"/>
  <c r="T559" s="1"/>
  <c r="M559"/>
  <c r="S529"/>
  <c r="M529"/>
  <c r="L134" i="5"/>
  <c r="S134" s="1"/>
  <c r="S107"/>
  <c r="S113" s="1"/>
  <c r="M107"/>
  <c r="L113"/>
  <c r="S555" i="6"/>
  <c r="M555"/>
  <c r="L535"/>
  <c r="M423"/>
  <c r="S423"/>
  <c r="H196" i="15"/>
  <c r="T129" i="5"/>
  <c r="F32" i="13"/>
  <c r="F36" s="1"/>
  <c r="T125" i="7"/>
  <c r="T134" i="5"/>
  <c r="T130"/>
  <c r="T128"/>
  <c r="AD535" i="6"/>
  <c r="T213"/>
  <c r="AD491"/>
  <c r="AD483"/>
  <c r="T135"/>
  <c r="T196"/>
  <c r="T148"/>
  <c r="O417"/>
  <c r="P417" s="1"/>
  <c r="R417" s="1"/>
  <c r="J529"/>
  <c r="O529" s="1"/>
  <c r="P529" s="1"/>
  <c r="R529" s="1"/>
  <c r="O415"/>
  <c r="P415" s="1"/>
  <c r="R415" s="1"/>
  <c r="J527"/>
  <c r="O527" s="1"/>
  <c r="P527" s="1"/>
  <c r="R527" s="1"/>
  <c r="T555"/>
  <c r="O408"/>
  <c r="J520"/>
  <c r="T293"/>
  <c r="T511"/>
  <c r="AD544"/>
  <c r="T334"/>
  <c r="T222"/>
  <c r="T289"/>
  <c r="T134"/>
  <c r="J256" i="4"/>
  <c r="F63" i="17" s="1"/>
  <c r="T280" i="7"/>
  <c r="T271"/>
  <c r="T320" i="6"/>
  <c r="T432"/>
  <c r="T419"/>
  <c r="T305" i="7"/>
  <c r="T281"/>
  <c r="T180" i="6"/>
  <c r="T150"/>
  <c r="T152" i="7"/>
  <c r="T220"/>
  <c r="T146"/>
  <c r="T443" i="6"/>
  <c r="T107" i="5"/>
  <c r="T204" i="6"/>
  <c r="T222" i="7"/>
  <c r="T101" i="5"/>
  <c r="T127" i="7"/>
  <c r="T103"/>
  <c r="T106" i="5"/>
  <c r="T104"/>
  <c r="T100"/>
  <c r="T303" i="7"/>
  <c r="T135" i="5"/>
  <c r="T127"/>
  <c r="T204" i="7"/>
  <c r="T446" i="6"/>
  <c r="T287" i="7"/>
  <c r="T84"/>
  <c r="T426" i="6"/>
  <c r="T105" i="5"/>
  <c r="T282" i="7"/>
  <c r="T386" i="6"/>
  <c r="T109" i="5"/>
  <c r="T331" i="6"/>
  <c r="T88" i="7"/>
  <c r="T43" i="5"/>
  <c r="T183" i="7"/>
  <c r="T167"/>
  <c r="T163"/>
  <c r="T159"/>
  <c r="T144"/>
  <c r="T85" i="5"/>
  <c r="T72"/>
  <c r="T250" i="7"/>
  <c r="T428" i="6"/>
  <c r="T362"/>
  <c r="T102" i="5"/>
  <c r="T269" i="7"/>
  <c r="T197" i="6"/>
  <c r="T120" i="7"/>
  <c r="T111"/>
  <c r="T107"/>
  <c r="T91"/>
  <c r="T87"/>
  <c r="T80"/>
  <c r="T189"/>
  <c r="T186"/>
  <c r="T184"/>
  <c r="T170"/>
  <c r="T164"/>
  <c r="T162"/>
  <c r="T160"/>
  <c r="T141"/>
  <c r="T84" i="5"/>
  <c r="T82"/>
  <c r="T248" i="7"/>
  <c r="T420" i="6"/>
  <c r="T355"/>
  <c r="T99" i="5"/>
  <c r="T313" i="7"/>
  <c r="T310"/>
  <c r="T308"/>
  <c r="T288"/>
  <c r="T133" i="5"/>
  <c r="T208" i="6"/>
  <c r="T192"/>
  <c r="T189"/>
  <c r="T185"/>
  <c r="H89" i="17"/>
  <c r="V228" i="6"/>
  <c r="S544"/>
  <c r="T544" s="1"/>
  <c r="M544"/>
  <c r="M474"/>
  <c r="S474"/>
  <c r="T474" s="1"/>
  <c r="L527"/>
  <c r="S415"/>
  <c r="M415"/>
  <c r="S467"/>
  <c r="T467" s="1"/>
  <c r="M467"/>
  <c r="S491"/>
  <c r="T491" s="1"/>
  <c r="M491"/>
  <c r="K136" i="5"/>
  <c r="K113"/>
  <c r="M109"/>
  <c r="S522" i="6"/>
  <c r="T522" s="1"/>
  <c r="M522"/>
  <c r="L543"/>
  <c r="S431"/>
  <c r="M431"/>
  <c r="S513"/>
  <c r="T513" s="1"/>
  <c r="M513"/>
  <c r="M531"/>
  <c r="S531"/>
  <c r="T531" s="1"/>
  <c r="S562"/>
  <c r="T562" s="1"/>
  <c r="M562"/>
  <c r="L499"/>
  <c r="S499" s="1"/>
  <c r="T499" s="1"/>
  <c r="S387"/>
  <c r="M387"/>
  <c r="K140" i="5"/>
  <c r="H197" i="15"/>
  <c r="G67" i="17" s="1"/>
  <c r="M113" i="5"/>
  <c r="T100" i="7"/>
  <c r="T95"/>
  <c r="T51" i="5"/>
  <c r="T185" i="7"/>
  <c r="T161"/>
  <c r="T154"/>
  <c r="T81" i="5"/>
  <c r="T76"/>
  <c r="T73"/>
  <c r="T71"/>
  <c r="T239" i="7"/>
  <c r="T210"/>
  <c r="T208"/>
  <c r="T205"/>
  <c r="T450" i="6"/>
  <c r="T410"/>
  <c r="T404"/>
  <c r="T401"/>
  <c r="T379"/>
  <c r="T112" i="5"/>
  <c r="T110"/>
  <c r="T265" i="7"/>
  <c r="AD493" i="6"/>
  <c r="T303"/>
  <c r="T193"/>
  <c r="T187"/>
  <c r="T177"/>
  <c r="T164"/>
  <c r="T146"/>
  <c r="T140"/>
  <c r="M136" i="5"/>
  <c r="M134"/>
  <c r="M128"/>
  <c r="AD423" i="6"/>
  <c r="AD420"/>
  <c r="AD401"/>
  <c r="AD395"/>
  <c r="AD387"/>
  <c r="AD381"/>
  <c r="G17" i="11"/>
  <c r="G60" s="1"/>
  <c r="H17" s="1"/>
  <c r="H60" s="1"/>
  <c r="I17" s="1"/>
  <c r="I60" s="1"/>
  <c r="J17" s="1"/>
  <c r="J60" s="1"/>
  <c r="V140" i="5"/>
  <c r="AD531" i="6"/>
  <c r="AD513"/>
  <c r="AD562"/>
  <c r="AD557"/>
  <c r="AD529"/>
  <c r="T119" i="7"/>
  <c r="T92"/>
  <c r="T83"/>
  <c r="T78"/>
  <c r="T188"/>
  <c r="T180"/>
  <c r="T178"/>
  <c r="T176"/>
  <c r="T165"/>
  <c r="T155"/>
  <c r="T147"/>
  <c r="T78" i="5"/>
  <c r="T247" i="7"/>
  <c r="T245"/>
  <c r="T243"/>
  <c r="T236"/>
  <c r="T224"/>
  <c r="T214"/>
  <c r="M127" i="5"/>
  <c r="AD432" i="6"/>
  <c r="AD367"/>
  <c r="M340"/>
  <c r="V113" i="5"/>
  <c r="K564" i="6"/>
  <c r="T447"/>
  <c r="T403"/>
  <c r="T387"/>
  <c r="T381"/>
  <c r="T352"/>
  <c r="T111" i="5"/>
  <c r="T292" i="7"/>
  <c r="T276"/>
  <c r="T274"/>
  <c r="T272"/>
  <c r="T266"/>
  <c r="T311" i="6"/>
  <c r="T287"/>
  <c r="M499"/>
  <c r="T52" i="5"/>
  <c r="T149" i="7"/>
  <c r="T219"/>
  <c r="T207"/>
  <c r="T431" i="6"/>
  <c r="T309" i="7"/>
  <c r="T371" i="6"/>
  <c r="T267"/>
  <c r="T225"/>
  <c r="T205"/>
  <c r="T200"/>
  <c r="T129"/>
  <c r="AD447"/>
  <c r="AD443"/>
  <c r="AD431"/>
  <c r="AD415"/>
  <c r="M12" i="4" s="1"/>
  <c r="G82" i="3"/>
  <c r="K85" i="4"/>
  <c r="T56" i="5"/>
  <c r="T173" i="7"/>
  <c r="T168"/>
  <c r="T166"/>
  <c r="T230"/>
  <c r="T217"/>
  <c r="T103" i="5"/>
  <c r="T98"/>
  <c r="T289" i="7"/>
  <c r="T277"/>
  <c r="T273"/>
  <c r="T136" i="5"/>
  <c r="T131"/>
  <c r="T125"/>
  <c r="T139"/>
  <c r="T316" i="6"/>
  <c r="T297"/>
  <c r="T275"/>
  <c r="T240"/>
  <c r="T108" i="7"/>
  <c r="T102"/>
  <c r="T47" i="5"/>
  <c r="T45"/>
  <c r="T142" i="7"/>
  <c r="T209"/>
  <c r="T423" i="6"/>
  <c r="T417"/>
  <c r="T293" i="7"/>
  <c r="T177"/>
  <c r="T172"/>
  <c r="T169"/>
  <c r="T74" i="5"/>
  <c r="T86" s="1"/>
  <c r="T231" i="7"/>
  <c r="T268"/>
  <c r="T132" i="5"/>
  <c r="T319" i="6"/>
  <c r="T312"/>
  <c r="T291"/>
  <c r="T216"/>
  <c r="T174"/>
  <c r="T133"/>
  <c r="T44" i="5"/>
  <c r="T143" i="7"/>
  <c r="T246"/>
  <c r="T241"/>
  <c r="T415" i="6"/>
  <c r="T395"/>
  <c r="T298" i="7"/>
  <c r="T296"/>
  <c r="T290"/>
  <c r="T285"/>
  <c r="T267"/>
  <c r="T283" i="6"/>
  <c r="T170"/>
  <c r="T130"/>
  <c r="G134" i="3"/>
  <c r="G135"/>
  <c r="G160" s="1"/>
  <c r="K119" i="8" s="1"/>
  <c r="G18" i="11"/>
  <c r="F56" i="13"/>
  <c r="V128" i="7"/>
  <c r="V58" i="5"/>
  <c r="R297" i="7"/>
  <c r="R314" s="1"/>
  <c r="M538" i="6"/>
  <c r="S538"/>
  <c r="T538" s="1"/>
  <c r="M493"/>
  <c r="S493"/>
  <c r="T493" s="1"/>
  <c r="G55" i="11"/>
  <c r="V314" i="7"/>
  <c r="V564" i="6"/>
  <c r="K201" i="4"/>
  <c r="L201"/>
  <c r="M540" i="6"/>
  <c r="S540"/>
  <c r="T540" s="1"/>
  <c r="V252" i="7"/>
  <c r="H86" i="17"/>
  <c r="V452" i="6"/>
  <c r="M536"/>
  <c r="S536"/>
  <c r="T536" s="1"/>
  <c r="S532"/>
  <c r="T532" s="1"/>
  <c r="M532"/>
  <c r="V190" i="7"/>
  <c r="V86" i="5"/>
  <c r="J203" i="4"/>
  <c r="L203"/>
  <c r="I196" i="15"/>
  <c r="M140" i="5"/>
  <c r="J196" i="15" s="1"/>
  <c r="I162" s="1"/>
  <c r="G187" i="3"/>
  <c r="G212" s="1"/>
  <c r="L367" i="6"/>
  <c r="S255"/>
  <c r="S340" s="1"/>
  <c r="M84" i="4"/>
  <c r="M85" s="1"/>
  <c r="L85"/>
  <c r="T338" i="6"/>
  <c r="T307"/>
  <c r="T126" i="5"/>
  <c r="T140" s="1"/>
  <c r="K12" i="4"/>
  <c r="G83" i="3"/>
  <c r="G108"/>
  <c r="V340" i="6"/>
  <c r="L12" i="4"/>
  <c r="G186" i="3"/>
  <c r="G159"/>
  <c r="J75" i="4"/>
  <c r="T308" i="6"/>
  <c r="J12" i="4"/>
  <c r="S535" i="6" l="1"/>
  <c r="T535" s="1"/>
  <c r="M535"/>
  <c r="L140" i="5"/>
  <c r="S140"/>
  <c r="G162" i="15"/>
  <c r="G66" i="17"/>
  <c r="I520" i="6"/>
  <c r="O520" s="1"/>
  <c r="T529"/>
  <c r="P408"/>
  <c r="O452"/>
  <c r="F103" i="15"/>
  <c r="H199"/>
  <c r="G179" s="1"/>
  <c r="F179" s="1"/>
  <c r="G163"/>
  <c r="T58" i="5"/>
  <c r="K203" i="4"/>
  <c r="T128" i="7"/>
  <c r="I12" i="4"/>
  <c r="Z67" s="1"/>
  <c r="J67"/>
  <c r="Z24"/>
  <c r="I23"/>
  <c r="Z23"/>
  <c r="I24"/>
  <c r="Z48"/>
  <c r="Z21"/>
  <c r="Z22"/>
  <c r="Z25"/>
  <c r="I49"/>
  <c r="I22"/>
  <c r="I25"/>
  <c r="I21"/>
  <c r="M258"/>
  <c r="I64" i="17" s="1"/>
  <c r="M543" i="6"/>
  <c r="S543"/>
  <c r="T543" s="1"/>
  <c r="M527"/>
  <c r="S527"/>
  <c r="T527" s="1"/>
  <c r="J201" i="4"/>
  <c r="K250" s="1"/>
  <c r="G157" i="15" s="1"/>
  <c r="T190" i="7"/>
  <c r="T252"/>
  <c r="T297"/>
  <c r="G161" i="3"/>
  <c r="G136"/>
  <c r="T113" i="5"/>
  <c r="L119" i="8"/>
  <c r="M119" s="1"/>
  <c r="N119" s="1"/>
  <c r="J119"/>
  <c r="J49" i="4"/>
  <c r="J21"/>
  <c r="J47"/>
  <c r="AA47"/>
  <c r="J25"/>
  <c r="AA48"/>
  <c r="J23"/>
  <c r="J48"/>
  <c r="AA23"/>
  <c r="AA24"/>
  <c r="J24"/>
  <c r="J22"/>
  <c r="AA12"/>
  <c r="G109" i="3"/>
  <c r="K120" i="8"/>
  <c r="L252" i="4"/>
  <c r="K75"/>
  <c r="Z75"/>
  <c r="M23"/>
  <c r="M24"/>
  <c r="K252"/>
  <c r="J252"/>
  <c r="M201"/>
  <c r="M250" s="1"/>
  <c r="I157" i="15" s="1"/>
  <c r="L24" i="4"/>
  <c r="L23"/>
  <c r="K47"/>
  <c r="K23"/>
  <c r="K24"/>
  <c r="K48"/>
  <c r="I66" i="17"/>
  <c r="H66"/>
  <c r="H162" i="15"/>
  <c r="L250" i="4"/>
  <c r="H157" i="15" s="1"/>
  <c r="H12" i="11"/>
  <c r="G61"/>
  <c r="G14" i="13" s="1"/>
  <c r="T255" i="6"/>
  <c r="J77" i="4"/>
  <c r="K77" s="1"/>
  <c r="L77" s="1"/>
  <c r="M77" s="1"/>
  <c r="G211" i="3"/>
  <c r="G213" s="1"/>
  <c r="G188"/>
  <c r="L479" i="6"/>
  <c r="S367"/>
  <c r="M367"/>
  <c r="L452"/>
  <c r="K258" i="4"/>
  <c r="G64" i="17" s="1"/>
  <c r="J258" i="4"/>
  <c r="G161" i="15"/>
  <c r="L258" i="4"/>
  <c r="H64" i="17" s="1"/>
  <c r="K256" i="4"/>
  <c r="J255" l="1"/>
  <c r="P520" i="6"/>
  <c r="O564"/>
  <c r="P452"/>
  <c r="R408"/>
  <c r="R452" s="1"/>
  <c r="I48" i="4"/>
  <c r="I72" s="1"/>
  <c r="I67"/>
  <c r="I45"/>
  <c r="I68" s="1"/>
  <c r="Z49"/>
  <c r="Z47"/>
  <c r="Z71" s="1"/>
  <c r="I46"/>
  <c r="I69" s="1"/>
  <c r="I47"/>
  <c r="I71" s="1"/>
  <c r="J250"/>
  <c r="F157" i="15" s="1"/>
  <c r="Z12" i="4"/>
  <c r="F33" i="15"/>
  <c r="F159"/>
  <c r="H33"/>
  <c r="H159"/>
  <c r="G33"/>
  <c r="G159"/>
  <c r="I73" i="4"/>
  <c r="Z73"/>
  <c r="Z72"/>
  <c r="J73"/>
  <c r="AA71"/>
  <c r="J71"/>
  <c r="AA72"/>
  <c r="K72"/>
  <c r="T314" i="7"/>
  <c r="M203" i="4"/>
  <c r="M252" s="1"/>
  <c r="J72"/>
  <c r="M452" i="6"/>
  <c r="I197" i="15"/>
  <c r="H55" i="11"/>
  <c r="H18"/>
  <c r="L120" i="8"/>
  <c r="J120"/>
  <c r="J122" s="1"/>
  <c r="K122"/>
  <c r="I31" i="15"/>
  <c r="H102"/>
  <c r="F129"/>
  <c r="G17" i="13"/>
  <c r="G31" i="15"/>
  <c r="F91"/>
  <c r="S479" i="6"/>
  <c r="M479"/>
  <c r="M564" s="1"/>
  <c r="J197" i="15" s="1"/>
  <c r="I163" s="1"/>
  <c r="L564" i="6"/>
  <c r="I102" i="15" s="1"/>
  <c r="T340" i="6"/>
  <c r="K202" i="4"/>
  <c r="F31" i="15"/>
  <c r="K71" i="4"/>
  <c r="K255"/>
  <c r="G91" i="15" s="1"/>
  <c r="G97" s="1"/>
  <c r="G88" i="17" s="1"/>
  <c r="G63"/>
  <c r="G103" i="15"/>
  <c r="G39" i="13"/>
  <c r="F64" i="17"/>
  <c r="S452" i="6"/>
  <c r="T367"/>
  <c r="H31" i="15"/>
  <c r="L75" i="4"/>
  <c r="AA75"/>
  <c r="T408" i="6" l="1"/>
  <c r="P564"/>
  <c r="R520"/>
  <c r="R564" s="1"/>
  <c r="I33" i="15"/>
  <c r="I159"/>
  <c r="F97"/>
  <c r="F88" i="17" s="1"/>
  <c r="F92" i="15"/>
  <c r="M75" i="4"/>
  <c r="M255" s="1"/>
  <c r="I91" i="15" s="1"/>
  <c r="I97" s="1"/>
  <c r="I88" i="17" s="1"/>
  <c r="L256" i="4"/>
  <c r="M120" i="8"/>
  <c r="L122"/>
  <c r="L202" i="4"/>
  <c r="L251" s="1"/>
  <c r="H158" i="15" s="1"/>
  <c r="T452" i="6"/>
  <c r="I67" i="17"/>
  <c r="H163" i="15"/>
  <c r="H67" i="17"/>
  <c r="I199" i="15"/>
  <c r="H179" s="1"/>
  <c r="G41" i="13"/>
  <c r="H39"/>
  <c r="F37" i="17"/>
  <c r="I12" i="11"/>
  <c r="H61"/>
  <c r="H14" i="13" s="1"/>
  <c r="L255" i="4"/>
  <c r="H91" i="15" s="1"/>
  <c r="H97" s="1"/>
  <c r="H88" i="17" s="1"/>
  <c r="K204" i="4"/>
  <c r="T479" i="6"/>
  <c r="S564"/>
  <c r="M256" i="4" s="1"/>
  <c r="T520" i="6" l="1"/>
  <c r="I103" i="15"/>
  <c r="I63" i="17"/>
  <c r="I39" i="13"/>
  <c r="H41"/>
  <c r="N120" i="8"/>
  <c r="I18" i="11"/>
  <c r="I55"/>
  <c r="H63" i="17"/>
  <c r="H103" i="15"/>
  <c r="T564" i="6"/>
  <c r="M202" i="4"/>
  <c r="M204" s="1"/>
  <c r="H17" i="13"/>
  <c r="G129" i="15"/>
  <c r="H32"/>
  <c r="H34" s="1"/>
  <c r="L253" i="4"/>
  <c r="F28" i="14"/>
  <c r="F40" i="17"/>
  <c r="H161" i="15"/>
  <c r="L204" i="4"/>
  <c r="H146" i="15" l="1"/>
  <c r="M251" i="4"/>
  <c r="H80" i="17"/>
  <c r="J39" i="13"/>
  <c r="J41" s="1"/>
  <c r="I41"/>
  <c r="H154" i="15"/>
  <c r="H156"/>
  <c r="H21" i="12"/>
  <c r="H155" i="15"/>
  <c r="G40" i="17"/>
  <c r="G28" i="14"/>
  <c r="G37" i="17"/>
  <c r="J12" i="11"/>
  <c r="I61"/>
  <c r="I14" i="13" s="1"/>
  <c r="M253" i="4" l="1"/>
  <c r="I158" i="15"/>
  <c r="I32"/>
  <c r="I34" s="1"/>
  <c r="I80" i="17" s="1"/>
  <c r="I28" i="14"/>
  <c r="I40" i="17"/>
  <c r="J55" i="11"/>
  <c r="J61" s="1"/>
  <c r="J14" i="13" s="1"/>
  <c r="J18" i="11"/>
  <c r="H28" i="17"/>
  <c r="H28" i="14"/>
  <c r="H40" i="17"/>
  <c r="I17" i="13"/>
  <c r="H129" i="15"/>
  <c r="I155" l="1"/>
  <c r="I21" i="12"/>
  <c r="I28" i="17" s="1"/>
  <c r="I156" i="15"/>
  <c r="I154"/>
  <c r="J17" i="13"/>
  <c r="I129" i="15"/>
  <c r="H37" i="17"/>
  <c r="I37" l="1"/>
  <c r="P128" i="6" l="1"/>
  <c r="O228" l="1"/>
  <c r="P228"/>
  <c r="R128"/>
  <c r="R228" s="1"/>
  <c r="T128" l="1"/>
  <c r="J202" i="4" l="1"/>
  <c r="T228" i="6"/>
  <c r="J204" i="4" l="1"/>
  <c r="J228" s="1"/>
  <c r="K251"/>
  <c r="G158" i="15" s="1"/>
  <c r="J251" i="4"/>
  <c r="F158" i="15" s="1"/>
  <c r="K253" i="4" l="1"/>
  <c r="G32" i="15"/>
  <c r="G34" s="1"/>
  <c r="J253" i="4"/>
  <c r="F32" i="15"/>
  <c r="F34" s="1"/>
  <c r="F35" s="1"/>
  <c r="F146" l="1"/>
  <c r="G146"/>
  <c r="F21" i="12"/>
  <c r="I180" i="15"/>
  <c r="G180"/>
  <c r="F156"/>
  <c r="F180"/>
  <c r="F154"/>
  <c r="J260" i="4"/>
  <c r="F145" i="15" s="1"/>
  <c r="F155"/>
  <c r="H180"/>
  <c r="F80" i="17"/>
  <c r="G187" i="15"/>
  <c r="I187"/>
  <c r="H187"/>
  <c r="F187"/>
  <c r="G21" i="12"/>
  <c r="G156" i="15"/>
  <c r="G154"/>
  <c r="G155"/>
  <c r="G80" i="17"/>
  <c r="F28" l="1"/>
  <c r="F23" i="12"/>
  <c r="G28" i="17"/>
  <c r="I149" i="2" l="1"/>
  <c r="I70" i="4" s="1"/>
  <c r="M147" i="2"/>
  <c r="M148" s="1"/>
  <c r="L141"/>
  <c r="L149" s="1"/>
  <c r="O53"/>
  <c r="P53" s="1"/>
  <c r="O77"/>
  <c r="P77" s="1"/>
  <c r="O30"/>
  <c r="O44"/>
  <c r="O58"/>
  <c r="P58" s="1"/>
  <c r="R58" s="1"/>
  <c r="S58" s="1"/>
  <c r="U58" s="1"/>
  <c r="V58" s="1"/>
  <c r="O82"/>
  <c r="O136" s="1"/>
  <c r="O96"/>
  <c r="P96" s="1"/>
  <c r="R96" s="1"/>
  <c r="S96" s="1"/>
  <c r="U96" s="1"/>
  <c r="V96" s="1"/>
  <c r="O113"/>
  <c r="O26"/>
  <c r="O78"/>
  <c r="O109"/>
  <c r="P109" s="1"/>
  <c r="O43"/>
  <c r="P43" s="1"/>
  <c r="R43" s="1"/>
  <c r="S43" s="1"/>
  <c r="U43" s="1"/>
  <c r="V43" s="1"/>
  <c r="O57"/>
  <c r="P57" s="1"/>
  <c r="R57" s="1"/>
  <c r="S57" s="1"/>
  <c r="U57" s="1"/>
  <c r="V57" s="1"/>
  <c r="O81"/>
  <c r="P81" s="1"/>
  <c r="R81" s="1"/>
  <c r="S81" s="1"/>
  <c r="U81" s="1"/>
  <c r="V81" s="1"/>
  <c r="O95"/>
  <c r="K21" i="8"/>
  <c r="K25" s="1"/>
  <c r="K53" s="1"/>
  <c r="K143" s="1"/>
  <c r="P25" i="2"/>
  <c r="P39"/>
  <c r="P30"/>
  <c r="R30" s="1"/>
  <c r="S30" s="1"/>
  <c r="U30" s="1"/>
  <c r="V30" s="1"/>
  <c r="P44"/>
  <c r="R44" s="1"/>
  <c r="P82"/>
  <c r="R82" s="1"/>
  <c r="S82" s="1"/>
  <c r="U82" s="1"/>
  <c r="V82" s="1"/>
  <c r="P113"/>
  <c r="R113" s="1"/>
  <c r="S113" s="1"/>
  <c r="U113" s="1"/>
  <c r="V113" s="1"/>
  <c r="P26"/>
  <c r="P27" s="1"/>
  <c r="P40"/>
  <c r="R40" s="1"/>
  <c r="P54"/>
  <c r="P78"/>
  <c r="R78" s="1"/>
  <c r="S78" s="1"/>
  <c r="U78" s="1"/>
  <c r="V78" s="1"/>
  <c r="P92"/>
  <c r="R92" s="1"/>
  <c r="P29"/>
  <c r="R29" s="1"/>
  <c r="P95"/>
  <c r="R95" s="1"/>
  <c r="S95" s="1"/>
  <c r="U95" s="1"/>
  <c r="V95" s="1"/>
  <c r="P112"/>
  <c r="O28"/>
  <c r="O133" s="1"/>
  <c r="O42"/>
  <c r="P42" s="1"/>
  <c r="R42" s="1"/>
  <c r="S42" s="1"/>
  <c r="U42" s="1"/>
  <c r="V42" s="1"/>
  <c r="O56"/>
  <c r="P56" s="1"/>
  <c r="O80"/>
  <c r="P80" s="1"/>
  <c r="R80" s="1"/>
  <c r="O94"/>
  <c r="O111"/>
  <c r="O31"/>
  <c r="O45"/>
  <c r="O59"/>
  <c r="P59" s="1"/>
  <c r="R59" s="1"/>
  <c r="S59" s="1"/>
  <c r="U59" s="1"/>
  <c r="V59" s="1"/>
  <c r="O83"/>
  <c r="P83" s="1"/>
  <c r="O97"/>
  <c r="O114"/>
  <c r="P114" s="1"/>
  <c r="R114" s="1"/>
  <c r="S114" s="1"/>
  <c r="U114" s="1"/>
  <c r="V114" s="1"/>
  <c r="O27"/>
  <c r="O174" s="1"/>
  <c r="O176" s="1"/>
  <c r="O181" s="1"/>
  <c r="O79"/>
  <c r="O152" s="1"/>
  <c r="G55" i="17" s="1"/>
  <c r="R25" i="2"/>
  <c r="S25" s="1"/>
  <c r="U25" s="1"/>
  <c r="V25" s="1"/>
  <c r="R39"/>
  <c r="S39" s="1"/>
  <c r="U39" s="1"/>
  <c r="V39" s="1"/>
  <c r="R26"/>
  <c r="S26" s="1"/>
  <c r="R54"/>
  <c r="S54" s="1"/>
  <c r="U54" s="1"/>
  <c r="V54" s="1"/>
  <c r="R112"/>
  <c r="L43" i="8"/>
  <c r="S112" i="2"/>
  <c r="U112" s="1"/>
  <c r="V112" s="1"/>
  <c r="P28"/>
  <c r="R28" s="1"/>
  <c r="P94"/>
  <c r="R94" s="1"/>
  <c r="S94" s="1"/>
  <c r="U94" s="1"/>
  <c r="V94" s="1"/>
  <c r="P111"/>
  <c r="R111" s="1"/>
  <c r="S111" s="1"/>
  <c r="U111" s="1"/>
  <c r="V111" s="1"/>
  <c r="P31"/>
  <c r="R31" s="1"/>
  <c r="S31" s="1"/>
  <c r="U31" s="1"/>
  <c r="P45"/>
  <c r="R45" s="1"/>
  <c r="S45" s="1"/>
  <c r="P97"/>
  <c r="R97" s="1"/>
  <c r="S97" s="1"/>
  <c r="U97" s="1"/>
  <c r="V97" s="1"/>
  <c r="R84"/>
  <c r="L47" i="4" s="1"/>
  <c r="L71" s="1"/>
  <c r="R85" i="2"/>
  <c r="L48" i="4" s="1"/>
  <c r="L72" s="1"/>
  <c r="U91" i="2"/>
  <c r="V91" s="1"/>
  <c r="M113" i="8"/>
  <c r="J21"/>
  <c r="J25" s="1"/>
  <c r="I62" i="2"/>
  <c r="I100"/>
  <c r="R61"/>
  <c r="U61" s="1"/>
  <c r="O110"/>
  <c r="O117" s="1"/>
  <c r="L62"/>
  <c r="L100"/>
  <c r="L117"/>
  <c r="J62"/>
  <c r="J100"/>
  <c r="O48"/>
  <c r="O55"/>
  <c r="O62" s="1"/>
  <c r="O93"/>
  <c r="O100" s="1"/>
  <c r="R47"/>
  <c r="U47" s="1"/>
  <c r="R99"/>
  <c r="U99" s="1"/>
  <c r="R116"/>
  <c r="U116" s="1"/>
  <c r="G57" i="17"/>
  <c r="F57"/>
  <c r="R46" i="2"/>
  <c r="U46" s="1"/>
  <c r="R60"/>
  <c r="U60" s="1"/>
  <c r="R98"/>
  <c r="U98" s="1"/>
  <c r="R115"/>
  <c r="U115" s="1"/>
  <c r="G56" i="17"/>
  <c r="F56"/>
  <c r="F55"/>
  <c r="P41" i="2"/>
  <c r="P93"/>
  <c r="M62"/>
  <c r="M93"/>
  <c r="M100" s="1"/>
  <c r="M110"/>
  <c r="M117" s="1"/>
  <c r="F51" i="17"/>
  <c r="M141" i="2"/>
  <c r="M149" s="1"/>
  <c r="J149"/>
  <c r="F54" i="17"/>
  <c r="M94" i="4"/>
  <c r="F98" i="15"/>
  <c r="J53" i="8" l="1"/>
  <c r="J143" s="1"/>
  <c r="AA74" i="4"/>
  <c r="S92" i="2"/>
  <c r="S93" s="1"/>
  <c r="R93"/>
  <c r="R100" s="1"/>
  <c r="P100"/>
  <c r="I140"/>
  <c r="I157" s="1"/>
  <c r="R83"/>
  <c r="S83" s="1"/>
  <c r="U83" s="1"/>
  <c r="V83" s="1"/>
  <c r="P137"/>
  <c r="O184"/>
  <c r="O186" s="1"/>
  <c r="O191" s="1"/>
  <c r="R56"/>
  <c r="S56" s="1"/>
  <c r="U56" s="1"/>
  <c r="V56" s="1"/>
  <c r="P133"/>
  <c r="P141" s="1"/>
  <c r="P149" s="1"/>
  <c r="U85"/>
  <c r="R41"/>
  <c r="P79"/>
  <c r="M114" i="8"/>
  <c r="M122" s="1"/>
  <c r="O131" i="2"/>
  <c r="R135"/>
  <c r="S29"/>
  <c r="U29" s="1"/>
  <c r="R48"/>
  <c r="S27"/>
  <c r="U26"/>
  <c r="R53"/>
  <c r="P55"/>
  <c r="P62" s="1"/>
  <c r="P48"/>
  <c r="J140"/>
  <c r="J157" s="1"/>
  <c r="U84"/>
  <c r="U138" s="1"/>
  <c r="U155" s="1"/>
  <c r="I56" i="17" s="1"/>
  <c r="R27" i="2"/>
  <c r="L140"/>
  <c r="L157" s="1"/>
  <c r="F58" i="17" s="1"/>
  <c r="R77" i="2"/>
  <c r="K104" i="4"/>
  <c r="U45" i="2"/>
  <c r="V45" s="1"/>
  <c r="S137"/>
  <c r="S151"/>
  <c r="J45" i="4"/>
  <c r="J68" s="1"/>
  <c r="Z46"/>
  <c r="Z69" s="1"/>
  <c r="Z45"/>
  <c r="Z68" s="1"/>
  <c r="J46"/>
  <c r="J69" s="1"/>
  <c r="P152" i="2"/>
  <c r="P184"/>
  <c r="P186" s="1"/>
  <c r="P191" s="1"/>
  <c r="P86"/>
  <c r="I79" i="4"/>
  <c r="I87" s="1"/>
  <c r="S100" i="2"/>
  <c r="O137"/>
  <c r="O141" s="1"/>
  <c r="O149" s="1"/>
  <c r="G53" i="17" s="1"/>
  <c r="P130" i="2"/>
  <c r="O135"/>
  <c r="O147" s="1"/>
  <c r="R137"/>
  <c r="U135"/>
  <c r="U139"/>
  <c r="U156" s="1"/>
  <c r="I57" i="17" s="1"/>
  <c r="V29" i="2"/>
  <c r="R136"/>
  <c r="P135"/>
  <c r="P136"/>
  <c r="O130"/>
  <c r="O132" s="1"/>
  <c r="P146"/>
  <c r="O197"/>
  <c r="S80"/>
  <c r="U80" s="1"/>
  <c r="P174"/>
  <c r="P176" s="1"/>
  <c r="P151"/>
  <c r="P34"/>
  <c r="R109"/>
  <c r="R131" s="1"/>
  <c r="P110"/>
  <c r="P117" s="1"/>
  <c r="F53" i="17"/>
  <c r="J70" i="4"/>
  <c r="Z70"/>
  <c r="M140" i="2"/>
  <c r="M157" s="1"/>
  <c r="U137"/>
  <c r="V31"/>
  <c r="V137" s="1"/>
  <c r="R133"/>
  <c r="R141" s="1"/>
  <c r="R149" s="1"/>
  <c r="H53" i="17" s="1"/>
  <c r="S28" i="2"/>
  <c r="K172" i="8"/>
  <c r="K258" s="1"/>
  <c r="S135" i="2"/>
  <c r="O146"/>
  <c r="V135"/>
  <c r="O178"/>
  <c r="R130"/>
  <c r="R138"/>
  <c r="R155" s="1"/>
  <c r="H56" i="17" s="1"/>
  <c r="R139" i="2"/>
  <c r="R156" s="1"/>
  <c r="H57" i="17" s="1"/>
  <c r="O194" i="2"/>
  <c r="O200" s="1"/>
  <c r="S40"/>
  <c r="S44"/>
  <c r="K100" i="4"/>
  <c r="O34" i="2"/>
  <c r="O151"/>
  <c r="P131"/>
  <c r="P147" s="1"/>
  <c r="L100" i="4"/>
  <c r="R34" i="2"/>
  <c r="O86"/>
  <c r="J268" i="8" l="1"/>
  <c r="J273" s="1"/>
  <c r="J280" s="1"/>
  <c r="J172"/>
  <c r="J258" s="1"/>
  <c r="O188" i="2"/>
  <c r="K110" i="4"/>
  <c r="S174" i="2"/>
  <c r="S176" s="1"/>
  <c r="S181" s="1"/>
  <c r="U92"/>
  <c r="G51" i="17"/>
  <c r="P153" i="2"/>
  <c r="Z80" i="4"/>
  <c r="I114" s="1"/>
  <c r="I155" s="1"/>
  <c r="I193" s="1"/>
  <c r="V92" i="2"/>
  <c r="V93" s="1"/>
  <c r="V100" s="1"/>
  <c r="U93"/>
  <c r="U100" s="1"/>
  <c r="S34"/>
  <c r="N114" i="8"/>
  <c r="M48" i="4"/>
  <c r="M72" s="1"/>
  <c r="J79"/>
  <c r="J87" s="1"/>
  <c r="V26" i="2"/>
  <c r="V27" s="1"/>
  <c r="U27"/>
  <c r="S53"/>
  <c r="R55"/>
  <c r="R62" s="1"/>
  <c r="S77"/>
  <c r="R79"/>
  <c r="M47" i="4"/>
  <c r="M71" s="1"/>
  <c r="N113" i="8"/>
  <c r="R151" i="2"/>
  <c r="H54" i="17" s="1"/>
  <c r="M43" i="8"/>
  <c r="R174" i="2"/>
  <c r="R176" s="1"/>
  <c r="Z79" i="4"/>
  <c r="P197" i="2"/>
  <c r="P188"/>
  <c r="R147"/>
  <c r="M17" i="8"/>
  <c r="O140" i="2"/>
  <c r="O157" s="1"/>
  <c r="L17" i="8"/>
  <c r="O153" i="2"/>
  <c r="K25" i="4" s="1"/>
  <c r="G54" i="17"/>
  <c r="S136" i="2"/>
  <c r="U44"/>
  <c r="R132"/>
  <c r="R146"/>
  <c r="V80"/>
  <c r="P140"/>
  <c r="P157" s="1"/>
  <c r="G50" i="17"/>
  <c r="O148" i="2"/>
  <c r="V174"/>
  <c r="V176" s="1"/>
  <c r="V151"/>
  <c r="V34"/>
  <c r="S109"/>
  <c r="S131" s="1"/>
  <c r="R110"/>
  <c r="R117" s="1"/>
  <c r="P148"/>
  <c r="P181"/>
  <c r="P178"/>
  <c r="P194"/>
  <c r="P200" s="1"/>
  <c r="P132"/>
  <c r="S41"/>
  <c r="S48" s="1"/>
  <c r="U40"/>
  <c r="S133"/>
  <c r="S141" s="1"/>
  <c r="S149" s="1"/>
  <c r="U28"/>
  <c r="I232" i="4" l="1"/>
  <c r="AA49"/>
  <c r="S194" i="2"/>
  <c r="S178"/>
  <c r="G58" i="17"/>
  <c r="K127" i="4"/>
  <c r="L47" i="8"/>
  <c r="L51" s="1"/>
  <c r="H51" i="17"/>
  <c r="G166" i="15"/>
  <c r="G178"/>
  <c r="K74" i="4"/>
  <c r="G167" i="15"/>
  <c r="L21" i="8"/>
  <c r="L25" s="1"/>
  <c r="N122"/>
  <c r="K49" i="4"/>
  <c r="K73" s="1"/>
  <c r="AA25"/>
  <c r="U77" i="2"/>
  <c r="S79"/>
  <c r="R184"/>
  <c r="R186" s="1"/>
  <c r="L104" i="4"/>
  <c r="L110" s="1"/>
  <c r="R152" i="2"/>
  <c r="R86"/>
  <c r="U34"/>
  <c r="N17" i="8" s="1"/>
  <c r="U151" i="2"/>
  <c r="I54" i="17" s="1"/>
  <c r="N43" i="8"/>
  <c r="U174" i="2"/>
  <c r="U176" s="1"/>
  <c r="S130"/>
  <c r="S146" s="1"/>
  <c r="U53"/>
  <c r="S55"/>
  <c r="S62" s="1"/>
  <c r="R194"/>
  <c r="R181"/>
  <c r="R178"/>
  <c r="S147"/>
  <c r="K22" i="4"/>
  <c r="AA21"/>
  <c r="AA46"/>
  <c r="K70"/>
  <c r="AA22"/>
  <c r="K45"/>
  <c r="AA70"/>
  <c r="K21"/>
  <c r="K46"/>
  <c r="AA45"/>
  <c r="R148" i="2"/>
  <c r="H50" i="17"/>
  <c r="M100" i="4"/>
  <c r="U133" i="2"/>
  <c r="U141" s="1"/>
  <c r="U149" s="1"/>
  <c r="I53" i="17" s="1"/>
  <c r="V28" i="2"/>
  <c r="V133" s="1"/>
  <c r="V141" s="1"/>
  <c r="V149" s="1"/>
  <c r="V40"/>
  <c r="U41"/>
  <c r="U48" s="1"/>
  <c r="S110"/>
  <c r="S117" s="1"/>
  <c r="U109"/>
  <c r="U131" s="1"/>
  <c r="G82" i="15"/>
  <c r="G35"/>
  <c r="G52" i="17"/>
  <c r="K67" i="4"/>
  <c r="AA67"/>
  <c r="G95" i="15"/>
  <c r="G74"/>
  <c r="G98"/>
  <c r="G49"/>
  <c r="G92"/>
  <c r="G42"/>
  <c r="V178" i="2"/>
  <c r="V194"/>
  <c r="V181"/>
  <c r="V44"/>
  <c r="V136" s="1"/>
  <c r="U136"/>
  <c r="AA73" i="4" l="1"/>
  <c r="L53" i="8"/>
  <c r="L127" i="4"/>
  <c r="M127" s="1"/>
  <c r="H166" i="15"/>
  <c r="H178"/>
  <c r="L74" i="4"/>
  <c r="M21" i="8"/>
  <c r="M25" s="1"/>
  <c r="H167" i="15"/>
  <c r="R140" i="2"/>
  <c r="R157" s="1"/>
  <c r="H58" i="17" s="1"/>
  <c r="S148" i="2"/>
  <c r="L45" i="4" s="1"/>
  <c r="R197" i="2"/>
  <c r="R188"/>
  <c r="R191"/>
  <c r="V77"/>
  <c r="V79" s="1"/>
  <c r="U79"/>
  <c r="S184"/>
  <c r="S186" s="1"/>
  <c r="S152"/>
  <c r="S153" s="1"/>
  <c r="M47" i="8" s="1"/>
  <c r="M51" s="1"/>
  <c r="S86" i="2"/>
  <c r="R200"/>
  <c r="U130"/>
  <c r="U55"/>
  <c r="U62" s="1"/>
  <c r="V53"/>
  <c r="H55" i="17"/>
  <c r="R153" i="2"/>
  <c r="U146"/>
  <c r="I50" i="17" s="1"/>
  <c r="S140" i="2"/>
  <c r="S157" s="1"/>
  <c r="S132"/>
  <c r="U181"/>
  <c r="U194"/>
  <c r="U178"/>
  <c r="AA69" i="4"/>
  <c r="U147" i="2"/>
  <c r="U132"/>
  <c r="L22" i="4"/>
  <c r="L21"/>
  <c r="H92" i="15"/>
  <c r="H74"/>
  <c r="H95"/>
  <c r="L67" i="4"/>
  <c r="H35" i="15"/>
  <c r="H98"/>
  <c r="H52" i="17"/>
  <c r="K68" i="4"/>
  <c r="V109" i="2"/>
  <c r="V110" s="1"/>
  <c r="V117" s="1"/>
  <c r="U110"/>
  <c r="U117" s="1"/>
  <c r="V41"/>
  <c r="V48" s="1"/>
  <c r="K69" i="4"/>
  <c r="AA68"/>
  <c r="AA79" l="1"/>
  <c r="U148" i="2"/>
  <c r="L46" i="4"/>
  <c r="L69" s="1"/>
  <c r="M53" i="8"/>
  <c r="L70" i="4"/>
  <c r="I178" i="15"/>
  <c r="I166"/>
  <c r="I51" i="17"/>
  <c r="I167" i="15"/>
  <c r="M104" i="4"/>
  <c r="M110" s="1"/>
  <c r="M74"/>
  <c r="U184" i="2"/>
  <c r="U186" s="1"/>
  <c r="U152"/>
  <c r="U86"/>
  <c r="S188"/>
  <c r="S191"/>
  <c r="S197"/>
  <c r="S200" s="1"/>
  <c r="L49" i="4"/>
  <c r="L25"/>
  <c r="V130" i="2"/>
  <c r="V146" s="1"/>
  <c r="V55"/>
  <c r="V62" s="1"/>
  <c r="V140" s="1"/>
  <c r="V157" s="1"/>
  <c r="V184"/>
  <c r="V186" s="1"/>
  <c r="V152"/>
  <c r="V153" s="1"/>
  <c r="V86"/>
  <c r="K79" i="4"/>
  <c r="K87" s="1"/>
  <c r="AA80"/>
  <c r="J114" s="1"/>
  <c r="L68"/>
  <c r="I95" i="15"/>
  <c r="I52" i="17"/>
  <c r="I92" i="15"/>
  <c r="I35"/>
  <c r="M67" i="4"/>
  <c r="I98" i="15"/>
  <c r="I74"/>
  <c r="V131" i="2"/>
  <c r="U140" l="1"/>
  <c r="U157" s="1"/>
  <c r="I58" i="17" s="1"/>
  <c r="L73" i="4"/>
  <c r="V188" i="2"/>
  <c r="V191"/>
  <c r="V197"/>
  <c r="V200" s="1"/>
  <c r="U191"/>
  <c r="U188"/>
  <c r="U197"/>
  <c r="U200" s="1"/>
  <c r="I55" i="17"/>
  <c r="U153" i="2"/>
  <c r="M49" i="4" s="1"/>
  <c r="V147" i="2"/>
  <c r="V148" s="1"/>
  <c r="V132"/>
  <c r="N21" i="8" l="1"/>
  <c r="N25" s="1"/>
  <c r="N47"/>
  <c r="N51" s="1"/>
  <c r="L79" i="4"/>
  <c r="M25"/>
  <c r="M73" s="1"/>
  <c r="M21"/>
  <c r="M46"/>
  <c r="M22"/>
  <c r="M70"/>
  <c r="M45"/>
  <c r="N53" i="8" l="1"/>
  <c r="L87" i="4"/>
  <c r="K114"/>
  <c r="M69"/>
  <c r="M68"/>
  <c r="M79" l="1"/>
  <c r="J152"/>
  <c r="J155" s="1"/>
  <c r="F15" i="12"/>
  <c r="H183" i="15" s="1"/>
  <c r="K120" i="4"/>
  <c r="K122"/>
  <c r="K128"/>
  <c r="K133" s="1"/>
  <c r="K138"/>
  <c r="K139"/>
  <c r="K140"/>
  <c r="K141"/>
  <c r="L141" s="1"/>
  <c r="M141" s="1"/>
  <c r="K142"/>
  <c r="K146"/>
  <c r="L146" s="1"/>
  <c r="M146" s="1"/>
  <c r="K148"/>
  <c r="K149"/>
  <c r="L149" s="1"/>
  <c r="M149" s="1"/>
  <c r="K162"/>
  <c r="L162" s="1"/>
  <c r="K164"/>
  <c r="K165"/>
  <c r="K179"/>
  <c r="L179" s="1"/>
  <c r="M179" s="1"/>
  <c r="M246" s="1"/>
  <c r="K180"/>
  <c r="K181"/>
  <c r="K182"/>
  <c r="L182" s="1"/>
  <c r="M182" s="1"/>
  <c r="K184"/>
  <c r="L184" s="1"/>
  <c r="M184" s="1"/>
  <c r="K185"/>
  <c r="L185" s="1"/>
  <c r="M185" s="1"/>
  <c r="K186"/>
  <c r="K187"/>
  <c r="L187" s="1"/>
  <c r="M187" s="1"/>
  <c r="K208"/>
  <c r="L208" s="1"/>
  <c r="M208" s="1"/>
  <c r="K209"/>
  <c r="K210"/>
  <c r="K212"/>
  <c r="K213"/>
  <c r="L213" s="1"/>
  <c r="M213" s="1"/>
  <c r="K215"/>
  <c r="L215" s="1"/>
  <c r="K217"/>
  <c r="K218"/>
  <c r="K219"/>
  <c r="L219" s="1"/>
  <c r="M219" s="1"/>
  <c r="K221"/>
  <c r="L221" s="1"/>
  <c r="M221" s="1"/>
  <c r="K222"/>
  <c r="K223"/>
  <c r="L223" s="1"/>
  <c r="M223" s="1"/>
  <c r="K224"/>
  <c r="L224" s="1"/>
  <c r="M224" s="1"/>
  <c r="K225"/>
  <c r="L118"/>
  <c r="L119"/>
  <c r="M119" s="1"/>
  <c r="L120"/>
  <c r="M120" s="1"/>
  <c r="L122"/>
  <c r="L130"/>
  <c r="L131"/>
  <c r="M131" s="1"/>
  <c r="L138"/>
  <c r="M138" s="1"/>
  <c r="L139"/>
  <c r="L140"/>
  <c r="L142"/>
  <c r="M142" s="1"/>
  <c r="L148"/>
  <c r="M148" s="1"/>
  <c r="L161"/>
  <c r="L164"/>
  <c r="M164" s="1"/>
  <c r="L165"/>
  <c r="M165" s="1"/>
  <c r="L181"/>
  <c r="M181" s="1"/>
  <c r="L183"/>
  <c r="M183" s="1"/>
  <c r="L186"/>
  <c r="M186" s="1"/>
  <c r="L207"/>
  <c r="M207" s="1"/>
  <c r="L209"/>
  <c r="M209" s="1"/>
  <c r="L210"/>
  <c r="M210" s="1"/>
  <c r="L211"/>
  <c r="M211" s="1"/>
  <c r="L212"/>
  <c r="M212" s="1"/>
  <c r="L214"/>
  <c r="L217"/>
  <c r="L218"/>
  <c r="M218" s="1"/>
  <c r="L220"/>
  <c r="M220" s="1"/>
  <c r="L222"/>
  <c r="M222" s="1"/>
  <c r="L225"/>
  <c r="M225" s="1"/>
  <c r="M118"/>
  <c r="M122"/>
  <c r="M130"/>
  <c r="M139"/>
  <c r="M140"/>
  <c r="M161"/>
  <c r="M214"/>
  <c r="M217"/>
  <c r="K247"/>
  <c r="F18" i="15"/>
  <c r="F19" s="1"/>
  <c r="F21"/>
  <c r="K145" i="4"/>
  <c r="L145" s="1"/>
  <c r="M145" s="1"/>
  <c r="J249"/>
  <c r="F49" i="12" s="1"/>
  <c r="F51" s="1"/>
  <c r="F24" i="17"/>
  <c r="G183" i="15"/>
  <c r="I183" l="1"/>
  <c r="F183"/>
  <c r="K246" i="4"/>
  <c r="L246"/>
  <c r="K143"/>
  <c r="L123"/>
  <c r="M215"/>
  <c r="L226"/>
  <c r="L228" s="1"/>
  <c r="L167"/>
  <c r="M162"/>
  <c r="M167" s="1"/>
  <c r="L150"/>
  <c r="K167"/>
  <c r="K244" s="1"/>
  <c r="K150"/>
  <c r="K123"/>
  <c r="M143"/>
  <c r="K226"/>
  <c r="L254" s="1"/>
  <c r="L143"/>
  <c r="K189"/>
  <c r="K248" s="1"/>
  <c r="M226"/>
  <c r="M228" s="1"/>
  <c r="M150"/>
  <c r="L180"/>
  <c r="L189" s="1"/>
  <c r="L128"/>
  <c r="M128" s="1"/>
  <c r="M133" s="1"/>
  <c r="J243"/>
  <c r="J193"/>
  <c r="J232" s="1"/>
  <c r="M123"/>
  <c r="M87"/>
  <c r="L114"/>
  <c r="F77" i="17"/>
  <c r="F78"/>
  <c r="F22" i="15"/>
  <c r="F70" i="17"/>
  <c r="M254" i="4" l="1"/>
  <c r="I22" i="12" s="1"/>
  <c r="I23" s="1"/>
  <c r="L152" i="4"/>
  <c r="J259"/>
  <c r="F142" i="15" s="1"/>
  <c r="L248" i="4"/>
  <c r="K152"/>
  <c r="K249" s="1"/>
  <c r="G49" i="12" s="1"/>
  <c r="G70" i="17" s="1"/>
  <c r="F14" i="12"/>
  <c r="F23" i="17" s="1"/>
  <c r="L133" i="4"/>
  <c r="L155" s="1"/>
  <c r="L193" s="1"/>
  <c r="L232" s="1"/>
  <c r="M244"/>
  <c r="K228"/>
  <c r="K254"/>
  <c r="G22" i="12" s="1"/>
  <c r="G23" s="1"/>
  <c r="L260" i="4"/>
  <c r="H145" i="15" s="1"/>
  <c r="H22" i="12"/>
  <c r="H23" s="1"/>
  <c r="M152" i="4"/>
  <c r="M249" s="1"/>
  <c r="I49" i="12" s="1"/>
  <c r="I51" s="1"/>
  <c r="L244" i="4"/>
  <c r="L247"/>
  <c r="M180"/>
  <c r="M189" s="1"/>
  <c r="M248" s="1"/>
  <c r="K155"/>
  <c r="M260" l="1"/>
  <c r="I145" i="15" s="1"/>
  <c r="F19" i="12"/>
  <c r="F13" i="15" s="1"/>
  <c r="F130"/>
  <c r="F182" s="1"/>
  <c r="L249" i="4"/>
  <c r="H49" i="12" s="1"/>
  <c r="G51"/>
  <c r="M247" i="4"/>
  <c r="K260"/>
  <c r="G145" i="15" s="1"/>
  <c r="M155" i="4"/>
  <c r="M193" s="1"/>
  <c r="M232" s="1"/>
  <c r="L243"/>
  <c r="I70" i="17"/>
  <c r="K193" i="4"/>
  <c r="K232" s="1"/>
  <c r="K243"/>
  <c r="K259" l="1"/>
  <c r="G142" i="15" s="1"/>
  <c r="L259" i="4"/>
  <c r="H142" i="15" s="1"/>
  <c r="F134"/>
  <c r="F125"/>
  <c r="M243" i="4"/>
  <c r="H70" i="17"/>
  <c r="H51" i="12"/>
  <c r="F110" i="15"/>
  <c r="F111"/>
  <c r="F15"/>
  <c r="F16" s="1"/>
  <c r="F112"/>
  <c r="F113"/>
  <c r="M259" i="4" l="1"/>
  <c r="I142" i="15" s="1"/>
  <c r="F181"/>
  <c r="F148"/>
  <c r="F76" i="17"/>
  <c r="F26" i="12"/>
  <c r="F27" s="1"/>
  <c r="L101" i="8"/>
  <c r="L143" s="1"/>
  <c r="L151"/>
  <c r="L154" s="1"/>
  <c r="L161"/>
  <c r="L162"/>
  <c r="L164"/>
  <c r="L165"/>
  <c r="L166"/>
  <c r="L197"/>
  <c r="L199"/>
  <c r="L201"/>
  <c r="L202"/>
  <c r="L203"/>
  <c r="L214"/>
  <c r="L215"/>
  <c r="L216"/>
  <c r="M216" s="1"/>
  <c r="N216" s="1"/>
  <c r="L217"/>
  <c r="L218"/>
  <c r="L219"/>
  <c r="L220"/>
  <c r="M220" s="1"/>
  <c r="N220" s="1"/>
  <c r="L221"/>
  <c r="L222"/>
  <c r="L223"/>
  <c r="L224"/>
  <c r="M224" s="1"/>
  <c r="N224" s="1"/>
  <c r="L225"/>
  <c r="L226"/>
  <c r="L227"/>
  <c r="L228"/>
  <c r="M228" s="1"/>
  <c r="N228" s="1"/>
  <c r="L229"/>
  <c r="L231"/>
  <c r="L232"/>
  <c r="L233"/>
  <c r="L234"/>
  <c r="L236"/>
  <c r="L237"/>
  <c r="L238"/>
  <c r="L239"/>
  <c r="L240"/>
  <c r="L241"/>
  <c r="L242"/>
  <c r="L244"/>
  <c r="L245"/>
  <c r="L246"/>
  <c r="L247"/>
  <c r="M247" s="1"/>
  <c r="N247" s="1"/>
  <c r="M100"/>
  <c r="M143" s="1"/>
  <c r="M101"/>
  <c r="M149"/>
  <c r="N149" s="1"/>
  <c r="M151"/>
  <c r="M152"/>
  <c r="M161"/>
  <c r="M162"/>
  <c r="N162" s="1"/>
  <c r="I21" i="15" s="1"/>
  <c r="M163" i="8"/>
  <c r="M164"/>
  <c r="M165"/>
  <c r="M166"/>
  <c r="N166" s="1"/>
  <c r="M197"/>
  <c r="M198"/>
  <c r="M199"/>
  <c r="M200"/>
  <c r="N200" s="1"/>
  <c r="M201"/>
  <c r="M202"/>
  <c r="M203"/>
  <c r="M204"/>
  <c r="M205"/>
  <c r="M214"/>
  <c r="M215"/>
  <c r="M217"/>
  <c r="N217" s="1"/>
  <c r="M218"/>
  <c r="M219"/>
  <c r="M221"/>
  <c r="N221" s="1"/>
  <c r="M222"/>
  <c r="N222" s="1"/>
  <c r="M223"/>
  <c r="M225"/>
  <c r="N225" s="1"/>
  <c r="M226"/>
  <c r="M227"/>
  <c r="N227" s="1"/>
  <c r="M229"/>
  <c r="N229" s="1"/>
  <c r="M230"/>
  <c r="M231"/>
  <c r="M232"/>
  <c r="N232" s="1"/>
  <c r="M233"/>
  <c r="N233" s="1"/>
  <c r="M234"/>
  <c r="M235"/>
  <c r="N235" s="1"/>
  <c r="M236"/>
  <c r="N236" s="1"/>
  <c r="M237"/>
  <c r="N237" s="1"/>
  <c r="M238"/>
  <c r="M239"/>
  <c r="M240"/>
  <c r="N240" s="1"/>
  <c r="M241"/>
  <c r="N241" s="1"/>
  <c r="M242"/>
  <c r="M243"/>
  <c r="M244"/>
  <c r="N244" s="1"/>
  <c r="M245"/>
  <c r="N245" s="1"/>
  <c r="M246"/>
  <c r="N246" s="1"/>
  <c r="N100"/>
  <c r="N101"/>
  <c r="N151"/>
  <c r="N152"/>
  <c r="N161"/>
  <c r="N163"/>
  <c r="N164"/>
  <c r="N165"/>
  <c r="N197"/>
  <c r="N198"/>
  <c r="N199"/>
  <c r="N201"/>
  <c r="N202"/>
  <c r="N203"/>
  <c r="N204"/>
  <c r="N205"/>
  <c r="N214"/>
  <c r="N215"/>
  <c r="N218"/>
  <c r="N219"/>
  <c r="N223"/>
  <c r="N226"/>
  <c r="N230"/>
  <c r="N231"/>
  <c r="N234"/>
  <c r="N238"/>
  <c r="N239"/>
  <c r="N242"/>
  <c r="N243"/>
  <c r="H18" i="15"/>
  <c r="F31" i="17"/>
  <c r="I30"/>
  <c r="H30"/>
  <c r="G21" i="15"/>
  <c r="G18"/>
  <c r="H21"/>
  <c r="G190"/>
  <c r="F190"/>
  <c r="H14" i="12" l="1"/>
  <c r="H130" i="15" s="1"/>
  <c r="I190"/>
  <c r="H190"/>
  <c r="F32" i="17"/>
  <c r="L207" i="8"/>
  <c r="G78" i="17"/>
  <c r="G22" i="15"/>
  <c r="H77" i="17"/>
  <c r="H19" i="15"/>
  <c r="I78" i="17"/>
  <c r="I22" i="15"/>
  <c r="G77" i="17"/>
  <c r="G19" i="15"/>
  <c r="H78" i="17"/>
  <c r="H22" i="15"/>
  <c r="M207" i="8"/>
  <c r="H25" i="12" s="1"/>
  <c r="H31" i="17" s="1"/>
  <c r="M168" i="8"/>
  <c r="H18" i="12" s="1"/>
  <c r="H27" i="17" s="1"/>
  <c r="M249" i="8"/>
  <c r="H26" i="12" s="1"/>
  <c r="H32" i="17" s="1"/>
  <c r="G14" i="12"/>
  <c r="G130" i="15" s="1"/>
  <c r="K268" i="8"/>
  <c r="L268"/>
  <c r="N207"/>
  <c r="I25" i="12" s="1"/>
  <c r="I31" i="17" s="1"/>
  <c r="N154" i="8"/>
  <c r="M154"/>
  <c r="M172" s="1"/>
  <c r="L249"/>
  <c r="G26" i="12" s="1"/>
  <c r="N249" i="8"/>
  <c r="N168"/>
  <c r="N143"/>
  <c r="L168"/>
  <c r="L172" s="1"/>
  <c r="I18" i="15"/>
  <c r="I15" i="12"/>
  <c r="I24" i="17" s="1"/>
  <c r="N269" i="8"/>
  <c r="K269"/>
  <c r="G15" i="12"/>
  <c r="G24" i="17" s="1"/>
  <c r="L253" i="8"/>
  <c r="K276"/>
  <c r="L272"/>
  <c r="G18" i="12"/>
  <c r="G27" i="17" s="1"/>
  <c r="F29" i="12"/>
  <c r="F42" s="1"/>
  <c r="F25" i="15"/>
  <c r="F27" s="1"/>
  <c r="I26" i="12"/>
  <c r="N277" i="8"/>
  <c r="M277"/>
  <c r="I18" i="12"/>
  <c r="I27" i="17" s="1"/>
  <c r="N272" i="8"/>
  <c r="M272"/>
  <c r="H23" i="17" l="1"/>
  <c r="N172" i="8"/>
  <c r="M269"/>
  <c r="H15" i="12"/>
  <c r="H24" i="17" s="1"/>
  <c r="L276" i="8"/>
  <c r="G25" i="12"/>
  <c r="G31" i="17" s="1"/>
  <c r="N253" i="8"/>
  <c r="I144" i="15" s="1"/>
  <c r="H27" i="12"/>
  <c r="H25" i="15" s="1"/>
  <c r="H27" s="1"/>
  <c r="H28" s="1"/>
  <c r="L277" i="8"/>
  <c r="K272"/>
  <c r="K277"/>
  <c r="K278" s="1"/>
  <c r="N276"/>
  <c r="N278" s="1"/>
  <c r="M276"/>
  <c r="I14" i="12"/>
  <c r="I19" s="1"/>
  <c r="M253" i="8"/>
  <c r="F124" i="15"/>
  <c r="F126" s="1"/>
  <c r="G143"/>
  <c r="G144"/>
  <c r="M268" i="8"/>
  <c r="M273" s="1"/>
  <c r="F141" i="15"/>
  <c r="F28"/>
  <c r="I77" i="17"/>
  <c r="I19" i="15"/>
  <c r="G23" i="17"/>
  <c r="H182" i="15"/>
  <c r="G182"/>
  <c r="N268" i="8"/>
  <c r="N273" s="1"/>
  <c r="L278"/>
  <c r="L269"/>
  <c r="L273" s="1"/>
  <c r="K273"/>
  <c r="F186" i="15"/>
  <c r="F150"/>
  <c r="F149"/>
  <c r="F152"/>
  <c r="F79" i="17"/>
  <c r="G19" i="12"/>
  <c r="I27"/>
  <c r="I25" i="15" s="1"/>
  <c r="I27" s="1"/>
  <c r="I32" i="17"/>
  <c r="G27" i="12"/>
  <c r="G25" i="15" s="1"/>
  <c r="G27" s="1"/>
  <c r="G152" s="1"/>
  <c r="G32" i="17"/>
  <c r="M278" i="8"/>
  <c r="L258"/>
  <c r="F151" i="15"/>
  <c r="G32" i="13"/>
  <c r="G36" s="1"/>
  <c r="F109" i="15" s="1"/>
  <c r="F17" i="14"/>
  <c r="F30" s="1"/>
  <c r="F48" s="1"/>
  <c r="F51" s="1"/>
  <c r="F35" i="17"/>
  <c r="H19" i="12" l="1"/>
  <c r="H13" i="15" s="1"/>
  <c r="H112" s="1"/>
  <c r="N258" i="8"/>
  <c r="H152" i="15"/>
  <c r="H186"/>
  <c r="H149"/>
  <c r="H79" i="17"/>
  <c r="I143" i="15"/>
  <c r="H150"/>
  <c r="K280" i="8"/>
  <c r="M258"/>
  <c r="H143" i="15"/>
  <c r="I23" i="17"/>
  <c r="I130" i="15"/>
  <c r="I182" s="1"/>
  <c r="H144"/>
  <c r="M280" i="8"/>
  <c r="G150" i="15"/>
  <c r="G28"/>
  <c r="I186"/>
  <c r="I28"/>
  <c r="G149"/>
  <c r="G186"/>
  <c r="G79" i="17"/>
  <c r="L280" i="8"/>
  <c r="N280"/>
  <c r="I79" i="17"/>
  <c r="I149" i="15"/>
  <c r="I152"/>
  <c r="I150"/>
  <c r="I134"/>
  <c r="I29" i="12"/>
  <c r="I125" i="15"/>
  <c r="I13"/>
  <c r="G134"/>
  <c r="G125"/>
  <c r="G13"/>
  <c r="G29" i="12"/>
  <c r="F39" i="17"/>
  <c r="F128" i="15"/>
  <c r="F131" s="1"/>
  <c r="F116"/>
  <c r="G56" i="13"/>
  <c r="G22" s="1"/>
  <c r="H15" i="15" l="1"/>
  <c r="H16" s="1"/>
  <c r="H29" i="12"/>
  <c r="H42" s="1"/>
  <c r="H35" i="17" s="1"/>
  <c r="H113" i="15"/>
  <c r="H111"/>
  <c r="H134"/>
  <c r="H110"/>
  <c r="H125"/>
  <c r="I42" i="12"/>
  <c r="I124" i="15"/>
  <c r="I126" s="1"/>
  <c r="G15"/>
  <c r="G110"/>
  <c r="G112"/>
  <c r="G111"/>
  <c r="G113"/>
  <c r="G124"/>
  <c r="G126" s="1"/>
  <c r="G42" i="12"/>
  <c r="I112" i="15"/>
  <c r="I113"/>
  <c r="I110"/>
  <c r="I111"/>
  <c r="I15"/>
  <c r="G23" i="13"/>
  <c r="F49" i="14"/>
  <c r="G11"/>
  <c r="H148" i="15" l="1"/>
  <c r="H141"/>
  <c r="H76" i="17"/>
  <c r="H151" i="15"/>
  <c r="H181"/>
  <c r="H17" i="14"/>
  <c r="H30" s="1"/>
  <c r="H48" s="1"/>
  <c r="H124" i="15"/>
  <c r="H126" s="1"/>
  <c r="I16"/>
  <c r="I181"/>
  <c r="G16"/>
  <c r="G181"/>
  <c r="G35" i="17"/>
  <c r="H32" i="13"/>
  <c r="H36" s="1"/>
  <c r="G109" i="15" s="1"/>
  <c r="G17" i="14"/>
  <c r="G30" s="1"/>
  <c r="G48" s="1"/>
  <c r="G51" s="1"/>
  <c r="G151" i="15"/>
  <c r="I17" i="14"/>
  <c r="I30" s="1"/>
  <c r="I48" s="1"/>
  <c r="I151" i="15"/>
  <c r="I35" i="17"/>
  <c r="I148" i="15"/>
  <c r="I76" i="17"/>
  <c r="I141" i="15"/>
  <c r="G76" i="17"/>
  <c r="G148" i="15"/>
  <c r="G141"/>
  <c r="G25" i="13"/>
  <c r="F120" i="15"/>
  <c r="F38" i="17"/>
  <c r="H51" i="14" l="1"/>
  <c r="I51" s="1"/>
  <c r="G39" i="17"/>
  <c r="G128" i="15"/>
  <c r="G131" s="1"/>
  <c r="I32" i="13"/>
  <c r="I36" s="1"/>
  <c r="H109" i="15" s="1"/>
  <c r="H56" i="13"/>
  <c r="H22" s="1"/>
  <c r="G116" i="15"/>
  <c r="F133"/>
  <c r="F135" s="1"/>
  <c r="F117"/>
  <c r="F118" s="1"/>
  <c r="H23" i="13" l="1"/>
  <c r="G49" i="14"/>
  <c r="H11"/>
  <c r="I56" i="13"/>
  <c r="I22" s="1"/>
  <c r="H39" i="17"/>
  <c r="H128" i="15"/>
  <c r="H131" s="1"/>
  <c r="H116"/>
  <c r="J32" i="13"/>
  <c r="J36" s="1"/>
  <c r="I109" i="15" s="1"/>
  <c r="I116" l="1"/>
  <c r="I128"/>
  <c r="I131" s="1"/>
  <c r="J56" i="13"/>
  <c r="J22" s="1"/>
  <c r="I39" i="17"/>
  <c r="G38"/>
  <c r="G120" i="15"/>
  <c r="H25" i="13"/>
  <c r="H49" i="14"/>
  <c r="I23" i="13"/>
  <c r="I11" i="14"/>
  <c r="G133" i="15" l="1"/>
  <c r="G135" s="1"/>
  <c r="G117"/>
  <c r="G118" s="1"/>
  <c r="I25" i="13"/>
  <c r="H120" i="15"/>
  <c r="H38" i="17"/>
  <c r="I49" i="14"/>
  <c r="J23" i="13"/>
  <c r="I38" i="17" l="1"/>
  <c r="J25" i="13"/>
  <c r="I120" i="15"/>
  <c r="H117"/>
  <c r="H118" s="1"/>
  <c r="H133"/>
  <c r="H135" s="1"/>
  <c r="I117" l="1"/>
  <c r="I118" s="1"/>
  <c r="I133"/>
  <c r="I135" s="1"/>
  <c r="H38" l="1"/>
  <c r="I38"/>
  <c r="H39"/>
  <c r="I39"/>
  <c r="H40"/>
  <c r="I40"/>
  <c r="I41"/>
  <c r="I42"/>
  <c r="H45"/>
  <c r="I45"/>
  <c r="H46"/>
  <c r="I46"/>
  <c r="H47"/>
  <c r="I47"/>
  <c r="I48"/>
  <c r="I49"/>
  <c r="H59"/>
  <c r="I59"/>
  <c r="I60"/>
  <c r="I61" s="1"/>
  <c r="H53"/>
  <c r="I53"/>
  <c r="I54"/>
  <c r="I55" s="1"/>
  <c r="H41"/>
  <c r="H42"/>
  <c r="H60"/>
  <c r="H61" s="1"/>
  <c r="G60"/>
  <c r="H54"/>
  <c r="H55" s="1"/>
  <c r="G54"/>
  <c r="H48"/>
  <c r="H49"/>
  <c r="G55"/>
  <c r="F54"/>
  <c r="G61"/>
  <c r="F60"/>
  <c r="G70"/>
  <c r="G71" s="1"/>
  <c r="F70"/>
  <c r="H78"/>
  <c r="I78"/>
  <c r="H79"/>
  <c r="I79"/>
  <c r="H80"/>
  <c r="I80"/>
  <c r="I81"/>
  <c r="I82"/>
  <c r="I87" i="17"/>
  <c r="H81" i="15"/>
  <c r="H82"/>
  <c r="H87" i="17"/>
  <c r="F61" i="15"/>
  <c r="H64"/>
  <c r="H65"/>
  <c r="H68"/>
  <c r="H69"/>
  <c r="H70"/>
  <c r="H71" s="1"/>
  <c r="G85" i="17"/>
  <c r="I69" i="15"/>
  <c r="F71"/>
  <c r="I189"/>
  <c r="F189"/>
  <c r="G189"/>
  <c r="H189"/>
  <c r="F85" i="17"/>
  <c r="I84"/>
  <c r="H84"/>
  <c r="G84"/>
  <c r="F84"/>
  <c r="I83"/>
  <c r="H83"/>
  <c r="G83"/>
  <c r="F55" i="15"/>
  <c r="F83" i="17"/>
  <c r="I82"/>
  <c r="H82"/>
  <c r="G82"/>
  <c r="F82"/>
  <c r="I81"/>
  <c r="H81"/>
  <c r="G81"/>
  <c r="F81"/>
  <c r="I64" i="15"/>
  <c r="I65"/>
  <c r="I68"/>
  <c r="I70"/>
  <c r="I85" i="17" s="1"/>
  <c r="H85" l="1"/>
  <c r="I71" i="15"/>
  <c r="M303" i="20"/>
  <c r="N303"/>
  <c r="O303"/>
  <c r="P303"/>
  <c r="L303"/>
  <c r="K303"/>
  <c r="J303"/>
  <c r="I303"/>
  <c r="H303"/>
  <c r="G303"/>
</calcChain>
</file>

<file path=xl/comments1.xml><?xml version="1.0" encoding="utf-8"?>
<comments xmlns="http://schemas.openxmlformats.org/spreadsheetml/2006/main">
  <authors>
    <author>Keizer</author>
  </authors>
  <commentList>
    <comment ref="G23" authorId="0">
      <text>
        <r>
          <rPr>
            <sz val="8"/>
            <color indexed="81"/>
            <rFont val="Tahoma"/>
            <family val="2"/>
          </rPr>
          <t>VT staat voor verbreed toelaten. VT moet als een aparte afdeling ingevuld worden voor de bekostiging.</t>
        </r>
      </text>
    </comment>
    <comment ref="G29" authorId="0">
      <text>
        <r>
          <rPr>
            <sz val="9"/>
            <color indexed="81"/>
            <rFont val="Tahoma"/>
            <family val="2"/>
          </rPr>
          <t xml:space="preserve">
Dit betreft het feitelijk aantal leerlingen op de residentiele plaatsen (geen JJI resp. GJI) dat voor de bekostiging telt. </t>
        </r>
      </text>
    </comment>
    <comment ref="G30" authorId="0">
      <text>
        <r>
          <rPr>
            <sz val="8"/>
            <color indexed="81"/>
            <rFont val="Tahoma"/>
            <family val="2"/>
          </rPr>
          <t xml:space="preserve">
Tel het feitelijk aantal leerlingen jonger dan 8 jaar op 31 december T-1 op residentiele plaatsen.</t>
        </r>
      </text>
    </comment>
    <comment ref="G31" authorId="0">
      <text>
        <r>
          <rPr>
            <sz val="8"/>
            <color indexed="81"/>
            <rFont val="Tahoma"/>
            <family val="2"/>
          </rPr>
          <t>Geef het feitelijk aantal cumi-leerlingen op residentiele plaatsen op.</t>
        </r>
      </text>
    </comment>
    <comment ref="G37" authorId="0">
      <text>
        <r>
          <rPr>
            <sz val="8"/>
            <color indexed="81"/>
            <rFont val="Tahoma"/>
            <family val="2"/>
          </rPr>
          <t>VT staat voor verbreed toelaten. VT moet als een aparte afdeling ingevuld worden voor de bekostiging.</t>
        </r>
      </text>
    </comment>
    <comment ref="G43" authorId="0">
      <text>
        <r>
          <rPr>
            <sz val="9"/>
            <color indexed="81"/>
            <rFont val="Tahoma"/>
            <family val="2"/>
          </rPr>
          <t xml:space="preserve">
Dit betreft het feitelijk aantal leerlingen op de residentiele plaatsen (geen JJI resp. GJI) dat voor de bekostiging telt. </t>
        </r>
      </text>
    </comment>
    <comment ref="G44" authorId="0">
      <text>
        <r>
          <rPr>
            <sz val="8"/>
            <color indexed="81"/>
            <rFont val="Tahoma"/>
            <family val="2"/>
          </rPr>
          <t xml:space="preserve">
Tel het feitelijk aantal leerlingen jonger dan 8 jaar op 31 december T-1 op residentiele plaatsen.</t>
        </r>
      </text>
    </comment>
    <comment ref="G45" authorId="0">
      <text>
        <r>
          <rPr>
            <sz val="8"/>
            <color indexed="81"/>
            <rFont val="Tahoma"/>
            <family val="2"/>
          </rPr>
          <t>Geef het feitelijk aantal cumi-leerlingen op residentiele plaatsen op.</t>
        </r>
      </text>
    </comment>
    <comment ref="G51" authorId="0">
      <text>
        <r>
          <rPr>
            <sz val="8"/>
            <color indexed="81"/>
            <rFont val="Tahoma"/>
            <family val="2"/>
          </rPr>
          <t>VT staat voor verbreed toelaten. VT moet als een aparte afdeling ingevuld worden voor de bekostiging.</t>
        </r>
      </text>
    </comment>
    <comment ref="G57" authorId="0">
      <text>
        <r>
          <rPr>
            <sz val="9"/>
            <color indexed="81"/>
            <rFont val="Tahoma"/>
            <family val="2"/>
          </rPr>
          <t xml:space="preserve">
Dit betreft het feitelijk aantal leerlingen op de residentiele plaatsen (geen JJI resp. GJI) dat voor de bekostiging telt. </t>
        </r>
      </text>
    </comment>
    <comment ref="G58" authorId="0">
      <text>
        <r>
          <rPr>
            <sz val="8"/>
            <color indexed="81"/>
            <rFont val="Tahoma"/>
            <family val="2"/>
          </rPr>
          <t xml:space="preserve">
Tel het feitelijk aantal leerlingen jonger dan 8 jaar op 31 december T-1 op residentiele plaatsen.</t>
        </r>
      </text>
    </comment>
    <comment ref="G59" authorId="0">
      <text>
        <r>
          <rPr>
            <sz val="8"/>
            <color indexed="81"/>
            <rFont val="Tahoma"/>
            <family val="2"/>
          </rPr>
          <t>Geef het feitelijk aantal cumi-leerlingen op residentiele plaatsen op.</t>
        </r>
      </text>
    </comment>
    <comment ref="G75" authorId="0">
      <text>
        <r>
          <rPr>
            <sz val="8"/>
            <color indexed="81"/>
            <rFont val="Tahoma"/>
            <family val="2"/>
          </rPr>
          <t>VT staat voor verbreed toelaten. VT moet als een aparte afdeling ingevuld worden voor de bekostiging.</t>
        </r>
      </text>
    </comment>
    <comment ref="G81" authorId="0">
      <text>
        <r>
          <rPr>
            <sz val="9"/>
            <color indexed="81"/>
            <rFont val="Tahoma"/>
            <family val="2"/>
          </rPr>
          <t xml:space="preserve">
Dit betreft het feitelijk aantal leerlingen op de residentiele plaatsen (geen JJI resp. GJI) dat voor de bekostiging telt. </t>
        </r>
      </text>
    </comment>
    <comment ref="G82" authorId="0">
      <text>
        <r>
          <rPr>
            <sz val="8"/>
            <color indexed="81"/>
            <rFont val="Tahoma"/>
            <family val="2"/>
          </rPr>
          <t xml:space="preserve">
Tel het feitelijk aantal leerlingen jonger dan 8 jaar op 31 december T-1 op residentiele plaatsen.</t>
        </r>
      </text>
    </comment>
    <comment ref="G83" authorId="0">
      <text>
        <r>
          <rPr>
            <sz val="8"/>
            <color indexed="81"/>
            <rFont val="Tahoma"/>
            <family val="2"/>
          </rPr>
          <t>Geef het feitelijk aantal cumi-leerlingen op residentiele plaatsen op.</t>
        </r>
      </text>
    </comment>
    <comment ref="G89" authorId="0">
      <text>
        <r>
          <rPr>
            <sz val="8"/>
            <color indexed="81"/>
            <rFont val="Tahoma"/>
            <family val="2"/>
          </rPr>
          <t>VT staat voor verbreed toelaten. VT moet als een aparte afdeling ingevuld worden voor de bekostiging.</t>
        </r>
      </text>
    </comment>
    <comment ref="G95" authorId="0">
      <text>
        <r>
          <rPr>
            <sz val="9"/>
            <color indexed="81"/>
            <rFont val="Tahoma"/>
            <family val="2"/>
          </rPr>
          <t xml:space="preserve">
Dit betreft het feitelijk aantal leerlingen op de residentiele plaatsen (geen JJI resp. GJI) dat voor de bekostiging telt. </t>
        </r>
      </text>
    </comment>
    <comment ref="G96" authorId="0">
      <text>
        <r>
          <rPr>
            <sz val="8"/>
            <color indexed="81"/>
            <rFont val="Tahoma"/>
            <family val="2"/>
          </rPr>
          <t xml:space="preserve">
Tel het feitelijk aantal leerlingen jonger dan 8 jaar op 31 december T-1 op residentiele plaatsen.</t>
        </r>
      </text>
    </comment>
    <comment ref="G97" authorId="0">
      <text>
        <r>
          <rPr>
            <sz val="8"/>
            <color indexed="81"/>
            <rFont val="Tahoma"/>
            <family val="2"/>
          </rPr>
          <t>Geef het feitelijk aantal cumi-leerlingen op residentiele plaatsen op.</t>
        </r>
      </text>
    </comment>
    <comment ref="G106" authorId="0">
      <text>
        <r>
          <rPr>
            <sz val="8"/>
            <color indexed="81"/>
            <rFont val="Tahoma"/>
            <family val="2"/>
          </rPr>
          <t>VT staat voor verbreed toelaten. VT moet als een aparte afdeling ingevuld worden voor de bekostiging.</t>
        </r>
      </text>
    </comment>
    <comment ref="G112" authorId="0">
      <text>
        <r>
          <rPr>
            <sz val="9"/>
            <color indexed="81"/>
            <rFont val="Tahoma"/>
            <family val="2"/>
          </rPr>
          <t xml:space="preserve">
Dit betreft het feitelijk aantal leerlingen op de residentiele plaatsen (geen JJI resp. GJI) dat voor de bekostiging telt. </t>
        </r>
      </text>
    </comment>
    <comment ref="G113" authorId="0">
      <text>
        <r>
          <rPr>
            <sz val="8"/>
            <color indexed="81"/>
            <rFont val="Tahoma"/>
            <family val="2"/>
          </rPr>
          <t xml:space="preserve">
Tel het feitelijk aantal leerlingen jonger dan 8 jaar op 31 december T-1 op residentiele plaatsen.</t>
        </r>
      </text>
    </comment>
    <comment ref="G114" authorId="0">
      <text>
        <r>
          <rPr>
            <sz val="8"/>
            <color indexed="81"/>
            <rFont val="Tahoma"/>
            <family val="2"/>
          </rPr>
          <t>Geef het feitelijk aantal cumi-leerlingen op residentiele plaatsen op.</t>
        </r>
      </text>
    </comment>
    <comment ref="G128" authorId="0">
      <text>
        <r>
          <rPr>
            <sz val="8"/>
            <color indexed="81"/>
            <rFont val="Tahoma"/>
            <family val="2"/>
          </rPr>
          <t>VT staat voor verbreed toelaten. VT moet als een aparte afdeling ingevuld worden voor de bekostiging.</t>
        </r>
      </text>
    </comment>
  </commentList>
</comments>
</file>

<file path=xl/comments10.xml><?xml version="1.0" encoding="utf-8"?>
<comments xmlns="http://schemas.openxmlformats.org/spreadsheetml/2006/main">
  <authors>
    <author>Bé Keizer</author>
  </authors>
  <commentList>
    <comment ref="D90" authorId="0">
      <text>
        <r>
          <rPr>
            <sz val="9"/>
            <color indexed="81"/>
            <rFont val="Tahoma"/>
            <family val="2"/>
          </rPr>
          <t xml:space="preserve">
Aanloopschalen a1 en a2 achterwege gelaten.</t>
        </r>
      </text>
    </comment>
  </commentList>
</comments>
</file>

<file path=xl/comments11.xml><?xml version="1.0" encoding="utf-8"?>
<comments xmlns="http://schemas.openxmlformats.org/spreadsheetml/2006/main">
  <authors>
    <author>Goedhart, R.</author>
    <author>ReinierG</author>
  </authors>
  <commentList>
    <comment ref="D73" authorId="0">
      <text>
        <r>
          <rPr>
            <sz val="8"/>
            <color indexed="81"/>
            <rFont val="Tahoma"/>
            <family val="2"/>
          </rPr>
          <t xml:space="preserve">
is geen verplicht kengetal volgens OCW- richtlijn jaarverslaggeving PO
</t>
        </r>
      </text>
    </comment>
    <comment ref="D76" authorId="0">
      <text>
        <r>
          <rPr>
            <sz val="8"/>
            <color indexed="81"/>
            <rFont val="Tahoma"/>
            <family val="2"/>
          </rPr>
          <t xml:space="preserve">
is geen verplicht kengetal volgens OCW- richtlijn jaarverslaggeving PO
</t>
        </r>
      </text>
    </comment>
    <comment ref="D115" authorId="1">
      <text>
        <r>
          <rPr>
            <sz val="8"/>
            <color indexed="81"/>
            <rFont val="Tahoma"/>
            <family val="2"/>
          </rPr>
          <t xml:space="preserve">
de solvabiliteit geeft aan in welke verhouding de bezittingen op de activazijde van de balans, zijn gefinancieerd met eigen- en/of vreemd vermogen.  De solvabiliteit geeft inzicht in het vermogen van de school om aan haar verplichtingen op de lange termijn te voldoen.</t>
        </r>
      </text>
    </comment>
    <comment ref="D119" authorId="1">
      <text>
        <r>
          <rPr>
            <sz val="8"/>
            <color indexed="81"/>
            <rFont val="Tahoma"/>
            <family val="2"/>
          </rPr>
          <t xml:space="preserve">
de liquiditeit geeft inzicht in het vermogen van de school om aan haar verplichtingen op de korte termijn te voldoen.</t>
        </r>
      </text>
    </comment>
    <comment ref="D123" authorId="1">
      <text>
        <r>
          <rPr>
            <sz val="8"/>
            <color indexed="81"/>
            <rFont val="Tahoma"/>
            <family val="2"/>
          </rPr>
          <t xml:space="preserve">
de rentabiliteit geeft inzicht in de relatieve omvang van het resultaat. In hoeverre gaat er meer geld uit, dan er binnenkomt (zodat de reserves interen)</t>
        </r>
      </text>
    </comment>
    <comment ref="D127" authorId="1">
      <text>
        <r>
          <rPr>
            <sz val="8"/>
            <color indexed="81"/>
            <rFont val="Tahoma"/>
            <family val="2"/>
          </rPr>
          <t xml:space="preserve">
Dit percentage geeft inzicht in de capaciteit om onvoorziene tegenvallers in de exploitatie op te vangen (Ernst&amp;Young, juli 2004). Dit omvang van dit percentage is afhankelijk van: (1) kwaliteit planning &amp; controlcyclus, (2) de mate waarin risico's gezamenlijk worden gedragen (3) gesignaleerde risico's</t>
        </r>
      </text>
    </comment>
  </commentList>
</comments>
</file>

<file path=xl/comments12.xml><?xml version="1.0" encoding="utf-8"?>
<comments xmlns="http://schemas.openxmlformats.org/spreadsheetml/2006/main">
  <authors>
    <author>Goedhart, R.</author>
  </authors>
  <commentList>
    <comment ref="D21" authorId="0">
      <text>
        <r>
          <rPr>
            <sz val="8"/>
            <color indexed="81"/>
            <rFont val="Tahoma"/>
            <family val="2"/>
          </rPr>
          <t xml:space="preserve">
Hier wordt de datum van vandaag weergegeven. Bij het kopiëren van dit werkblad in het sommatiemodel, zal de datum in het sommatiemodel gefixeerd worden. </t>
        </r>
      </text>
    </comment>
  </commentList>
</comments>
</file>

<file path=xl/comments13.xml><?xml version="1.0" encoding="utf-8"?>
<comments xmlns="http://schemas.openxmlformats.org/spreadsheetml/2006/main">
  <authors>
    <author>Keizer</author>
    <author>Gebruiker</author>
    <author xml:space="preserve"> </author>
    <author>Bé Keizer</author>
  </authors>
  <commentList>
    <comment ref="I10" authorId="0">
      <text>
        <r>
          <rPr>
            <sz val="8"/>
            <color indexed="81"/>
            <rFont val="Tahoma"/>
            <family val="2"/>
          </rPr>
          <t>Besluit bekost. WEC , artikel 33 en 34</t>
        </r>
      </text>
    </comment>
    <comment ref="E44" authorId="0">
      <text>
        <r>
          <rPr>
            <sz val="8"/>
            <color indexed="81"/>
            <rFont val="Tahoma"/>
            <family val="2"/>
          </rPr>
          <t xml:space="preserve">
Besluit bekost. WPO, artikel 34 en art. 17.
Cluster 3 en 4 met 13,6% gekort per 1-8-2010.</t>
        </r>
      </text>
    </comment>
    <comment ref="Q61" authorId="0">
      <text>
        <r>
          <rPr>
            <sz val="9"/>
            <color indexed="81"/>
            <rFont val="Tahoma"/>
            <family val="2"/>
          </rPr>
          <t>Zie PvE (V)SO 2012.
Stcrt.   28 sept 2011.</t>
        </r>
      </text>
    </comment>
    <comment ref="G87" authorId="0">
      <text>
        <r>
          <rPr>
            <sz val="8"/>
            <color indexed="81"/>
            <rFont val="Tahoma"/>
            <family val="2"/>
          </rPr>
          <t>Besluit bekost. WEC , artikel 35</t>
        </r>
      </text>
    </comment>
    <comment ref="A103" authorId="1">
      <text>
        <r>
          <rPr>
            <sz val="8"/>
            <color indexed="81"/>
            <rFont val="Tahoma"/>
            <family val="2"/>
          </rPr>
          <t xml:space="preserve">
Regeling geldt van 2012 tot en met 2015
</t>
        </r>
      </text>
    </comment>
    <comment ref="D104" authorId="2">
      <text>
        <r>
          <rPr>
            <sz val="8"/>
            <color indexed="81"/>
            <rFont val="Tahoma"/>
            <family val="2"/>
          </rPr>
          <t xml:space="preserve">
o.b.v. bedragen staatscourant 15 december 2011</t>
        </r>
      </text>
    </comment>
    <comment ref="D105" authorId="2">
      <text>
        <r>
          <rPr>
            <sz val="8"/>
            <color indexed="81"/>
            <rFont val="Tahoma"/>
            <family val="2"/>
          </rPr>
          <t xml:space="preserve">
o.b.v. bedragen staatscourant 15 december 2011</t>
        </r>
      </text>
    </comment>
    <comment ref="A116" authorId="0">
      <text>
        <r>
          <rPr>
            <sz val="9"/>
            <color indexed="81"/>
            <rFont val="Tahoma"/>
            <family val="2"/>
          </rPr>
          <t xml:space="preserve">
Van kracht vanaf 1 jan. 2011.</t>
        </r>
      </text>
    </comment>
    <comment ref="A131" authorId="3">
      <text>
        <r>
          <rPr>
            <sz val="9"/>
            <color indexed="81"/>
            <rFont val="Tahoma"/>
            <family val="2"/>
          </rPr>
          <t xml:space="preserve">
Aanloopschalen a1 en a2 achterwege gelaten. Aanpassing min. loon per 1-7-2011 zorgt dat de aanloopschalen tenminste 1435,20 zijn. </t>
        </r>
      </text>
    </comment>
    <comment ref="D180" authorId="3">
      <text>
        <r>
          <rPr>
            <sz val="8"/>
            <color indexed="81"/>
            <rFont val="Tahoma"/>
            <family val="2"/>
          </rPr>
          <t xml:space="preserve">
Het ministerie heeft besloten de bedragen voor 2010-2011 niet te korten met 13,6% zoals voor cluster 3 en 4 wel bij de ambulante begeleiding PO en VO is gebeurd, omdat de mededeling dan te laat bij de scholen zou komen. 
De bedragen voor 2011-2012 worden wel met 13,6% gekort voor cluster 3 en 4. 
De officiele publicatie hierover is inmiddels als Besluit van 21 april 2011 verschenen.
 </t>
        </r>
      </text>
    </comment>
    <comment ref="F181" authorId="0">
      <text>
        <r>
          <rPr>
            <sz val="8"/>
            <color indexed="81"/>
            <rFont val="Tahoma"/>
            <family val="2"/>
          </rPr>
          <t xml:space="preserve">
Reg LGF MBO 11-12, 21 april 2011. </t>
        </r>
      </text>
    </comment>
    <comment ref="H181" authorId="0">
      <text>
        <r>
          <rPr>
            <sz val="8"/>
            <color indexed="81"/>
            <rFont val="Tahoma"/>
            <family val="2"/>
          </rPr>
          <t xml:space="preserve">
Reg LGF MBO 11-12, 21 april 2011. </t>
        </r>
      </text>
    </comment>
    <comment ref="B236" authorId="0">
      <text>
        <r>
          <rPr>
            <sz val="9"/>
            <color indexed="81"/>
            <rFont val="Tahoma"/>
            <family val="2"/>
          </rPr>
          <t xml:space="preserve">
Bedragen voor kalenderjaar 2012 zijn bekend: 
Stcrt.   d.d. 28 sept. 2011. </t>
        </r>
      </text>
    </comment>
    <comment ref="L239" authorId="0">
      <text>
        <r>
          <rPr>
            <sz val="8"/>
            <color indexed="81"/>
            <rFont val="Tahoma"/>
            <family val="2"/>
          </rPr>
          <t xml:space="preserve">
Besluit bekost. WEC, artikel 14</t>
        </r>
      </text>
    </comment>
    <comment ref="M258" authorId="0">
      <text>
        <r>
          <rPr>
            <sz val="8"/>
            <color indexed="81"/>
            <rFont val="Tahoma"/>
            <family val="2"/>
          </rPr>
          <t>LG/MG in combinatie met schuifdeur (DO, LG, ZMLK, MG)
stoellift (LG, LZ, ZMLK, Cl.4)
extra (LG, MG)</t>
        </r>
      </text>
    </comment>
    <comment ref="H297" authorId="0">
      <text>
        <r>
          <rPr>
            <sz val="8"/>
            <color indexed="81"/>
            <rFont val="Tahoma"/>
            <family val="2"/>
          </rPr>
          <t xml:space="preserve">
Betreft MI-bedrag voor 2013
.
Formatie wordt toegewezen aan REC (Regeling bekostiging 12-13 art. 38)</t>
        </r>
      </text>
    </comment>
    <comment ref="F307" authorId="0">
      <text>
        <r>
          <rPr>
            <sz val="9"/>
            <color indexed="81"/>
            <rFont val="Tahoma"/>
            <family val="2"/>
          </rPr>
          <t>Zie PvE (V)SO 2012.
Stcrt.  28 sept 2011.</t>
        </r>
      </text>
    </comment>
    <comment ref="F323" authorId="0">
      <text>
        <r>
          <rPr>
            <sz val="9"/>
            <color indexed="81"/>
            <rFont val="Arial"/>
            <family val="2"/>
          </rPr>
          <t xml:space="preserve">
Betreft 11-12, Reg bek pers art. 7, 8 en 45.</t>
        </r>
      </text>
    </comment>
    <comment ref="J323" authorId="0">
      <text>
        <r>
          <rPr>
            <sz val="9"/>
            <color indexed="81"/>
            <rFont val="Arial"/>
            <family val="2"/>
          </rPr>
          <t xml:space="preserve">
Betreft 10-11, verhoging met 0,0% t.o.v. 09-10.</t>
        </r>
      </text>
    </comment>
  </commentList>
</comments>
</file>

<file path=xl/comments14.xml><?xml version="1.0" encoding="utf-8"?>
<comments xmlns="http://schemas.openxmlformats.org/spreadsheetml/2006/main">
  <authors>
    <author xml:space="preserve"> </author>
  </authors>
  <commentList>
    <comment ref="D91" authorId="0">
      <text>
        <r>
          <rPr>
            <sz val="10"/>
            <color indexed="81"/>
            <rFont val="Tahoma"/>
            <family val="2"/>
          </rPr>
          <t xml:space="preserve">
watergewen. Bad (W)
of
hydro-bad (H)
</t>
        </r>
      </text>
    </comment>
  </commentList>
</comments>
</file>

<file path=xl/comments15.xml><?xml version="1.0" encoding="utf-8"?>
<comments xmlns="http://schemas.openxmlformats.org/spreadsheetml/2006/main">
  <authors>
    <author>Keizer</author>
  </authors>
  <commentList>
    <comment ref="I17" authorId="0">
      <text>
        <r>
          <rPr>
            <sz val="8"/>
            <color indexed="81"/>
            <rFont val="Tahoma"/>
            <family val="2"/>
          </rPr>
          <t>Besluit bekost. WEC , artikel 35</t>
        </r>
      </text>
    </comment>
  </commentList>
</comments>
</file>

<file path=xl/comments2.xml><?xml version="1.0" encoding="utf-8"?>
<comments xmlns="http://schemas.openxmlformats.org/spreadsheetml/2006/main">
  <authors>
    <author>Bé Keizer</author>
  </authors>
  <commentList>
    <comment ref="F9" authorId="0">
      <text>
        <r>
          <rPr>
            <sz val="9"/>
            <color indexed="81"/>
            <rFont val="Tahoma"/>
            <family val="2"/>
          </rPr>
          <t>Opgave van 11-12 noodzakelijk in verband met berekening budget PAB voor ambulante begeleiding.</t>
        </r>
      </text>
    </comment>
    <comment ref="F31" authorId="0">
      <text>
        <r>
          <rPr>
            <sz val="9"/>
            <color indexed="81"/>
            <rFont val="Tahoma"/>
            <family val="2"/>
          </rPr>
          <t>Opgave van 11-12 noodzakelijk in verband met berekening budget PAB voor ambulante begeleiding.</t>
        </r>
      </text>
    </comment>
    <comment ref="F65" authorId="0">
      <text>
        <r>
          <rPr>
            <sz val="9"/>
            <color indexed="81"/>
            <rFont val="Tahoma"/>
            <family val="2"/>
          </rPr>
          <t>Opgave van 11-12 noodzakelijk in verband met berekening budget PAB voor ambulante begeleiding.</t>
        </r>
      </text>
    </comment>
    <comment ref="F87" authorId="0">
      <text>
        <r>
          <rPr>
            <sz val="9"/>
            <color indexed="81"/>
            <rFont val="Tahoma"/>
            <family val="2"/>
          </rPr>
          <t>Opgave van 11-12noodzakelijk in verband met berekening budget PAB voor ambulante begeleiding.</t>
        </r>
      </text>
    </comment>
  </commentList>
</comments>
</file>

<file path=xl/comments3.xml><?xml version="1.0" encoding="utf-8"?>
<comments xmlns="http://schemas.openxmlformats.org/spreadsheetml/2006/main">
  <authors>
    <author>Keizer</author>
    <author>Bé Keizer</author>
    <author>Goedhart, R.</author>
  </authors>
  <commentList>
    <comment ref="G12" authorId="0">
      <text>
        <r>
          <rPr>
            <sz val="9"/>
            <color indexed="81"/>
            <rFont val="Tahoma"/>
            <family val="2"/>
          </rPr>
          <t>De GGL van 1 oktober 2011 moet voor het schooljaar 12-13 ingevoerd worden, voor de daaropvolgende jaren is het berekend op basis van  ingevoerde gegevens in het werkblad OP.</t>
        </r>
      </text>
    </comment>
    <comment ref="G77" authorId="0">
      <text>
        <r>
          <rPr>
            <sz val="8"/>
            <color indexed="81"/>
            <rFont val="Tahoma"/>
            <family val="2"/>
          </rPr>
          <t xml:space="preserve">
Dit betreft de inkomsten rugzak van de leerlingen afkomstig van MBO, voltijds resp. deeltijds, die door DUO-CFI rechtstreeks aan de school betaald wordt. 
</t>
        </r>
      </text>
    </comment>
    <comment ref="F83" authorId="0">
      <text>
        <r>
          <rPr>
            <sz val="8"/>
            <color indexed="81"/>
            <rFont val="Tahoma"/>
            <family val="2"/>
          </rPr>
          <t xml:space="preserve">
Het betreft hier een nevenvestiging die fungeert als een gesloten justitiele inrichting of als een instelling voor gesloten jeugdzorg waarbinnen onderwijs wordt gegeven.  </t>
        </r>
      </text>
    </comment>
    <comment ref="G83" authorId="1">
      <text>
        <r>
          <rPr>
            <sz val="9"/>
            <color indexed="81"/>
            <rFont val="Tahoma"/>
            <family val="2"/>
          </rPr>
          <t xml:space="preserve">
Hier opgave van het aantal door Justitie toegekende residentiele plaatsen.</t>
        </r>
      </text>
    </comment>
    <comment ref="F84" authorId="0">
      <text>
        <r>
          <rPr>
            <sz val="8"/>
            <color indexed="81"/>
            <rFont val="Tahoma"/>
            <family val="2"/>
          </rPr>
          <t xml:space="preserve">
Het betreft hier een nevenvestiging die fungeert als een gesloten justitiele inrichting of als een instelling voor gesloten jeugdzorg waarbinnen onderwijs wordt gegeven. </t>
        </r>
      </text>
    </comment>
    <comment ref="G84" authorId="1">
      <text>
        <r>
          <rPr>
            <sz val="9"/>
            <color indexed="81"/>
            <rFont val="Tahoma"/>
            <family val="2"/>
          </rPr>
          <t xml:space="preserve">
Hier opgave van het aantal door Justitie toegekende residentiele plaatsen.</t>
        </r>
      </text>
    </comment>
    <comment ref="G108" authorId="1">
      <text>
        <r>
          <rPr>
            <sz val="9"/>
            <color indexed="81"/>
            <rFont val="Tahoma"/>
            <family val="2"/>
          </rPr>
          <t xml:space="preserve">
In de beschikking van het budget PAB is het bedrag opgenomen voor het aantal ambulant begeleidde rugzakleerlingen in het (s)bao resp. het vo/web van het voorafgaande jaar. 
Dat aantal leerlingen dient opgegeven te worden in het werkblad rugzakken in regel 9, 31,  65 resp. 87.
De verdere opgave van de aantallen rugzakken geeft per oktober van het schooljaar de data voor de jaren daarna.</t>
        </r>
      </text>
    </comment>
    <comment ref="G113" authorId="0">
      <text>
        <r>
          <rPr>
            <sz val="9"/>
            <color indexed="81"/>
            <rFont val="Tahoma"/>
            <family val="2"/>
          </rPr>
          <t xml:space="preserve">
De groei wordt berekend op basis van de leerlingenaantallen op 1 oktober T met de GGL van T-1 in het eerste jaar resp. tweede jaar, daarna wordt het verschil genomen van de bekostiging tussen T en T-1.
</t>
        </r>
      </text>
    </comment>
    <comment ref="G118" authorId="0">
      <text>
        <r>
          <rPr>
            <sz val="8"/>
            <color indexed="81"/>
            <rFont val="Tahoma"/>
            <family val="2"/>
          </rPr>
          <t>Het betreft hier de scholen en afdelingen voor meervoudig gehandicapten anders dan die op basis van artikel 2, lid 5 Wec zijn vastgesteld: (MGA (DO-ZMLK), MGB (SH-ZMLK), MGF (LG-ZMLK) en DO-BLN).</t>
        </r>
      </text>
    </comment>
    <comment ref="G119" authorId="0">
      <text>
        <r>
          <rPr>
            <sz val="8"/>
            <color indexed="81"/>
            <rFont val="Tahoma"/>
            <family val="2"/>
          </rPr>
          <t>Het betreft hier de scholen van cluster 2 die tot de invoering van LGF leerlingen zowel in het VSO als in het VO mochten inschrijven. Deze regeling compenseert het negatieve effect nu die leerlingen niet langer bij twee scholen mogen worden ingeschreven.</t>
        </r>
      </text>
    </comment>
    <comment ref="G120" authorId="0">
      <text>
        <r>
          <rPr>
            <sz val="8"/>
            <color indexed="81"/>
            <rFont val="Tahoma"/>
            <family val="2"/>
          </rPr>
          <t xml:space="preserve">
Regeling bekostiging personeel PO 2006-2007 artikel 36.
Aantal fre's 05-06 opgeven in Tabellen D174
 </t>
        </r>
      </text>
    </comment>
    <comment ref="G136" authorId="2">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List>
</comments>
</file>

<file path=xl/comments4.xml><?xml version="1.0" encoding="utf-8"?>
<comments xmlns="http://schemas.openxmlformats.org/spreadsheetml/2006/main">
  <authors>
    <author>Keizer</author>
    <author>Goedhart, R.</author>
  </authors>
  <commentList>
    <comment ref="L13" authorId="0">
      <text>
        <r>
          <rPr>
            <sz val="9"/>
            <color indexed="81"/>
            <rFont val="Tahoma"/>
            <family val="2"/>
          </rPr>
          <t xml:space="preserve">
Opgave van WTF BAPO is positief getal en dat wordt in mindering gebracht op reguliere WTF</t>
        </r>
      </text>
    </comment>
    <comment ref="Q14" authorId="1">
      <text>
        <r>
          <rPr>
            <sz val="8"/>
            <color indexed="81"/>
            <rFont val="Tahoma"/>
            <family val="2"/>
          </rPr>
          <t xml:space="preserve">
dit percentage is gebaseerd op het landelijk gemiddelde en kan aangepast worden in het werkblad tab, maar ook per werknemer in kolom Q.
</t>
        </r>
      </text>
    </comment>
    <comment ref="L40" authorId="0">
      <text>
        <r>
          <rPr>
            <sz val="9"/>
            <color indexed="81"/>
            <rFont val="Tahoma"/>
            <family val="2"/>
          </rPr>
          <t xml:space="preserve">
Opgave van WTF BAPO is positief getal en dat wordt in mindering gebracht op reguliere WTF</t>
        </r>
      </text>
    </comment>
    <comment ref="L68" authorId="0">
      <text>
        <r>
          <rPr>
            <sz val="9"/>
            <color indexed="81"/>
            <rFont val="Tahoma"/>
            <family val="2"/>
          </rPr>
          <t xml:space="preserve">
Opgave van WTF BAPO is positief getal en dat wordt in mindering gebracht op reguliere WTF</t>
        </r>
      </text>
    </comment>
    <comment ref="L95" authorId="0">
      <text>
        <r>
          <rPr>
            <sz val="9"/>
            <color indexed="81"/>
            <rFont val="Tahoma"/>
            <family val="2"/>
          </rPr>
          <t xml:space="preserve">
Opgave van WTF BAPO is positief getal en dat wordt in mindering gebracht op reguliere WTF</t>
        </r>
      </text>
    </comment>
    <comment ref="L122" authorId="0">
      <text>
        <r>
          <rPr>
            <sz val="9"/>
            <color indexed="81"/>
            <rFont val="Tahoma"/>
            <family val="2"/>
          </rPr>
          <t xml:space="preserve">
Opgave van WTF BAPO is positief getal en dat wordt in mindering gebracht op reguliere WTF</t>
        </r>
      </text>
    </comment>
  </commentList>
</comments>
</file>

<file path=xl/comments5.xml><?xml version="1.0" encoding="utf-8"?>
<comments xmlns="http://schemas.openxmlformats.org/spreadsheetml/2006/main">
  <authors>
    <author>Keizer</author>
    <author>Goedhart, R.</author>
  </authors>
  <commentList>
    <comment ref="L13" authorId="0">
      <text>
        <r>
          <rPr>
            <sz val="9"/>
            <color indexed="81"/>
            <rFont val="Tahoma"/>
            <family val="2"/>
          </rPr>
          <t xml:space="preserve">
Opgave van WTF BAPO is positief getal en dat wordt in mindering gebracht op reguliere WTF</t>
        </r>
      </text>
    </comment>
    <comment ref="Q14" authorId="1">
      <text>
        <r>
          <rPr>
            <sz val="8"/>
            <color indexed="81"/>
            <rFont val="Tahoma"/>
            <family val="2"/>
          </rPr>
          <t xml:space="preserve">
dit percentage is gebaseerd op het landelijk gemiddelde en kan aangepast worden in het werkblad tab, maar ook per werknemer in kolom Q.
</t>
        </r>
      </text>
    </comment>
    <comment ref="L125" authorId="0">
      <text>
        <r>
          <rPr>
            <sz val="9"/>
            <color indexed="81"/>
            <rFont val="Tahoma"/>
            <family val="2"/>
          </rPr>
          <t xml:space="preserve">
Opgave van WTF BAPO is positief getal en dat wordt in mindering gebracht op reguliere WTF</t>
        </r>
      </text>
    </comment>
    <comment ref="Q126" authorId="1">
      <text>
        <r>
          <rPr>
            <sz val="8"/>
            <color indexed="81"/>
            <rFont val="Tahoma"/>
            <family val="2"/>
          </rPr>
          <t xml:space="preserve">
dit percentage is gebaseerd op het landelijk gemiddelde en kan aangepast worden in het werkblad tab, maar ook per werknemer in kolom Q.
</t>
        </r>
      </text>
    </comment>
    <comment ref="L237" authorId="0">
      <text>
        <r>
          <rPr>
            <sz val="9"/>
            <color indexed="81"/>
            <rFont val="Tahoma"/>
            <family val="2"/>
          </rPr>
          <t xml:space="preserve">
Opgave van WTF BAPO is positief getal en dat wordt in mindering gebracht op reguliere WTF</t>
        </r>
      </text>
    </comment>
    <comment ref="Q238" authorId="1">
      <text>
        <r>
          <rPr>
            <sz val="8"/>
            <color indexed="81"/>
            <rFont val="Tahoma"/>
            <family val="2"/>
          </rPr>
          <t xml:space="preserve">
dit percentage is gebaseerd op het landelijk gemiddelde en kan aangepast worden in het werkblad tab, maar ook per werknemer in kolom Q.
</t>
        </r>
      </text>
    </comment>
    <comment ref="L349" authorId="0">
      <text>
        <r>
          <rPr>
            <sz val="9"/>
            <color indexed="81"/>
            <rFont val="Tahoma"/>
            <family val="2"/>
          </rPr>
          <t xml:space="preserve">
Opgave van WTF BAPO is positief getal en dat wordt in mindering gebracht op reguliere WTF</t>
        </r>
      </text>
    </comment>
    <comment ref="Q350" authorId="1">
      <text>
        <r>
          <rPr>
            <sz val="8"/>
            <color indexed="81"/>
            <rFont val="Tahoma"/>
            <family val="2"/>
          </rPr>
          <t xml:space="preserve">
dit percentage is gebaseerd op het landelijk gemiddelde en kan aangepast worden in het werkblad tab, maar ook per werknemer in kolom Q.
</t>
        </r>
      </text>
    </comment>
    <comment ref="L461" authorId="0">
      <text>
        <r>
          <rPr>
            <sz val="9"/>
            <color indexed="81"/>
            <rFont val="Tahoma"/>
            <family val="2"/>
          </rPr>
          <t xml:space="preserve">
Opgave van WTF BAPO is positief getal en dat wordt in mindering gebracht op reguliere WTF</t>
        </r>
      </text>
    </comment>
    <comment ref="Q462" authorId="1">
      <text>
        <r>
          <rPr>
            <sz val="8"/>
            <color indexed="81"/>
            <rFont val="Tahoma"/>
            <family val="2"/>
          </rPr>
          <t xml:space="preserve">
dit percentage is gebaseerd op het landelijk gemiddelde en kan aangepast worden in het werkblad tab, maar ook per werknemer in kolom Q.
</t>
        </r>
      </text>
    </comment>
  </commentList>
</comments>
</file>

<file path=xl/comments6.xml><?xml version="1.0" encoding="utf-8"?>
<comments xmlns="http://schemas.openxmlformats.org/spreadsheetml/2006/main">
  <authors>
    <author>Keizer</author>
    <author>Goedhart, R.</author>
  </authors>
  <commentList>
    <comment ref="L13" authorId="0">
      <text>
        <r>
          <rPr>
            <sz val="9"/>
            <color indexed="81"/>
            <rFont val="Tahoma"/>
            <family val="2"/>
          </rPr>
          <t xml:space="preserve">
Opgave van WTF BAPO is positief getal en dat wordt in mindering gebracht op reguliere WTF</t>
        </r>
      </text>
    </comment>
    <comment ref="Q14" authorId="1">
      <text>
        <r>
          <rPr>
            <sz val="8"/>
            <color indexed="81"/>
            <rFont val="Tahoma"/>
            <family val="2"/>
          </rPr>
          <t xml:space="preserve">
dit percentage is gebaseerd op het landelijk gemiddelde en kan aangepast worden in het werkblad tab, maar ook per werknemer in kolom Q.
</t>
        </r>
      </text>
    </comment>
    <comment ref="L75" authorId="0">
      <text>
        <r>
          <rPr>
            <sz val="9"/>
            <color indexed="81"/>
            <rFont val="Tahoma"/>
            <family val="2"/>
          </rPr>
          <t xml:space="preserve">
Opgave van WTF BAPO is positief getal en dat wordt in mindering gebracht op reguliere WTF</t>
        </r>
      </text>
    </comment>
    <comment ref="Q76" authorId="1">
      <text>
        <r>
          <rPr>
            <sz val="8"/>
            <color indexed="81"/>
            <rFont val="Tahoma"/>
            <family val="2"/>
          </rPr>
          <t xml:space="preserve">
dit percentage is gebaseerd op het landelijk gemiddelde en kan aangepast worden in het werkblad tab, maar ook per werknemer in kolom Q.
</t>
        </r>
      </text>
    </comment>
    <comment ref="L137" authorId="0">
      <text>
        <r>
          <rPr>
            <sz val="9"/>
            <color indexed="81"/>
            <rFont val="Tahoma"/>
            <family val="2"/>
          </rPr>
          <t xml:space="preserve">
Opgave van WTF BAPO is positief getal en dat wordt in mindering gebracht op reguliere WTF</t>
        </r>
      </text>
    </comment>
    <comment ref="Q138" authorId="1">
      <text>
        <r>
          <rPr>
            <sz val="8"/>
            <color indexed="81"/>
            <rFont val="Tahoma"/>
            <family val="2"/>
          </rPr>
          <t xml:space="preserve">
dit percentage is gebaseerd op het landelijk gemiddelde en kan aangepast worden in het werkblad tab, maar ook per werknemer in kolom Q.
</t>
        </r>
      </text>
    </comment>
    <comment ref="L199" authorId="0">
      <text>
        <r>
          <rPr>
            <sz val="9"/>
            <color indexed="81"/>
            <rFont val="Tahoma"/>
            <family val="2"/>
          </rPr>
          <t xml:space="preserve">
Opgave van WTF BAPO is positief getal en dat wordt in mindering gebracht op reguliere WTF</t>
        </r>
      </text>
    </comment>
    <comment ref="Q200" authorId="1">
      <text>
        <r>
          <rPr>
            <sz val="8"/>
            <color indexed="81"/>
            <rFont val="Tahoma"/>
            <family val="2"/>
          </rPr>
          <t xml:space="preserve">
dit percentage is gebaseerd op het landelijk gemiddelde en kan aangepast worden in het werkblad tab, maar ook per werknemer in kolom Q.
</t>
        </r>
      </text>
    </comment>
    <comment ref="L261" authorId="0">
      <text>
        <r>
          <rPr>
            <sz val="9"/>
            <color indexed="81"/>
            <rFont val="Tahoma"/>
            <family val="2"/>
          </rPr>
          <t xml:space="preserve">
Opgave van WTF BAPO is positief getal en dat wordt in mindering gebracht op reguliere WTF</t>
        </r>
      </text>
    </comment>
    <comment ref="Q262" authorId="1">
      <text>
        <r>
          <rPr>
            <sz val="8"/>
            <color indexed="81"/>
            <rFont val="Tahoma"/>
            <family val="2"/>
          </rPr>
          <t xml:space="preserve">
dit percentage is gebaseerd op het landelijk gemiddelde en kan aangepast worden in het werkblad tab, maar ook per werknemer in kolom Q.
</t>
        </r>
      </text>
    </comment>
  </commentList>
</comments>
</file>

<file path=xl/comments7.xml><?xml version="1.0" encoding="utf-8"?>
<comments xmlns="http://schemas.openxmlformats.org/spreadsheetml/2006/main">
  <authors>
    <author xml:space="preserve"> </author>
    <author>Bé Keizer</author>
    <author>Keizer</author>
    <author>Goedhart, R.</author>
  </authors>
  <commentList>
    <comment ref="J8" authorId="0">
      <text>
        <r>
          <rPr>
            <sz val="10"/>
            <color indexed="81"/>
            <rFont val="Tahoma"/>
            <family val="2"/>
          </rPr>
          <t xml:space="preserve">De materiële bekostiging 2012 wordt </t>
        </r>
        <r>
          <rPr>
            <b/>
            <sz val="10"/>
            <color indexed="81"/>
            <rFont val="Tahoma"/>
            <family val="2"/>
          </rPr>
          <t>benaderd</t>
        </r>
        <r>
          <rPr>
            <sz val="10"/>
            <color indexed="81"/>
            <rFont val="Tahoma"/>
            <family val="2"/>
          </rPr>
          <t xml:space="preserve"> op basis van de bekostiging 2013  en de verhoging van de Londo-bekostiging 2013 ten opzichte van 2012.</t>
        </r>
      </text>
    </comment>
    <comment ref="E58" authorId="1">
      <text>
        <r>
          <rPr>
            <b/>
            <sz val="9"/>
            <color indexed="81"/>
            <rFont val="Tahoma"/>
            <family val="2"/>
          </rPr>
          <t>Een SOVSO-school komt (uiteraard) slechts een keer in aanmerking voor deze vergoeding.</t>
        </r>
      </text>
    </comment>
    <comment ref="E69" authorId="1">
      <text>
        <r>
          <rPr>
            <sz val="9"/>
            <color indexed="81"/>
            <rFont val="Tahoma"/>
            <family val="2"/>
          </rPr>
          <t xml:space="preserve">
Een SOVSO-school komt (uiteraard) slechts een keer in aanmerking voor deze vergoeding. Opgave van aantal m3 in werkblad tab. Zie tabel vanaf rij 275 van werkblad tab</t>
        </r>
      </text>
    </comment>
    <comment ref="H84" authorId="2">
      <text>
        <r>
          <rPr>
            <sz val="8"/>
            <color indexed="81"/>
            <rFont val="Tahoma"/>
            <family val="2"/>
          </rPr>
          <t>Bedrag per fte voor 2013. Bedrag wordt toegekend aan REC.</t>
        </r>
      </text>
    </comment>
    <comment ref="F100" authorId="2">
      <text>
        <r>
          <rPr>
            <sz val="8"/>
            <color indexed="81"/>
            <rFont val="Tahoma"/>
            <family val="2"/>
          </rPr>
          <t>Het betreft hier de scholen en afdelingen voor meervoudig gehandicapten anders dan die op basis van artikel 2, lid 5 Wec zijn vastgesteld. [Vastgesteld zijn: MGA (DO-ZMLK), MGB (SH-ZMLK), MGF (LG-ZMLK) en DO-BLN.]</t>
        </r>
      </text>
    </comment>
    <comment ref="F101" authorId="2">
      <text>
        <r>
          <rPr>
            <sz val="8"/>
            <color indexed="81"/>
            <rFont val="Tahoma"/>
            <family val="2"/>
          </rPr>
          <t>Het betreft hier de scholen van cluster 2 die tot de invoering van LGF leerlingen zowel in het VSO als in het VO mochten inschrijven. Deze regeling compenseert het negatieve effect nu die leerlingen niet langer bij twee scholen mogen worden ingeschreven.</t>
        </r>
      </text>
    </comment>
    <comment ref="K119" authorId="1">
      <text>
        <r>
          <rPr>
            <sz val="9"/>
            <color indexed="81"/>
            <rFont val="Tahoma"/>
            <family val="2"/>
          </rPr>
          <t xml:space="preserve">
Hier wordt weergegeven hetgeen voor 7/12e in het schooljaar 11-12 resp. 5/12e in het schooljaar 12-13 wordt toegekend. Zie het blad rugzak.</t>
        </r>
      </text>
    </comment>
    <comment ref="K120" authorId="1">
      <text>
        <r>
          <rPr>
            <sz val="9"/>
            <color indexed="81"/>
            <rFont val="Tahoma"/>
            <family val="2"/>
          </rPr>
          <t xml:space="preserve">
Hier wordt weergegeven hetgeen voor 7/12e in het schooljaar 11-12 resp. 5/12e in het schooljaar 12-13 wordt toegekend. Zie het blad rugzak.</t>
        </r>
      </text>
    </comment>
    <comment ref="H126" authorId="3">
      <text>
        <r>
          <rPr>
            <sz val="10"/>
            <color indexed="81"/>
            <rFont val="Tahoma"/>
            <family val="2"/>
          </rPr>
          <t xml:space="preserve">
Hierbij wordt gedoeld op op de overdracht van middelen van school naar bestuur of omgekeerd. Overdrachten naar c.q. van scholen binnen het eigen bestuur, kunnen ook via dit onderdeel verlopen. Hierbij vervult het bestuur een doorsluisfunctie. 
Overdrachten van c.q. naar scholen buiten het eigen bestuur, moeten worden opgenomen als een bate (zie: overige baten) c.q als een last (bijvoorbeeld op te nemen onder lasten personeelsbeleid).</t>
        </r>
        <r>
          <rPr>
            <sz val="8"/>
            <color indexed="81"/>
            <rFont val="Tahoma"/>
            <family val="2"/>
          </rPr>
          <t xml:space="preserve">
</t>
        </r>
      </text>
    </comment>
    <comment ref="F196" authorId="3">
      <text>
        <r>
          <rPr>
            <sz val="8"/>
            <color indexed="81"/>
            <rFont val="Tahoma"/>
            <family val="2"/>
          </rPr>
          <t xml:space="preserve">
wordt berekend in het werkblad mop
</t>
        </r>
      </text>
    </comment>
    <comment ref="N266" authorId="1">
      <text>
        <r>
          <rPr>
            <sz val="9"/>
            <color indexed="81"/>
            <rFont val="Tahoma"/>
            <family val="2"/>
          </rPr>
          <t xml:space="preserve">
Omdat de gegevens van het laatste kalenderjaar  ontbreken zijn de bedragen van dit schooljaar gelijk gesteld aan het laatst beschikbare kalenderjaar.</t>
        </r>
      </text>
    </comment>
  </commentList>
</comments>
</file>

<file path=xl/comments8.xml><?xml version="1.0" encoding="utf-8"?>
<comments xmlns="http://schemas.openxmlformats.org/spreadsheetml/2006/main">
  <authors>
    <author>Goedhart, R.</author>
  </authors>
  <commentList>
    <comment ref="E9" authorId="0">
      <text>
        <r>
          <rPr>
            <sz val="8"/>
            <color indexed="81"/>
            <rFont val="Tahoma"/>
            <family val="2"/>
          </rPr>
          <t xml:space="preserve">
hoeft niet te worden ingevuld</t>
        </r>
      </text>
    </comment>
    <comment ref="F9" authorId="0">
      <text>
        <r>
          <rPr>
            <sz val="8"/>
            <color indexed="81"/>
            <rFont val="Tahoma"/>
            <family val="2"/>
          </rPr>
          <t xml:space="preserve">
hoeft niet te worden ingevuld</t>
        </r>
      </text>
    </comment>
  </commentList>
</comments>
</file>

<file path=xl/comments9.xml><?xml version="1.0" encoding="utf-8"?>
<comments xmlns="http://schemas.openxmlformats.org/spreadsheetml/2006/main">
  <authors>
    <author>Reinier Goedhart</author>
    <author>Goedhart, R.</author>
  </authors>
  <commentList>
    <comment ref="D11" authorId="0">
      <text>
        <r>
          <rPr>
            <sz val="8"/>
            <color indexed="81"/>
            <rFont val="Tahoma"/>
            <family val="2"/>
          </rPr>
          <t xml:space="preserve">
Dit is een optelsom van de waarde van de activa per 1 januari plus de waarde van de activa vanuit de eerste waardering per 1 januari. Deze gegevens kunt u o.a. uit uw jaarrekening halen. 
</t>
        </r>
      </text>
    </comment>
    <comment ref="D41" authorId="1">
      <text>
        <r>
          <rPr>
            <sz val="8"/>
            <color indexed="81"/>
            <rFont val="Tahoma"/>
            <family val="2"/>
          </rPr>
          <t xml:space="preserve">
Slechts invullen indien u een eerste waardering/ nul-meting/ inventarisatie heeft uitgevoerd in het kader van de startbalans.
Deze afschrijvingsbedragen kan u halen van uw nul-meting/ overzicht eerste waardering 
</t>
        </r>
      </text>
    </comment>
  </commentList>
</comments>
</file>

<file path=xl/sharedStrings.xml><?xml version="1.0" encoding="utf-8"?>
<sst xmlns="http://schemas.openxmlformats.org/spreadsheetml/2006/main" count="3030" uniqueCount="872">
  <si>
    <t>In dit werkblad is een overzicht opgenomen van de Activa, waarbij de beginstand wordt gevraagd, de investeringen en de afschrijvingen vanuit de eerdere werkbladen worden verwerkt en op basis daarvan de eindstand per boekjaar wordt berekend. Het is mogelijk de gegevens vanuit de eerste waardering te verwerken.</t>
  </si>
  <si>
    <t>Overgedragen budget personeel</t>
  </si>
  <si>
    <t xml:space="preserve">loonkosten totaal </t>
  </si>
  <si>
    <t>baten personeel</t>
  </si>
  <si>
    <t>lasten personeel</t>
  </si>
  <si>
    <t>2013/14</t>
  </si>
  <si>
    <t xml:space="preserve">Totaal baten materieel </t>
  </si>
  <si>
    <t>Ambulante begeleiding</t>
  </si>
  <si>
    <t>Groepsgrootte</t>
  </si>
  <si>
    <t xml:space="preserve">Genormeerd aantal groepen </t>
  </si>
  <si>
    <t xml:space="preserve">MATERIEEL </t>
  </si>
  <si>
    <t>baten werk in opdracht van derden</t>
  </si>
  <si>
    <t>Saldo materieel</t>
  </si>
  <si>
    <t>Totaal lasten materieel</t>
  </si>
  <si>
    <t>STAAT VAN BATEN EN LASTEN</t>
  </si>
  <si>
    <t xml:space="preserve">Baten </t>
  </si>
  <si>
    <t>College-, cursus-, les- en examengelden</t>
  </si>
  <si>
    <t>Overige lasten</t>
  </si>
  <si>
    <t>Saldo baten en lasten</t>
  </si>
  <si>
    <t>Financiële baten en lasten</t>
  </si>
  <si>
    <t>Saldo financiële baten en lasten</t>
  </si>
  <si>
    <t>Overgedragen budget naar bestuursniveau</t>
  </si>
  <si>
    <t>Budget personeel</t>
  </si>
  <si>
    <t>Budget materieel</t>
  </si>
  <si>
    <t>Voorziening Jubilea</t>
  </si>
  <si>
    <t>Resultaat</t>
  </si>
  <si>
    <t xml:space="preserve">Overige lasten </t>
  </si>
  <si>
    <t>Ontwikkeling overige lasten</t>
  </si>
  <si>
    <t>meerh sbo DC 13</t>
  </si>
  <si>
    <t xml:space="preserve">De totale loonkosten worden in de laatste kolom weergegeven, ter informatie en voor vergelijking met soortgelijke gegevens van het administratiekantoor (AK). In dat kader is het van belang er op te wijzen dat in dit instrument geen exacte loonberekening met alle specifieke premies en  dergelijke is opgenomen, maar uitgegaan wordt van een vast percentage als werkgeverslasten. </t>
  </si>
  <si>
    <t xml:space="preserve">Voor dit werkblad geldt hetgeen in het vorige werkblad is vermeld eveneens. </t>
  </si>
  <si>
    <t>BASISGEGEVENS</t>
  </si>
  <si>
    <t>Bij dit werkblad geldt bovendien dat de gewogen gemiddelde leeftijd (GGL) wordt berekend op grond van de opgave van de geboortedatum van de personeelsleden in combinatie met de opgegeven werktijdfactor.</t>
  </si>
  <si>
    <t>2017/18</t>
  </si>
  <si>
    <t>groeitelling</t>
  </si>
  <si>
    <t>12-13 =</t>
  </si>
  <si>
    <t>Omrekenfactor 2011 t.o.v. 2012:</t>
  </si>
  <si>
    <t>Verhoging 2012 t.o.v. 2011:</t>
  </si>
  <si>
    <t>Verlaging 2011 t.o.v. 2012:</t>
  </si>
  <si>
    <t>Leerlingafhankelijke programma's van eisen 2012</t>
  </si>
  <si>
    <t>Alleen justitiele inrichtingen en instellingen voor gesloten jeugdzorg verbonden aan een cluster 4 school kennen nog de toekenning van een bepaalde capaciteit. Die capaciteit is tevens de opgave van het aantal leerlingen. Instellingen met deze residentiele leerlingen kennen een specifieke groeiregeling.</t>
  </si>
  <si>
    <t>In dit werkblad kunt u de leerlinggebonden financiering per maand opgeven zoals die naar verwachting het schooljaar 11-12 en het schooljaar 12-13 zal zijn. De gegevens per maand worden omgerekend naar de bekostiging op schooljaarbasis voor de personele bekostiging en de materiële bekostiging. De bekostiging vindt plaats per maand op basis van het lopende en het komende schooljaar. Onderscheid wordt gemaakt naar leerlingen met een indicatie vanuit het basisonderwijs resp. het voortgezet onderwijs resp. het MBO, voltijds of deeltijds.</t>
  </si>
  <si>
    <t xml:space="preserve">De bekostiging vanuit het basisonderwijs, het voortgezet onderwijs en vanuit het MBO, voltijds resp. deeltijds, wordt door u rechtstreeks ontvangen van het Rijk . </t>
  </si>
  <si>
    <t>In het budget PAB vindt ook een toekenning plaats voor het aantal ambulant begeleide leerlingen. Daaronder vallen ook de ambulant begeleide leerlingen met een rugzak. Voor het budget PAB gaat het daarbij om de T-1 gegevens, vandaar dat u gevraagd wordt om hier de oktobergegevens van 2010 ook op te voeren m.b.t. alle ambulant begeleide leerlingen met een rugzak. Zowel die vanuit het (s)bao, vanuit het vo/web als vanuit het MBO.</t>
  </si>
  <si>
    <t xml:space="preserve">In dit werkblad wordt het beschikbare budget berekend op grond van het Besluit bekostiging WEC waarin de formatieomvang is vastgelegd en vermenigvuldigt met de prijzen van de Regeling bekostiging personeel PO van maart 2011. </t>
  </si>
  <si>
    <t>De baten worden berekend conform de laatst bekende gegevens van de regeling budget PB per maart 2011.</t>
  </si>
  <si>
    <t>De berekening van de benodigde omvang van de jubileumvoorziening vindt afzonderlijk plaats op basis van de voorschriften jaarrekening zoals die van toepassing zijn. Op grond daarvan kan de omvang van de dotatie worden bepaald die voor de jaarrekening ter informatie wordt gevraagd.</t>
  </si>
  <si>
    <t xml:space="preserve">De werkgeverslasten zijn opgenomen in de tabel in cel D104. </t>
  </si>
  <si>
    <t>Voor het schooljaar 2011-2012 en daarna zijn de werkgeverslasten geraamd op zo'n 57%. Daarbij dient opgemerkt te worden dat dit een ruwe raming betreft en het wordt aangeraden op grond van de eigen historische gegevens zo mogelijk een nauwkeuriger percentage vast te stellen.</t>
  </si>
  <si>
    <t>Londo 2012 is reeds opgenomen. De Londo bekostiging voor 2011 wordt dan met een rekenfactor op het niveau Londo 2011 gebracht.</t>
  </si>
  <si>
    <t xml:space="preserve">In rij 83 wordt opgave gedaan van de toekenning van de MI in verband met de rugzakken. Deze toekenning vindt plaats op basis van de gegevens van het schooljaar 11-12 en van 12-13 in het werkblad Rugzakken. Door 7/12e en 5/12e van deze bedragen te berekenen wordt het bedrag voor het kalenderjaar 2012 berekend. Voor de jaren daarna en voor 2011 wordt het bedrag van 2012 overgenomen. Dat kunt u desgewenst bijstellen. </t>
  </si>
  <si>
    <t xml:space="preserve">Het werkblad kasstroomoverzicht houdt de liquiditeit en veranderingen daarin in beeld. </t>
  </si>
  <si>
    <t>Ook worden diverse ontwikkelingen geïndexeerd met als vertrekpunt het kalenderjaar 2012. Die signaleren tendensen die al dan niet bijgebogen moeten worden.</t>
  </si>
  <si>
    <t>De baten worden berekend conform de Rijksbijdrage van de laatst bekende gegevens van de Londo-regeling. Daarbij zijn ook alle specifieke regelingen die van toepassing kunnen zijn van de Londo-regeling opgevoerd. Ook de materiële bekostiging van de ambulante begeleiding (TAB en rugzak) wordt hier berekend en met de post Overige subsidies OCW-materieel wordt een compleet overzicht verstrekt van de Rijksbijdrage.</t>
  </si>
  <si>
    <t>Bij de 1e component is het noodzakelijk dat de gegevens van de kernafdeling worden opgegeven. Vervolgens de overige componenten waaruit de school bestaat. Daarbij is het noodzakelijk om Verbrede Toelating als een aparte component te beschouwen wat de opgave van leerlingen betreft omdat de bekostiging daarvoor specifiek is.</t>
  </si>
  <si>
    <t>Activa</t>
  </si>
  <si>
    <t>Activa totaal</t>
  </si>
  <si>
    <t>Eigen Vermogen</t>
  </si>
  <si>
    <t>Algemene reserve</t>
  </si>
  <si>
    <t>Bestemmingsreserve 1</t>
  </si>
  <si>
    <t>Bestemmingsreserve 2</t>
  </si>
  <si>
    <t>Salarissen en sociale lasten</t>
  </si>
  <si>
    <t>ouderbijdragen</t>
  </si>
  <si>
    <t>sponsoring</t>
  </si>
  <si>
    <t xml:space="preserve">Dotatie groot onderhoud </t>
  </si>
  <si>
    <t>Passiva</t>
  </si>
  <si>
    <t>Passiva totaal</t>
  </si>
  <si>
    <t xml:space="preserve">ouderbijdragen </t>
  </si>
  <si>
    <t>baten bedrijfsvoering</t>
  </si>
  <si>
    <t>lasten bedrijfsvoering</t>
  </si>
  <si>
    <t>eigen vermogen/  baten bedrijfsvoering</t>
  </si>
  <si>
    <t>rijksbijdragen/  baten bedrijfsvoering</t>
  </si>
  <si>
    <t>overige overheidsbijdragen/ baten bedrijfsvoering</t>
  </si>
  <si>
    <t>overige baten/  baten bedrijfsvoering</t>
  </si>
  <si>
    <t>investeringen/  baten bedrijfsvoering</t>
  </si>
  <si>
    <t>baten bedrijsvoering</t>
  </si>
  <si>
    <t>resultaat bedrijfsvoering</t>
  </si>
  <si>
    <t>Bestemmingsreserve 3</t>
  </si>
  <si>
    <t>investeringen t.l.v. school</t>
  </si>
  <si>
    <t>groot onderhoud t.l.v. school</t>
  </si>
  <si>
    <t>Daarnaast kunnen inkomsten worden opgevoerd als overige overheidsbijdragen voor materiële uitgaven en overige baten voor materiële uitgaven.</t>
  </si>
  <si>
    <t>De indeling van de lasten volgt de indeling zoals die voor het jaarverslag op dit punt is voorgeschreven. Opgave van de lasten is hier mogelijk, waarbij de afschrijvingslasten automatisch zijn berekend op grond van de ingevoerde gegevens in het Meerjareninvesteringsplan.</t>
  </si>
  <si>
    <t>In dit werkblad worden tal van gegevens en kengetallen grafisch weergegeven. Deze grafieken kunnen opgenomen worden in het Bestuursverslag en de toelichting bij het financiele jaarverslag.</t>
  </si>
  <si>
    <t>Dit werkblad omvat de gegevens die nodig zijn als een bestuur de resultaten van deze school sommeert met andere financiële gegevens. Bijvoorbeeld als het bestuur meer dan één school uit het PO (PO: bijv. basisschool, SBO of (V)SO-school) omvat en dan verplicht is een balans op bestuursniveau te maken.</t>
  </si>
  <si>
    <t>percentage leerlingen 8 jaar en ouder</t>
  </si>
  <si>
    <t>percentage leerlingen jonger dan 8 jaar</t>
  </si>
  <si>
    <t>Dit werkblad biedt de mogelijkheid om de kosten van het onderhoud dat is vastgelegd in een meerjarenonderhoudsplan dat veelal een periode van tenminste 10 jaar omvat, hier voor de komende jaren op te nemen.</t>
  </si>
  <si>
    <t>LGF o.b.v. raming aantal leerlingen (S)BaO</t>
  </si>
  <si>
    <t>LGF o.b.v. raming aantal leerlingen VO</t>
  </si>
  <si>
    <t xml:space="preserve">Rijksbijdragen  </t>
  </si>
  <si>
    <t xml:space="preserve">Rijksbijdragen </t>
  </si>
  <si>
    <t xml:space="preserve">In dit werkblad dienen de investeringen opgenomen te worden die de school de komende jaren van plan is te gaan doen. Het is van groot belang dat dit zorgvuldig onderbouwd gebeurt omdat dit leidt tot de afschrijvingen die op de jaarlijkse exploitatie gaan drukken. Bovendien gaat het hier om enkele kernactiviteiten die het hart van het onderwijsbeleid van de school raken. </t>
  </si>
  <si>
    <t>De activa-groepen die hier aan de orde zijn betreffen:</t>
  </si>
  <si>
    <t>Overige materiele vaste activa</t>
  </si>
  <si>
    <t>De balans is voor zover mogelijk automatisch aangemaakt maar vergt nog aanvullende gegevens. De indeling spoort volledig met de voorschriften terzake van het departement. Op grond van de balans en de exploitatierekening worden de meest relevante financiële kengetallen vastgesteld.</t>
  </si>
  <si>
    <t xml:space="preserve">In dit werkblad zijn alleen relevante kengetallen opgenomen. In het eerste deel zijn de kengetallen opgenomen die zijn voorgeschreven in de OCW-richtlijn en die elke school als zodanig moet leveren. </t>
  </si>
  <si>
    <t>De exploitatie levert ook tal van kengetallen die er toe doen zoals relevante bedragen per leerling en verhoudingsgetallen. Die spreken voor zich.</t>
  </si>
  <si>
    <t>Nadere informatie</t>
  </si>
  <si>
    <t xml:space="preserve">Hebt u vragen of opmerkingen, adviezen enzovoorts over dit instrument, dan zijn we daar nieuwsgierig naar: </t>
  </si>
  <si>
    <t>Effecten (&lt; 1jaar)</t>
  </si>
  <si>
    <t xml:space="preserve">Liquide middelen </t>
  </si>
  <si>
    <t>Voortgezet Speciaal onderwijs (VSO)</t>
  </si>
  <si>
    <t>Speciaal Onderwijs (SO)</t>
  </si>
  <si>
    <t>SO</t>
  </si>
  <si>
    <t>vast</t>
  </si>
  <si>
    <t>BLND</t>
  </si>
  <si>
    <t>SZ</t>
  </si>
  <si>
    <t>DO</t>
  </si>
  <si>
    <t>SH</t>
  </si>
  <si>
    <t>ESM</t>
  </si>
  <si>
    <t>LG</t>
  </si>
  <si>
    <t>ZMLK</t>
  </si>
  <si>
    <t>LZs</t>
  </si>
  <si>
    <t>LZp</t>
  </si>
  <si>
    <t>ZMOK</t>
  </si>
  <si>
    <t>PI</t>
  </si>
  <si>
    <t>MG (LG-ZMLK)</t>
  </si>
  <si>
    <t>MG (DO-ZMLK)</t>
  </si>
  <si>
    <t>MG (SH-ZMLK)</t>
  </si>
  <si>
    <t>MG (DO-BLND)</t>
  </si>
  <si>
    <t>VSO</t>
  </si>
  <si>
    <t>Onderwijssoort</t>
  </si>
  <si>
    <t>per groep</t>
  </si>
  <si>
    <t xml:space="preserve">school   </t>
  </si>
  <si>
    <t>SO-schooltype</t>
  </si>
  <si>
    <t xml:space="preserve"> VSO-schooltype</t>
  </si>
  <si>
    <t xml:space="preserve">Groepsgrootte </t>
  </si>
  <si>
    <t xml:space="preserve">per school   </t>
  </si>
  <si>
    <t>per leerling</t>
  </si>
  <si>
    <t>Aanvullende programma's van eisen</t>
  </si>
  <si>
    <t>soort bad</t>
  </si>
  <si>
    <t>bedrag per bad</t>
  </si>
  <si>
    <t>m3</t>
  </si>
  <si>
    <t>subtotaal</t>
  </si>
  <si>
    <t>bodem</t>
  </si>
  <si>
    <t>hydro-bad</t>
  </si>
  <si>
    <t>watergew</t>
  </si>
  <si>
    <t>Toeslag beweegbare bodem</t>
  </si>
  <si>
    <t>Brancardlift</t>
  </si>
  <si>
    <t>Overige vergoedingsbedragen</t>
  </si>
  <si>
    <t>Vergoeding dienstreizen leerkrachten voor autistische leerlingen</t>
  </si>
  <si>
    <t>op jaarbasis</t>
  </si>
  <si>
    <t>Overgangsregeling t.b.v. leerlinggebonden financiering</t>
  </si>
  <si>
    <t xml:space="preserve">vastgesteld bedrag </t>
  </si>
  <si>
    <t>LGF leerlingen Voltijds MBO</t>
  </si>
  <si>
    <t>LGF leerlingen Deeltijds MBO</t>
  </si>
  <si>
    <t>Fte's OP incl adv</t>
  </si>
  <si>
    <t>Fte's OOP incl adv</t>
  </si>
  <si>
    <t>PAB</t>
  </si>
  <si>
    <t>TAB</t>
  </si>
  <si>
    <t>oso</t>
  </si>
  <si>
    <t>SO &lt;8</t>
  </si>
  <si>
    <t>SO &gt;=8</t>
  </si>
  <si>
    <t>LGF</t>
  </si>
  <si>
    <t>fte's cumi</t>
  </si>
  <si>
    <t xml:space="preserve">OP vast per school </t>
  </si>
  <si>
    <t>Tabel aantal toeslagen directie per hoofdschooltype</t>
  </si>
  <si>
    <t>aantal leerlingen</t>
  </si>
  <si>
    <t>SO of VSO</t>
  </si>
  <si>
    <t>SOVSO</t>
  </si>
  <si>
    <t>MG SO of VSO</t>
  </si>
  <si>
    <t>MG SOVSO</t>
  </si>
  <si>
    <t>0 tot 50</t>
  </si>
  <si>
    <t>50 of meer</t>
  </si>
  <si>
    <t>GPL bedragen</t>
  </si>
  <si>
    <t>Directie</t>
  </si>
  <si>
    <t>OP (landelijk)</t>
  </si>
  <si>
    <t>Toeslag directie</t>
  </si>
  <si>
    <t xml:space="preserve">OOP </t>
  </si>
  <si>
    <t>Overige</t>
  </si>
  <si>
    <t>OP leeftijdsgecorrigeerd : voet</t>
  </si>
  <si>
    <t>OP leeftijdsgecorrigeerd : bedrag * GGL</t>
  </si>
  <si>
    <t>Landelijke GGL =</t>
  </si>
  <si>
    <t>* GGL</t>
  </si>
  <si>
    <t xml:space="preserve">GGL = </t>
  </si>
  <si>
    <t>o.g.v landelijke GGL</t>
  </si>
  <si>
    <t>Toeslagen directie per hoofdschooltype</t>
  </si>
  <si>
    <t>o.g.v. landelijke GGL</t>
  </si>
  <si>
    <t>GGL</t>
  </si>
  <si>
    <t>Relevante N-factor</t>
  </si>
  <si>
    <t>Bekostiging REC</t>
  </si>
  <si>
    <t>Basisbedrag</t>
  </si>
  <si>
    <t>Bedrag per school</t>
  </si>
  <si>
    <t>Bedrag per leerling (pos. besch.)</t>
  </si>
  <si>
    <t>Aantal leerlingen, plus</t>
  </si>
  <si>
    <t>(V)SO</t>
  </si>
  <si>
    <t>Vergoeding dienstreizen terugplaatsings ambulante begeleiding (TAB)</t>
  </si>
  <si>
    <t xml:space="preserve"> 09-10</t>
  </si>
  <si>
    <t>Bedragen</t>
  </si>
  <si>
    <t>amb beg</t>
  </si>
  <si>
    <t>cumi</t>
  </si>
  <si>
    <t>A</t>
  </si>
  <si>
    <t>C</t>
  </si>
  <si>
    <t>B</t>
  </si>
  <si>
    <t>ja</t>
  </si>
  <si>
    <t>nee</t>
  </si>
  <si>
    <t>Materiële bekostiging</t>
  </si>
  <si>
    <t>Materiële vergoeding *</t>
  </si>
  <si>
    <t>* dienstreizen AB-ers</t>
  </si>
  <si>
    <t xml:space="preserve"> </t>
  </si>
  <si>
    <t>kernonderwijs</t>
  </si>
  <si>
    <t>MG</t>
  </si>
  <si>
    <t>VT</t>
  </si>
  <si>
    <t>&lt; 8 jaar</t>
  </si>
  <si>
    <t>aantal</t>
  </si>
  <si>
    <t>Totaal</t>
  </si>
  <si>
    <t>volume m3</t>
  </si>
  <si>
    <t>Leerling jonger dan 8 jaar</t>
  </si>
  <si>
    <t>Leerling 8 jaar en ouder</t>
  </si>
  <si>
    <t>Waarvan cumi</t>
  </si>
  <si>
    <t>Residentieel:</t>
  </si>
  <si>
    <t>1.</t>
  </si>
  <si>
    <t>2.</t>
  </si>
  <si>
    <t>Ambulante begeleiding:</t>
  </si>
  <si>
    <t>TAB SO</t>
  </si>
  <si>
    <t>TAB VSO</t>
  </si>
  <si>
    <t>jan</t>
  </si>
  <si>
    <t>feb</t>
  </si>
  <si>
    <t>aug</t>
  </si>
  <si>
    <t>sept</t>
  </si>
  <si>
    <t>okt</t>
  </si>
  <si>
    <t>nov</t>
  </si>
  <si>
    <t>dec</t>
  </si>
  <si>
    <t>mrt</t>
  </si>
  <si>
    <t>apr</t>
  </si>
  <si>
    <t>mei</t>
  </si>
  <si>
    <t>juni</t>
  </si>
  <si>
    <t>juli</t>
  </si>
  <si>
    <t>3.</t>
  </si>
  <si>
    <t>Kengetallen voor bekostiging</t>
  </si>
  <si>
    <t>Verbrede  toelating SO</t>
  </si>
  <si>
    <t>Verbrede  toelating VSO</t>
  </si>
  <si>
    <t>Rijksbijdragen OCW</t>
  </si>
  <si>
    <t>Overige baten</t>
  </si>
  <si>
    <t>Ouderbijdragen</t>
  </si>
  <si>
    <t>Sponsoring</t>
  </si>
  <si>
    <t>Personele lasten</t>
  </si>
  <si>
    <t>Afschrijvingen</t>
  </si>
  <si>
    <t>Huisvestingslasten</t>
  </si>
  <si>
    <t>Leermiddelen</t>
  </si>
  <si>
    <t>Financiële baten</t>
  </si>
  <si>
    <t>Financiële lasten</t>
  </si>
  <si>
    <t>Bekostiging voor leerling jonger dan 8 jaar</t>
  </si>
  <si>
    <t>Bekostiging voor leerling 8 jaar en ouder</t>
  </si>
  <si>
    <t>Bekostiging voor BOA</t>
  </si>
  <si>
    <t>Toeslagen directie</t>
  </si>
  <si>
    <t>School</t>
  </si>
  <si>
    <t>Leerlingen</t>
  </si>
  <si>
    <t>Budget Personeels- en Arbeidsmarktbeleid</t>
  </si>
  <si>
    <t>SO-leerlingen</t>
  </si>
  <si>
    <t>VSO-leerlingen</t>
  </si>
  <si>
    <t>7/12e extra bekostiging vanaf 1 jan T+1</t>
  </si>
  <si>
    <t>Totaal Groeps- en leerlingafhankelijke vergoeding</t>
  </si>
  <si>
    <t>Brancardliften</t>
  </si>
  <si>
    <t>Schoolbaden</t>
  </si>
  <si>
    <t>FTE</t>
  </si>
  <si>
    <t>Toegekend aantal fte op jaarbasis</t>
  </si>
  <si>
    <t>vastgesteld bedrag 2004</t>
  </si>
  <si>
    <t>Justitiele Jeugdinrichting cl. 4</t>
  </si>
  <si>
    <t>Toeslag geb.onderh. voor LG/MG, schuifdeur en stoellift</t>
  </si>
  <si>
    <t>Dienstreizen leerkrachten autistische ll</t>
  </si>
  <si>
    <t>OSO</t>
  </si>
  <si>
    <t>toeslagen gebouwonderhoud (schuifdeur, stoellift)</t>
  </si>
  <si>
    <t>Totaal effectief cumi, incl. residentieel</t>
  </si>
  <si>
    <t>Artikel VII Wet Regeling LGF</t>
  </si>
  <si>
    <t>Vaste voet per school</t>
  </si>
  <si>
    <t>TAB BaO/SBaO</t>
  </si>
  <si>
    <t>Amb. begeleiding:</t>
  </si>
  <si>
    <t>TAB VO/WEB</t>
  </si>
  <si>
    <t>Samen</t>
  </si>
  <si>
    <t>(S)BaO</t>
  </si>
  <si>
    <t>VO/WEB</t>
  </si>
  <si>
    <t>Ambulante begeleiding TAB</t>
  </si>
  <si>
    <t>Bekostiging formatie</t>
  </si>
  <si>
    <t>Basis per school (var)</t>
  </si>
  <si>
    <t>Basis per school (vast)</t>
  </si>
  <si>
    <t>Cumi leerling boven de 4 (vast)</t>
  </si>
  <si>
    <t>Cumi leerling boven de 4 (var)</t>
  </si>
  <si>
    <t>Formatietabel</t>
  </si>
  <si>
    <t>factor N SO</t>
  </si>
  <si>
    <t>Bekostiging materieel</t>
  </si>
  <si>
    <t>Materiele exploitatie</t>
  </si>
  <si>
    <t>Formatie</t>
  </si>
  <si>
    <t>Rugzakbekostiging Rijk formatie</t>
  </si>
  <si>
    <t>Rugzakbekostiging Rijk materieel</t>
  </si>
  <si>
    <t>gem ll</t>
  </si>
  <si>
    <t>MGA</t>
  </si>
  <si>
    <t>MGB</t>
  </si>
  <si>
    <t>MGF</t>
  </si>
  <si>
    <t>LOONKOSTEN DIRECTIE</t>
  </si>
  <si>
    <t>schooljaar</t>
  </si>
  <si>
    <t>situatie per</t>
  </si>
  <si>
    <t>Persoonsgegevens</t>
  </si>
  <si>
    <t>Salarisgegevens</t>
  </si>
  <si>
    <t>naam</t>
  </si>
  <si>
    <t>functie</t>
  </si>
  <si>
    <t>dienst</t>
  </si>
  <si>
    <t>geboorte</t>
  </si>
  <si>
    <t>berek I</t>
  </si>
  <si>
    <t>berek II</t>
  </si>
  <si>
    <t>leeftijd</t>
  </si>
  <si>
    <t>leeft</t>
  </si>
  <si>
    <t>schaal</t>
  </si>
  <si>
    <t>trede</t>
  </si>
  <si>
    <t xml:space="preserve">salaris </t>
  </si>
  <si>
    <t xml:space="preserve">WTF </t>
  </si>
  <si>
    <t>bapo</t>
  </si>
  <si>
    <t>WTF</t>
  </si>
  <si>
    <t>loonkosten</t>
  </si>
  <si>
    <t>diensttijd</t>
  </si>
  <si>
    <t>kosten</t>
  </si>
  <si>
    <t xml:space="preserve">totaal </t>
  </si>
  <si>
    <t xml:space="preserve">jaren </t>
  </si>
  <si>
    <t>datum</t>
  </si>
  <si>
    <t>gebdat</t>
  </si>
  <si>
    <t>(maand)</t>
  </si>
  <si>
    <t>dir</t>
  </si>
  <si>
    <t>(minus)</t>
  </si>
  <si>
    <t>gecorr.</t>
  </si>
  <si>
    <t>nvt</t>
  </si>
  <si>
    <t>DC</t>
  </si>
  <si>
    <t>LOONKOSTEN ONDERWIJZEND PERSONEEL</t>
  </si>
  <si>
    <t>LB</t>
  </si>
  <si>
    <t>LOONKOSTEN ONDERWIJS ONDERSTEUNEND PERSONEEL</t>
  </si>
  <si>
    <t>teldatum</t>
  </si>
  <si>
    <t>2011/12</t>
  </si>
  <si>
    <t>werkgeverslasten</t>
  </si>
  <si>
    <t>eigen bijdrage bapo (dir, op en oop &gt;8 / oop&lt;=8))</t>
  </si>
  <si>
    <t>werkgeverslaten bij opname bapo</t>
  </si>
  <si>
    <t>salaristabellen</t>
  </si>
  <si>
    <t>schaal / regel</t>
  </si>
  <si>
    <t>regels</t>
  </si>
  <si>
    <t>AA</t>
  </si>
  <si>
    <t>AB</t>
  </si>
  <si>
    <t>AC</t>
  </si>
  <si>
    <t>AD</t>
  </si>
  <si>
    <t>AE</t>
  </si>
  <si>
    <t>DA</t>
  </si>
  <si>
    <t>DB</t>
  </si>
  <si>
    <t>DBuit</t>
  </si>
  <si>
    <t>DCuit</t>
  </si>
  <si>
    <t>DD</t>
  </si>
  <si>
    <t>DE</t>
  </si>
  <si>
    <t>ID1</t>
  </si>
  <si>
    <t>ID2</t>
  </si>
  <si>
    <t>ID3</t>
  </si>
  <si>
    <t>LA</t>
  </si>
  <si>
    <t>LC</t>
  </si>
  <si>
    <t>LD</t>
  </si>
  <si>
    <t>LE</t>
  </si>
  <si>
    <t>LIOa</t>
  </si>
  <si>
    <t>LIOb</t>
  </si>
  <si>
    <t>meerh bas DA11</t>
  </si>
  <si>
    <t>meerh sbo DB10</t>
  </si>
  <si>
    <t>meerh sbo DB11</t>
  </si>
  <si>
    <t>meerh sbo DCuit15</t>
  </si>
  <si>
    <t>omschrijving</t>
  </si>
  <si>
    <t>Gebouwen en terreinen</t>
  </si>
  <si>
    <t>Inventaris en apparatuur</t>
  </si>
  <si>
    <t>Bapo opname/ kosten</t>
  </si>
  <si>
    <t>Leermiddelen PO</t>
  </si>
  <si>
    <t>Overige materiële vaste activa</t>
  </si>
  <si>
    <t>activagroep</t>
  </si>
  <si>
    <t xml:space="preserve">lokaal / </t>
  </si>
  <si>
    <t>aanschafprijs</t>
  </si>
  <si>
    <t>jaar van</t>
  </si>
  <si>
    <t>afschrijvings-</t>
  </si>
  <si>
    <t>beslisregel</t>
  </si>
  <si>
    <t>aanschaf-</t>
  </si>
  <si>
    <t>afschrijving</t>
  </si>
  <si>
    <t>laatste</t>
  </si>
  <si>
    <t>waarde per 01/01</t>
  </si>
  <si>
    <t>groep</t>
  </si>
  <si>
    <t>(per eenheid)</t>
  </si>
  <si>
    <t>aanschaf</t>
  </si>
  <si>
    <t>termijn</t>
  </si>
  <si>
    <t>waarde</t>
  </si>
  <si>
    <t>Beginsaldo liquide middelen</t>
  </si>
  <si>
    <t>mutatie Liquide middelen (balans)</t>
  </si>
  <si>
    <t>Eindsaldo liquide middelen</t>
  </si>
  <si>
    <t>liquiditeit (vlottende activa / kortlopende schulden)</t>
  </si>
  <si>
    <t>aantal leerlingen (v)so jonger dan 8 jaar</t>
  </si>
  <si>
    <t>aantal leerlingen (v)so  8 jaar en ouder</t>
  </si>
  <si>
    <t>aantal leerlingen (v)so</t>
  </si>
  <si>
    <t>aantal cumi leerlingen (v)so</t>
  </si>
  <si>
    <t>aantal SO-leerlingen</t>
  </si>
  <si>
    <t>aantal VSO-leerlingen</t>
  </si>
  <si>
    <t>aanltal cumi leerlingen sbo</t>
  </si>
  <si>
    <t>per jaar</t>
  </si>
  <si>
    <t>investering</t>
  </si>
  <si>
    <t>Waarde activa per 01-01</t>
  </si>
  <si>
    <t>totaal</t>
  </si>
  <si>
    <t xml:space="preserve">totaal afschrijvingen </t>
  </si>
  <si>
    <t>Waarde activa per 31-12</t>
  </si>
  <si>
    <t>stand voorziening  per 31/12</t>
  </si>
  <si>
    <t>Aantal FTE</t>
  </si>
  <si>
    <t>directie</t>
  </si>
  <si>
    <t>onderwijzend personeel</t>
  </si>
  <si>
    <t>onderwijs ondersteunend personeel</t>
  </si>
  <si>
    <t>vast bedrag</t>
  </si>
  <si>
    <t>LGF RUGZAKDEEL (verplichte herbesteding)</t>
  </si>
  <si>
    <t>Bapo</t>
  </si>
  <si>
    <t>Rijksbijdrage OCW</t>
  </si>
  <si>
    <t>Voorraden</t>
  </si>
  <si>
    <t>Vorderingen</t>
  </si>
  <si>
    <t>Eigen vermogen</t>
  </si>
  <si>
    <t>- klik op rechter muisknop</t>
  </si>
  <si>
    <t>Vlottende activa</t>
  </si>
  <si>
    <t>Vaste activa</t>
  </si>
  <si>
    <t>Langlopende schulden</t>
  </si>
  <si>
    <t>Kortlopende schulden</t>
  </si>
  <si>
    <t>Crediteuren</t>
  </si>
  <si>
    <t>MEERJARENBALANS</t>
  </si>
  <si>
    <t>Voorzieningen</t>
  </si>
  <si>
    <t>kalenderjaar</t>
  </si>
  <si>
    <t>Ministerie van OCW</t>
  </si>
  <si>
    <t>Kredietinstellingen</t>
  </si>
  <si>
    <t>Overige langlopende schulden</t>
  </si>
  <si>
    <t>Belastingen en premies sociale verzekeringen</t>
  </si>
  <si>
    <t>Schulden terzake pensioenen</t>
  </si>
  <si>
    <t>Overige kortlopende schulden</t>
  </si>
  <si>
    <t>Overlopende passiva</t>
  </si>
  <si>
    <t>Mutatie Liquide middelen</t>
  </si>
  <si>
    <t>b</t>
  </si>
  <si>
    <t>c</t>
  </si>
  <si>
    <t>f</t>
  </si>
  <si>
    <t>j</t>
  </si>
  <si>
    <t>h1</t>
  </si>
  <si>
    <t>h2</t>
  </si>
  <si>
    <t>k</t>
  </si>
  <si>
    <t>m</t>
  </si>
  <si>
    <t>f+j</t>
  </si>
  <si>
    <t>a+j</t>
  </si>
  <si>
    <t>b+j</t>
  </si>
  <si>
    <t>Per toegekende fte als aanvullende formatie</t>
  </si>
  <si>
    <t>Kasstroom uit operationele activiteiten</t>
  </si>
  <si>
    <t>Mutaties werkkapitaal</t>
  </si>
  <si>
    <t>- vorderingen</t>
  </si>
  <si>
    <t>- voorraden</t>
  </si>
  <si>
    <t>- effecten</t>
  </si>
  <si>
    <t>- kortlopende schulden</t>
  </si>
  <si>
    <t>Kasstroom uit investeringsactiviteiten</t>
  </si>
  <si>
    <t>bedrag per m3</t>
  </si>
  <si>
    <t>Mutaties voorzieningen</t>
  </si>
  <si>
    <t>Kasstroom uit financieringsactiviteiten</t>
  </si>
  <si>
    <t>KASSTROOMOVERZICHT</t>
  </si>
  <si>
    <t>Investeringen immateriële vaste activa</t>
  </si>
  <si>
    <t>Investeringen materiële vaste activa</t>
  </si>
  <si>
    <t>Investeringen financiële vaste activa</t>
  </si>
  <si>
    <t xml:space="preserve">Immateriële vaste activa </t>
  </si>
  <si>
    <t>Procedure:</t>
  </si>
  <si>
    <t>Financiële vaste activa</t>
  </si>
  <si>
    <t>Materiële vaste activa</t>
  </si>
  <si>
    <t>Voorziening Groot Onderhoud</t>
  </si>
  <si>
    <t>loonkosten directie</t>
  </si>
  <si>
    <t>loonkosten OP</t>
  </si>
  <si>
    <t>loonkosten OOP</t>
  </si>
  <si>
    <t>ACTIVAOVERZICHT</t>
  </si>
  <si>
    <t>KENGETALLEN</t>
  </si>
  <si>
    <t>Totale baten</t>
  </si>
  <si>
    <t>baten financiële bedrijfsvoering</t>
  </si>
  <si>
    <t>totaal per leerling</t>
  </si>
  <si>
    <t xml:space="preserve">Totale lasten </t>
  </si>
  <si>
    <t>lasten financiële bedrijfsvoering</t>
  </si>
  <si>
    <t xml:space="preserve">onderwijzend personeel </t>
  </si>
  <si>
    <t>Administratie</t>
  </si>
  <si>
    <t xml:space="preserve">administratief personeel </t>
  </si>
  <si>
    <t>contractkosten inhuur (administratiekantoor)</t>
  </si>
  <si>
    <t>overige administratie lasten</t>
  </si>
  <si>
    <t>Schoonmaak</t>
  </si>
  <si>
    <t>schoonmaak personeel</t>
  </si>
  <si>
    <t>contractkosten inhuur (schoonmaakbedrijf)</t>
  </si>
  <si>
    <t>schoonmaakmiddelen- en materialen</t>
  </si>
  <si>
    <t>afschrijvingen op inventaris en apparatuur (incl. ICT)</t>
  </si>
  <si>
    <t>inventaris en apparatuur uit exploitatie (incl. ICT)</t>
  </si>
  <si>
    <t>afschrijving op leermiddelen (incl. ICT-leermiddelen)</t>
  </si>
  <si>
    <t>leermiddelen uit exploitatie (incl. ICT-leermiddelen)</t>
  </si>
  <si>
    <t>Huisvesting</t>
  </si>
  <si>
    <t>huisvesting-/ onderhoudspersoneel</t>
  </si>
  <si>
    <t>contractkosten inhuur onderhoud</t>
  </si>
  <si>
    <t>afschrijving gebouwen</t>
  </si>
  <si>
    <t xml:space="preserve">dotatie onderhoudsvoorziening </t>
  </si>
  <si>
    <t xml:space="preserve">klein onderhoud en exploitatie </t>
  </si>
  <si>
    <t>huur</t>
  </si>
  <si>
    <t>Energie en Water (niet verplicht)</t>
  </si>
  <si>
    <t>ICT (niet verplicht)</t>
  </si>
  <si>
    <t>ICT- personeel</t>
  </si>
  <si>
    <t>afschrijving op ICT- apparatuur</t>
  </si>
  <si>
    <t>ICT- apparatuur uit exploitatie</t>
  </si>
  <si>
    <t>ICT- leermiddelen uit exploitatie</t>
  </si>
  <si>
    <t>Financiële kengetallen</t>
  </si>
  <si>
    <t>Solvabiliteit 1</t>
  </si>
  <si>
    <t xml:space="preserve">eigen vermogen </t>
  </si>
  <si>
    <t>balanstotaal</t>
  </si>
  <si>
    <t>Liquiditeit</t>
  </si>
  <si>
    <t>vlottende activa</t>
  </si>
  <si>
    <t>kortlopende schulden</t>
  </si>
  <si>
    <t>Rentabiliteit</t>
  </si>
  <si>
    <t>totale baten</t>
  </si>
  <si>
    <t>Weerstandsvermogen</t>
  </si>
  <si>
    <t>eigen vermogen</t>
  </si>
  <si>
    <t>materiële vaste activa</t>
  </si>
  <si>
    <t>rijksbijdrage OC&amp;W</t>
  </si>
  <si>
    <t xml:space="preserve">Exploitatie kengetallen </t>
  </si>
  <si>
    <t>totale baten / totale lasten</t>
  </si>
  <si>
    <t>materiele lasten per leerling</t>
  </si>
  <si>
    <t>personele lasten per leerling</t>
  </si>
  <si>
    <t xml:space="preserve">salarissen/ per FTE </t>
  </si>
  <si>
    <t>personele lasten/ totale lasten</t>
  </si>
  <si>
    <t>Ontwikkeling baten werk in opdracht van derden</t>
  </si>
  <si>
    <t>Groeiregeling just. jeugdinr./inst. gesloten jeugdzorg cl. 4</t>
  </si>
  <si>
    <t>De eerste drie componenten zijn gereserveerd voor SO: de kernafdeling, vervolgens bijv. een eventuele MG-afdeling en dan bijv. de eventuele verbrede toelating. Daarna is er ruimte voor drie VSO-componenten. Wanneer een school alleen VSO componenten heeft vindt invulling vanaf de vierde component plaats (cel D74).</t>
  </si>
  <si>
    <t>Tal van onderwerpen zijn opgegeven die in het kader van personeelsbeleid aan de orde zijn en is ruimte gelaten voor aanvullingen zodat alle mogelijke uitgaven van personele aard hier kunnen worden opgegeven.</t>
  </si>
  <si>
    <t>2014/15</t>
  </si>
  <si>
    <t>BAPO kosten</t>
  </si>
  <si>
    <t>Dotatie Jubilea</t>
  </si>
  <si>
    <t>Jubilea kosten</t>
  </si>
  <si>
    <t>Van belang is uiteraard de resultaatsverdeling naar de balans die daar wordt verwerkt.</t>
  </si>
  <si>
    <t>Ambulante begeleiding rugzak MBO</t>
  </si>
  <si>
    <t>Instelling gesloten jeugdzorg</t>
  </si>
  <si>
    <t>salarissen / totale lasten</t>
  </si>
  <si>
    <t>loonkosten directie / totale loonkosten</t>
  </si>
  <si>
    <t>loonkosten OP / totale loonkosten</t>
  </si>
  <si>
    <t>loonkosten OOP / totale loonkosten</t>
  </si>
  <si>
    <t>directiekosten per leerling</t>
  </si>
  <si>
    <t>kosten OP per leerling</t>
  </si>
  <si>
    <t>kosten OOP per leering</t>
  </si>
  <si>
    <t>aantal leerlingen per FTE</t>
  </si>
  <si>
    <t>aantal leerlingen per FTE directie</t>
  </si>
  <si>
    <t xml:space="preserve">aantal leerlingen per FTE OP </t>
  </si>
  <si>
    <t xml:space="preserve">aantal leerlingen per FTE OOP </t>
  </si>
  <si>
    <t>Indices</t>
  </si>
  <si>
    <t>Ontwikkeling salarissen</t>
  </si>
  <si>
    <t>Ontwikkeling totale baten</t>
  </si>
  <si>
    <t>Ontwikkeling Rijksbijdragen</t>
  </si>
  <si>
    <r>
      <t xml:space="preserve">Vervangers ten laste van het Vervangingsfonds (blijven ook buiten beschouwing bij de bepaling van de GGL) dienen überhaupt niet opgenomen te worden. Hun kosten worden immers gedeclareerd ten laste van het Vervangingsfonds en blijven daarom buiten de </t>
    </r>
    <r>
      <rPr>
        <u/>
        <sz val="11"/>
        <rFont val="Calibri"/>
        <family val="2"/>
      </rPr>
      <t>begroting</t>
    </r>
    <r>
      <rPr>
        <sz val="11"/>
        <rFont val="Calibri"/>
        <family val="2"/>
      </rPr>
      <t>.</t>
    </r>
  </si>
  <si>
    <r>
      <t xml:space="preserve">De meerjaren exploitatiebegroting op kalenderjaar </t>
    </r>
    <r>
      <rPr>
        <b/>
        <u/>
        <sz val="11"/>
        <rFont val="Calibri"/>
        <family val="2"/>
      </rPr>
      <t>èn</t>
    </r>
    <r>
      <rPr>
        <sz val="11"/>
        <rFont val="Calibri"/>
        <family val="2"/>
      </rPr>
      <t xml:space="preserve"> op schooljaarbasis wordt automatisch aangemaakt op basis van de gegevens die in de andere werkbladen zijn verstrekt. </t>
    </r>
  </si>
  <si>
    <r>
      <t>Raming</t>
    </r>
    <r>
      <rPr>
        <sz val="10"/>
        <color indexed="22"/>
        <rFont val="Calibri"/>
        <family val="2"/>
      </rPr>
      <t xml:space="preserve"> bedragen per kalenderjr</t>
    </r>
  </si>
  <si>
    <r>
      <t xml:space="preserve">Afschrijvingen (vanuit </t>
    </r>
    <r>
      <rPr>
        <b/>
        <u/>
        <sz val="10"/>
        <rFont val="Calibri"/>
        <family val="2"/>
      </rPr>
      <t>eerste waardering</t>
    </r>
    <r>
      <rPr>
        <b/>
        <sz val="10"/>
        <rFont val="Calibri"/>
        <family val="2"/>
      </rPr>
      <t>)</t>
    </r>
  </si>
  <si>
    <t>2015/16</t>
  </si>
  <si>
    <t xml:space="preserve">Groeiregeling school met resid. leerl. </t>
  </si>
  <si>
    <t>sofinr.</t>
  </si>
  <si>
    <t>Kengetallen PO</t>
  </si>
  <si>
    <t>Kapitalisatiefactor</t>
  </si>
  <si>
    <t>totaal vermogen</t>
  </si>
  <si>
    <t xml:space="preserve">Garantie vm. afd. zmlk (art. 38 lid 3 Reg. bek. 06-07) </t>
  </si>
  <si>
    <t>grootboeknr.</t>
  </si>
  <si>
    <t>Ontwikkeling huisvestingslasten</t>
  </si>
  <si>
    <t>1. Selecteer lichtgeel gearceerde gebied in dit werkblad</t>
  </si>
  <si>
    <t xml:space="preserve">- ga in linkerbovenhoek staan van het lichtgeel gearceerde gebied waarin selectie van deze school geplakt moet worden </t>
  </si>
  <si>
    <t>In dit werkblad worden alle budgetten weergegeven die betrekking hebben op bekostiging van personeel en personeelsbeleid. Weergegeven worden met name de inkomsten van het budget formatie, het budget PB, overige toekenningen, overige overheidsbijdragen voor personele doeleinden en overige baten voor personele doeleinden.</t>
  </si>
  <si>
    <t>Budget Personeelsbeleid en overige baten</t>
  </si>
  <si>
    <t xml:space="preserve">Ook kan opgave gedaan worden van onttrekking dan wel dotatie aan de personeelsvoorziening jubilea die afzonderlijk is opgenomen. </t>
  </si>
  <si>
    <t xml:space="preserve">Ook is het van belang dat er een naam ingevuld wordt (geldt ook bij op en oop), anders worden de berekeningen in die regel niet uitgevoerd! De kosten van BAPO worden apart berekend en weergegeven, evenals de gratificatie voor jubilea. </t>
  </si>
  <si>
    <t xml:space="preserve">Vaste activa </t>
  </si>
  <si>
    <t>www. poraad.nl</t>
  </si>
  <si>
    <t>Personeelskantine</t>
  </si>
  <si>
    <t>Cursuskosten (nascholing)</t>
  </si>
  <si>
    <t>Extern personeel</t>
  </si>
  <si>
    <t>Werving personeel</t>
  </si>
  <si>
    <t>Reis- en verblijfkosten</t>
  </si>
  <si>
    <t>Bedrijfsgezondheidszorg</t>
  </si>
  <si>
    <t>Toeslag premiedifferentiatie Vervangingsfonds</t>
  </si>
  <si>
    <t>Overige personele kosten</t>
  </si>
  <si>
    <t>Beleid IPB</t>
  </si>
  <si>
    <t>Beloningsdifferentiatie</t>
  </si>
  <si>
    <t>Betaald ouderschapsverlof</t>
  </si>
  <si>
    <t>Kwaliteitszorg</t>
  </si>
  <si>
    <t>Representatie</t>
  </si>
  <si>
    <t>Vrijwilligersvergoeding</t>
  </si>
  <si>
    <t>Dotatie aan de voorziening jubilea</t>
  </si>
  <si>
    <r>
      <t xml:space="preserve">Het model is beveiligd met het wachtwoord: </t>
    </r>
    <r>
      <rPr>
        <b/>
        <sz val="11"/>
        <rFont val="Calibri"/>
        <family val="2"/>
      </rPr>
      <t>poraad</t>
    </r>
    <r>
      <rPr>
        <sz val="11"/>
        <rFont val="Calibri"/>
        <family val="2"/>
      </rPr>
      <t xml:space="preserve"> onder Extra/Beveiliging/Blad beveiligen.</t>
    </r>
  </si>
  <si>
    <t>De invoer van de leerlinggegevens vergt een prognose voor de jaren daarna. De opgave van 1 oktober 2010 is automatisch de telling van latere teldata, maar die kunnen overschreven worden. U kunt die in overeenstemming brengen met uw verwachting door het geraamde aantal leerlingen in de komende jaren op te geven.</t>
  </si>
  <si>
    <t>2. Verdeel de dotatielasten gelijkmatig over de jaren heen (egalisastie van kosten) op zo'n manier dat deze voorziening nooit negatief zal uitvallen.</t>
  </si>
  <si>
    <t>2016/17</t>
  </si>
  <si>
    <t>Tabel Bedrag BVE en scholen VSO t.b.v. ambulante begeleiding</t>
  </si>
  <si>
    <t>Personele bekostiging</t>
  </si>
  <si>
    <t>Materiële bekostiging *</t>
  </si>
  <si>
    <t>Budget Pers Arb Beleid</t>
  </si>
  <si>
    <t>factor N VSO</t>
  </si>
  <si>
    <t>Ontwikkeling overige overheidsbijdragen</t>
  </si>
  <si>
    <t>Ontwikkeling overige baten</t>
  </si>
  <si>
    <t>Totaal aantal groepen</t>
  </si>
  <si>
    <t>Ontwikkeling totale lasten</t>
  </si>
  <si>
    <t>Ontwikkeling afschrijvingen</t>
  </si>
  <si>
    <t>Omrekening kalenderjaar</t>
  </si>
  <si>
    <t>VO</t>
  </si>
  <si>
    <t>Overgangsregeling t.b.v. LZs en PI</t>
  </si>
  <si>
    <t>Aanvullende formatie opvang en begeleiding leerlingen met autisme</t>
  </si>
  <si>
    <t>Toegekende formatie in fre's schooljaar 2005-2006</t>
  </si>
  <si>
    <t>Omrekening in fte's</t>
  </si>
  <si>
    <t>Omrekening in geld:</t>
  </si>
  <si>
    <t>Ambulante begeleiding rugzak (S)BaO en VO</t>
  </si>
  <si>
    <t>Bijdrage ambulante begeleiding ivm rugzakken</t>
  </si>
  <si>
    <t>Gemiddeld Gewogen Leeftijd (t-1)</t>
  </si>
  <si>
    <t>Overige baten - personeel</t>
  </si>
  <si>
    <t>Lasten personeelsbeleid</t>
  </si>
  <si>
    <t>totaal conform afrondingswijze van Cfi:</t>
  </si>
  <si>
    <t>A. Groepsafhankelijke PvE's</t>
  </si>
  <si>
    <t>B. Leerlingafhankelijke PvE's</t>
  </si>
  <si>
    <t>C. Aanvullende programma's van eisen</t>
  </si>
  <si>
    <t>Naam school</t>
  </si>
  <si>
    <t>brinnummer</t>
  </si>
  <si>
    <t>VOORZIENING GROOT ONDERHOUD</t>
  </si>
  <si>
    <t>Procedure</t>
  </si>
  <si>
    <t>groei artikel 38</t>
  </si>
  <si>
    <t>1. Voer per jaar de bestedingen in bij "Onttrekking" die op grond van een recent meerjarenonderhoudsplan (MOP) worden voorgesteld.</t>
  </si>
  <si>
    <t>Stand voorziening onderhoud per 01-01</t>
  </si>
  <si>
    <t>Dotatie vanuit exploitatie (materieel)</t>
  </si>
  <si>
    <t>Onttrekking</t>
  </si>
  <si>
    <t>MEERJARENINVESTERINGSPLAN (MIP)</t>
  </si>
  <si>
    <t>aantal /</t>
  </si>
  <si>
    <t>eenheden</t>
  </si>
  <si>
    <t>- meubilair</t>
  </si>
  <si>
    <t>- ICT</t>
  </si>
  <si>
    <t>Investeringen</t>
  </si>
  <si>
    <t>2. Open sommatietiemodel</t>
  </si>
  <si>
    <t>Datum laatste wijziging</t>
  </si>
  <si>
    <t xml:space="preserve">aantal leerlingen onderbouw </t>
  </si>
  <si>
    <t xml:space="preserve">aantal leerlingen bovenbouw </t>
  </si>
  <si>
    <t>aantal gewichtsleerlingen</t>
  </si>
  <si>
    <t>aantal leerlingen bas</t>
  </si>
  <si>
    <t>aantal leerlingen sbo</t>
  </si>
  <si>
    <t>FTE directie</t>
  </si>
  <si>
    <t>FTE onderwijzend personeel</t>
  </si>
  <si>
    <t>FTE onderwijs ondersteunend personeel</t>
  </si>
  <si>
    <t>budget naar bestuur (personeel)</t>
  </si>
  <si>
    <t>budget naar bestuur (materieel)</t>
  </si>
  <si>
    <t>totale lasten</t>
  </si>
  <si>
    <t>personele lasten</t>
  </si>
  <si>
    <t>administratie</t>
  </si>
  <si>
    <t>schoonmaak</t>
  </si>
  <si>
    <t>inventaris en apparatuur</t>
  </si>
  <si>
    <t>leermiddelen</t>
  </si>
  <si>
    <t>huisvesting</t>
  </si>
  <si>
    <t>energie en water (niet verplicht)</t>
  </si>
  <si>
    <t>D. Overige vergoedingsbedragen</t>
  </si>
  <si>
    <t>E. Expertisebekostiging voor scholen voor meervoudig gehandicapten</t>
  </si>
  <si>
    <t>F. Overige inkomsten</t>
  </si>
  <si>
    <t>Overige subsidies OCW - materieel</t>
  </si>
  <si>
    <t>Overige baten - materieel</t>
  </si>
  <si>
    <t xml:space="preserve">lasten personeelsbeleid </t>
  </si>
  <si>
    <t xml:space="preserve"> (totalisering)</t>
  </si>
  <si>
    <t>baten materieel / lasten materieel</t>
  </si>
  <si>
    <t>baten personeel/ totale baten</t>
  </si>
  <si>
    <t>baten personeel / lasten personeel</t>
  </si>
  <si>
    <t>baten materieel / totale baten</t>
  </si>
  <si>
    <t>lasten materieel / totale lasten</t>
  </si>
  <si>
    <t xml:space="preserve">Ontwikkeling aantal leerlingen </t>
  </si>
  <si>
    <t xml:space="preserve">Ontwikkeling aantal FTE </t>
  </si>
  <si>
    <t>Ontwikkeling personele lasten</t>
  </si>
  <si>
    <t>GRAFIEKEN</t>
  </si>
  <si>
    <t>Verbrede toelating</t>
  </si>
  <si>
    <t>Afdeling Meervoudig gehandicapt</t>
  </si>
  <si>
    <t>Aantal groepen</t>
  </si>
  <si>
    <t>Algemeen</t>
  </si>
  <si>
    <t>Desgewenst kunt u het model dus aanpassen, maar kennis van Excel is dan wel vereist.</t>
  </si>
  <si>
    <t>De invoer bij de aangegeven cellen spreekt voor zich. Hieronder een nadere toelichting bij de verschillende werkbladen. Alleen een kanttekening bij die invoer waar dat nodig is.</t>
  </si>
  <si>
    <t xml:space="preserve">De invoer van de leerlinggegevens van de (V)SO-school is complex omdat de samenstelling van de school complex kan zijn. </t>
  </si>
  <si>
    <t>Daarom wordt eerst gevraagd om wat voor soort school het gaat: SO, VSO of SOVSO.</t>
  </si>
  <si>
    <t xml:space="preserve">In verband met de complexiteit is de opgave van de afzonderlijke componenten nader ingedeeld:                                                      </t>
  </si>
  <si>
    <t>Met de ruimte voor zes afzonderlijke componenten moet het mogelijk zijn om elke school voor (V)SO hiermee van dienst te zijn. Daarbij blijven de vier scholen voor visueel gehandicapten buiten beschouwing. Die hebben een specifieke eigen bekostigingsregeling die zeer eenvoudig is.</t>
  </si>
  <si>
    <t>Groei op basis van artikel 38 Bek. Besluit (N)</t>
  </si>
  <si>
    <t>Voltijds</t>
  </si>
  <si>
    <t>Deeltijds</t>
  </si>
  <si>
    <t>VOLTIJDS</t>
  </si>
  <si>
    <t>DEELTIJDS</t>
  </si>
  <si>
    <t>Bijdragen voor LGF</t>
  </si>
  <si>
    <t>School omvat afdeling MG</t>
  </si>
  <si>
    <t>Zie de informatie die verstrekt is in de werkbladen Loonkosten directie resp. onderwijzend personeel.</t>
  </si>
  <si>
    <t xml:space="preserve">De inventaris en apparatuur kan desgewenst ook nader worden gespecificeerd in meubilair en ICT. </t>
  </si>
  <si>
    <t>In een professionele organisatie zijn de investeringen de neerslag van de beleidsvisie die wordt voorgestaan. Het is dan ook wenselijk de investeringen zo goed mogelijk te specificeren.</t>
  </si>
  <si>
    <t xml:space="preserve">Van iedere component van de school wordt hier berekend hoeveel formatie in geld wordt toegekend. De bedragen omvatten zowel de formatie OP als de formatie OOP. Ook wordt opgenomen hoeveel de school ontvangt als vaste voet, voor bestrijding onderwijsachterstanden (cumi-leerlingen), en voor de directietoeslagen. Eveneens automatisch wordt het correctiepercentage toegepast op basis van de opgave. </t>
  </si>
  <si>
    <t>Brinnummer</t>
  </si>
  <si>
    <t>SOMMATIEGEGEVENS</t>
  </si>
  <si>
    <t>Vervolgens kan opgegeven worden wat de toekenning is op grond van specifieke regelingen die van toepassing zijn en die gebaseerd zijn op toekenning in formatie.</t>
  </si>
  <si>
    <t>Vervolgens kan opgave gedaan worden van toekenningen op grond van specifieke regelingen, overige overheidsbijdragen voor personeel en overige Baten personeel.</t>
  </si>
  <si>
    <t>Lasten</t>
  </si>
  <si>
    <t>In dit werkblad dienen de personele gegevens te worden opgegeven die noodzakelijk zijn voor de berekening van de loonkosten. Omdat in de latere schooljaren de gegevens van de eerdere schooljaren worden gebruikt voor het maken van berekeningen, is het noodzakelijk ook de personeelsleden die in latere jaren worden benoemd alvast in het eerste schooljaar op te nemen. Voor de jaren waarin ze nog niet zijn aangesteld wordt hun werktijdfactor dan 0,0000.</t>
  </si>
  <si>
    <t>2012/13</t>
  </si>
  <si>
    <t>a</t>
  </si>
  <si>
    <t>Aanvullende regelingen</t>
  </si>
  <si>
    <t>Artikel VII Wet Regeling LGF (art. 38 lid 1 Reg bek 06-07)</t>
  </si>
  <si>
    <t>Artikel VIIA Regeling LGF (KST 30.956)</t>
  </si>
  <si>
    <t>Aanvullende formatie lln met autisme (art. 36 Reg bek 06-07)</t>
  </si>
  <si>
    <t xml:space="preserve">Aanvullende formatie PI (art. 38 lid 2 Reg. bek. 06-07) </t>
  </si>
  <si>
    <t>TAB (S)BaO</t>
  </si>
  <si>
    <t>School omvat MG</t>
  </si>
  <si>
    <t xml:space="preserve">LGF  </t>
  </si>
  <si>
    <t>12AB</t>
  </si>
  <si>
    <t>De speciale school</t>
  </si>
  <si>
    <t>LGF lopend</t>
  </si>
  <si>
    <t xml:space="preserve">LGF komend schooljaar </t>
  </si>
  <si>
    <t>LGF komend schooljaar</t>
  </si>
  <si>
    <t xml:space="preserve">LGF lopend </t>
  </si>
  <si>
    <t>PERSONEEL</t>
  </si>
  <si>
    <t>Overige subsidies OCW</t>
  </si>
  <si>
    <t>Minus: Overdrachten bestuur</t>
  </si>
  <si>
    <t xml:space="preserve">Overdracht naar bestuur </t>
  </si>
  <si>
    <t>Overdracht van bestuur</t>
  </si>
  <si>
    <t>saldo overdrachten</t>
  </si>
  <si>
    <t>MI verhoging 2011</t>
  </si>
  <si>
    <t>Bapo kosten</t>
  </si>
  <si>
    <t>Dotatie jubilea</t>
  </si>
  <si>
    <t>Overige overheidsbijdragen- en subsidies</t>
  </si>
  <si>
    <t>totaal baten personeel</t>
  </si>
  <si>
    <t>totaal lasten personeel</t>
  </si>
  <si>
    <t>Saldo personeel</t>
  </si>
  <si>
    <t>Overige overheidsbijdragen en -subsidies</t>
  </si>
  <si>
    <t>Baten werk in opdracht van derden</t>
  </si>
  <si>
    <t>TE BEKOSTIGEN DOOR Cfi voor WEB (MBO)</t>
  </si>
  <si>
    <t>Vervolgens het soort onderwijs wat de kern van de school vormt. Op basis van deze gegevens wordt zichtbaar gemaakt welke N relevant is als uitgangspunt voor de bepaling van de normen voor de groeiregelingen. Dat is een half N voor de ene, resp. een hele N voor de andere groeiregeling.</t>
  </si>
  <si>
    <t>De leerlingen moeten gespecificeerd worden naar diverse categorieën zoals jonger dan 8 jaar, 8 jaar en ouder, cumi-leerlingen, leerlingen op residentiele plaatsen, enzovoorts. Met ingang van augustus 2008 geldt dat de leerlingen op residentiele instelling als zodanig geteld moeten worden.</t>
  </si>
  <si>
    <t>Indien de groeiregeling voor de school per 1 januari van toepassing is, wordt die ook automatisch berekend. In de eerste twee jaar gebeurt dat op basis van de GGL van het voorafgaande jaar conform de regeling, de jaren daarna wordt volstaan met de berekening van 7/12e van het verschil tussen de vergoeding van de schooljaren met de daarbij behorende GGL. Deze groeiregeling is niet van toepassing voor scholen met residentiele leerlingen.</t>
  </si>
  <si>
    <t>LIO-ers moeten daarom niet in dit werkblad maar in het werkblad voor onderwijsondersteunend personeel worden opgenomen.</t>
  </si>
  <si>
    <t>Werkblad Activaoverzicht (act)</t>
  </si>
  <si>
    <t>Werkblad Basisgegevens (geg)</t>
  </si>
  <si>
    <t>Werkblad Rugzak (rugzak)</t>
  </si>
  <si>
    <t>Werkblad Budget Personeel (pers)</t>
  </si>
  <si>
    <t>Werkblad Loonkosten directie (dir)</t>
  </si>
  <si>
    <t>Werkblad Loonkosten onderwijzend personeel (op)</t>
  </si>
  <si>
    <t>Werkblad Loonkosten onderwijsondersteunend personeel (oop)</t>
  </si>
  <si>
    <t>Werkblad Materieel Budget (mat)</t>
  </si>
  <si>
    <t>Werkblad Meerjarenonderhoudsplan (mop)</t>
  </si>
  <si>
    <t>Werkblad Meerjareninvesteringsplan (mip)</t>
  </si>
  <si>
    <t>Werkblad Staat van Baten en Lasten (begr)</t>
  </si>
  <si>
    <t>De baten en lasten van de financiële bedrijfsvoering moeten nog afzonderlijk worden opgegeven.</t>
  </si>
  <si>
    <t>Werkblad MeerjarenBalans (bal)</t>
  </si>
  <si>
    <t>Werkblad Kasstroomoverzicht (liq)</t>
  </si>
  <si>
    <t>Werkblad Kengetallen (ken)</t>
  </si>
  <si>
    <t>In het tweede deel zijn de financiële kengetallen opgenomen, met daarbij een kolom waarin de bestuursnorm kan worden vastgelegd.</t>
  </si>
  <si>
    <t>Werkblad grafieken (graf)</t>
  </si>
  <si>
    <t>Werkblad sommatiegegevens (som)</t>
  </si>
  <si>
    <t>Het instrument is beschikbaar waarin dit werkblad gekopieerd kan worden en waarmee dan automatisch de gesommeerde balans van het bestuur wordt gemaakt.</t>
  </si>
  <si>
    <t>Werkblad Tabellen (tabel)</t>
  </si>
  <si>
    <t>Werkblad Toelichting (toel)</t>
  </si>
  <si>
    <t>Die spreekt hopelijk voor zich.</t>
  </si>
  <si>
    <t>Extra toeslag directie</t>
  </si>
  <si>
    <t xml:space="preserve">bruto </t>
  </si>
  <si>
    <t>werkgevers lasten</t>
  </si>
  <si>
    <t>jubilea</t>
  </si>
  <si>
    <t>salaris</t>
  </si>
  <si>
    <t>euro's</t>
  </si>
  <si>
    <r>
      <t xml:space="preserve">(alle investeringen </t>
    </r>
    <r>
      <rPr>
        <i/>
        <sz val="12"/>
        <rFont val="Calibri"/>
        <family val="2"/>
      </rPr>
      <t>vanaf 1 januari 2006 en alle toekomstige investeringen)</t>
    </r>
  </si>
  <si>
    <t xml:space="preserve">Baten en lasten </t>
  </si>
  <si>
    <t>Baten</t>
  </si>
  <si>
    <t>3.1 Rijksbijdragen OCW</t>
  </si>
  <si>
    <t>3.2 Overige overheidsbijdragen en -subsidies</t>
  </si>
  <si>
    <t>3.3 College-, cursus-, les- en examengelden</t>
  </si>
  <si>
    <t>3.4 Baten werk in opdracht van derden</t>
  </si>
  <si>
    <t>3.5 Overige baten</t>
  </si>
  <si>
    <t>4.1 Personeelslasten</t>
  </si>
  <si>
    <t>4.2 Afschrijvingen</t>
  </si>
  <si>
    <t>4.3 Huisvestingslasten</t>
  </si>
  <si>
    <t>4.4 Overige lasten</t>
  </si>
  <si>
    <t xml:space="preserve">Saldo baten en lasten </t>
  </si>
  <si>
    <t>5.1 Financiële baten</t>
  </si>
  <si>
    <t>5.2 Financiële lasten</t>
  </si>
  <si>
    <t>- klik op optie "plakken speciaal" en vink "waarden" aan (onder kopje "plakken")</t>
  </si>
  <si>
    <t xml:space="preserve">Reinier Goedhart, e-mail: r.goedhart@poraad.nl </t>
  </si>
  <si>
    <t>2018/19</t>
  </si>
  <si>
    <t xml:space="preserve">Justitiele jeugdinrichting/instelling gesloten jeugdzorg verbonden aan cluster 4 school </t>
  </si>
  <si>
    <t>artikel 24</t>
  </si>
  <si>
    <t xml:space="preserve">Groepsafhankelijke programma's van eisen </t>
  </si>
  <si>
    <r>
      <t xml:space="preserve">De meerjarenbegroting start met het schooljaar </t>
    </r>
    <r>
      <rPr>
        <b/>
        <sz val="11"/>
        <rFont val="Calibri"/>
        <family val="2"/>
      </rPr>
      <t>2012-2013</t>
    </r>
    <r>
      <rPr>
        <sz val="11"/>
        <rFont val="Calibri"/>
        <family val="2"/>
      </rPr>
      <t>. Bij de omrekening naar kalenderjaar wordt het eerste kalenderjaar 2012 dus voor 7/12e deel gevuld, de periode januari t/m augustus uit het schooljaar 11/12, aangevuld met 5/12e deel, de periode augustus t/m december 2012, van het schooljaar 12-13.</t>
    </r>
  </si>
  <si>
    <t>Directeur</t>
  </si>
  <si>
    <t>Adjunct</t>
  </si>
  <si>
    <t>zonder GGL</t>
  </si>
  <si>
    <t>Personeel 2011-2012</t>
  </si>
  <si>
    <t>fte's</t>
  </si>
  <si>
    <t>Vast bedrag per school</t>
  </si>
  <si>
    <t>per leerling SO &lt;8</t>
  </si>
  <si>
    <t>per leerling SO &gt;=8</t>
  </si>
  <si>
    <t>per leerling VSO</t>
  </si>
  <si>
    <t xml:space="preserve">per leerling P&amp;A </t>
  </si>
  <si>
    <t>MI2011</t>
  </si>
  <si>
    <t>Vast bedrag SO</t>
  </si>
  <si>
    <t>Vast bedrag VSO</t>
  </si>
  <si>
    <t>cat 1</t>
  </si>
  <si>
    <t>cat 2</t>
  </si>
  <si>
    <t>cat 3</t>
  </si>
  <si>
    <t>cluster 2</t>
  </si>
  <si>
    <t>DOBLN</t>
  </si>
  <si>
    <t>DOVN</t>
  </si>
  <si>
    <t>LZ/P</t>
  </si>
  <si>
    <t>LZ/S</t>
  </si>
  <si>
    <t>cluster 4</t>
  </si>
  <si>
    <t>ondersteuningskosten MI</t>
  </si>
  <si>
    <t>cat</t>
  </si>
  <si>
    <t>Gegevens</t>
  </si>
  <si>
    <t>Eindtotaal</t>
  </si>
  <si>
    <t>Som van so jda</t>
  </si>
  <si>
    <t>Som van so odz</t>
  </si>
  <si>
    <t>Som van vso</t>
  </si>
  <si>
    <t>Som van P_zorg_so&lt;8</t>
  </si>
  <si>
    <t>Som van P_zorg_so&gt;=8</t>
  </si>
  <si>
    <t>Som van P_zorg_vso</t>
  </si>
  <si>
    <t>Som van MI_zorg_so&lt;8</t>
  </si>
  <si>
    <t>Som van MI_zorg_so&gt;=8</t>
  </si>
  <si>
    <t>Som van MI_zorg_vso</t>
  </si>
  <si>
    <t>SO totaal</t>
  </si>
  <si>
    <t>P</t>
  </si>
  <si>
    <t>MI</t>
  </si>
  <si>
    <t>tot</t>
  </si>
  <si>
    <t>Vast bedr. school</t>
  </si>
  <si>
    <t>BEKOSTIGING NIEUW</t>
  </si>
  <si>
    <t>OOP leeftijdsgecorrigeerd : voet</t>
  </si>
  <si>
    <t>OOP leeftijdsgecorrigeerd : bedrag * GGL</t>
  </si>
  <si>
    <t>Basis bekostiging</t>
  </si>
  <si>
    <t>nn</t>
  </si>
  <si>
    <t>directietoeslag</t>
  </si>
  <si>
    <t>&lt; 8 jr</t>
  </si>
  <si>
    <t>8jr eo</t>
  </si>
  <si>
    <t>Catagorie 1</t>
  </si>
  <si>
    <t>Catagorie 3</t>
  </si>
  <si>
    <t>Catagorie 2</t>
  </si>
  <si>
    <t>bedrag per leerling</t>
  </si>
  <si>
    <t>bedrag per school</t>
  </si>
  <si>
    <t>ondersteuningskosten tot</t>
  </si>
  <si>
    <t xml:space="preserve">Personeel: ondersteuningskosten </t>
  </si>
  <si>
    <t>Personeel: basisbekostiging</t>
  </si>
  <si>
    <t>Zorgbekostiging MI</t>
  </si>
  <si>
    <t xml:space="preserve">Zorgbekostiging personeel </t>
  </si>
  <si>
    <t>Basis bekostiging MI</t>
  </si>
  <si>
    <t>Bedrag per leerling</t>
  </si>
  <si>
    <t>basisbekostiging MI</t>
  </si>
  <si>
    <t xml:space="preserve">Personeel </t>
  </si>
  <si>
    <t>Aanvullende PvE's</t>
  </si>
  <si>
    <t>schoolbaden</t>
  </si>
  <si>
    <t>brancardliften</t>
  </si>
  <si>
    <t>inhoud bad in m3</t>
  </si>
  <si>
    <t>beweegbare bodem</t>
  </si>
  <si>
    <t>GGL van 1 okt t-1</t>
  </si>
  <si>
    <t>prestatiebox</t>
  </si>
  <si>
    <t>Prestatiebox</t>
  </si>
  <si>
    <t>H</t>
  </si>
  <si>
    <t>Voortgezet Speciaal Onderwijs (VSO)</t>
  </si>
  <si>
    <t>Formatiebudget Speciaal Onderwijs (SO)</t>
  </si>
  <si>
    <t>Formatiebudget Voortgezet Speciaal Onderwijs (VSO)</t>
  </si>
  <si>
    <t>BEGROTING 2013: LINK BEGROTING MET BELEIDSPLAN</t>
  </si>
  <si>
    <t>Speerpunt 1</t>
  </si>
  <si>
    <t>doel</t>
  </si>
  <si>
    <t>activiteit</t>
  </si>
  <si>
    <t>wie</t>
  </si>
  <si>
    <t>toelichting</t>
  </si>
  <si>
    <t xml:space="preserve">materiële kosten </t>
  </si>
  <si>
    <t>Speerpunt 2</t>
  </si>
  <si>
    <t>Speerpunt 3</t>
  </si>
  <si>
    <t xml:space="preserve">In dit werkblad kunt u een duidelijke relatie maken tussen het beleidsplan van de school (schoolplan) en de begroting. Het is vooral </t>
  </si>
  <si>
    <t xml:space="preserve">informatief bedoeld, maar geeft een duidelijke link tussen de prioriteiten in het beleid, de speerpunten, en de financiele lasten die </t>
  </si>
  <si>
    <t>daar mee samenhangen. Suggesties voor verbeteringen hierbij zijn van harte welkom.</t>
  </si>
  <si>
    <t>Werkblad Beleid</t>
  </si>
  <si>
    <t>formatiebudget totaal</t>
  </si>
  <si>
    <t>totaal bekostiging lichte en zware ondersteuning</t>
  </si>
  <si>
    <t xml:space="preserve">van samenwerkingverband/ lichte zorg (WSNS) </t>
  </si>
  <si>
    <t>Lichte ondersteuning (WSNS)</t>
  </si>
  <si>
    <t>Totaal bekostiging lichte en zware ondersteuning</t>
  </si>
  <si>
    <t>Zware ondersteuning (alleen LGF)</t>
  </si>
  <si>
    <t>formatieve kosten</t>
  </si>
  <si>
    <t>overige personele kosten</t>
  </si>
  <si>
    <t>totale kosten</t>
  </si>
  <si>
    <t>Speerpunt 4</t>
  </si>
  <si>
    <t>meerh sbo DC13</t>
  </si>
  <si>
    <t>Handleiding Meerjarenbegroting Geld (V)SO 2013                                                       21 okt 2012</t>
  </si>
  <si>
    <r>
      <t xml:space="preserve">In deze applicatie zijn de bedragen van de voorlopig vastgestelde GPL's voor 2011-2012 van </t>
    </r>
    <r>
      <rPr>
        <b/>
        <sz val="11"/>
        <rFont val="Calibri"/>
        <family val="2"/>
      </rPr>
      <t>21 oktober 2012</t>
    </r>
  </si>
  <si>
    <r>
      <t xml:space="preserve">De werkgeverslasten zijn geraamd op </t>
    </r>
    <r>
      <rPr>
        <b/>
        <sz val="11"/>
        <rFont val="Calibri"/>
        <family val="2"/>
      </rPr>
      <t>60%</t>
    </r>
    <r>
      <rPr>
        <sz val="11"/>
        <rFont val="Calibri"/>
        <family val="2"/>
      </rPr>
      <t xml:space="preserve"> t.o.v. het salaris van de salaristabellen. Dat percentage is in cel D104 aan te passen. Met klem wordt geadviseerd de eigen (historische) gegevens op dit punt goed in kaart te brengen en het percentage desgewenst aan te passen.</t>
    </r>
  </si>
  <si>
    <r>
      <t xml:space="preserve">In de tabellen zijn de gegevens opgenomen die betrekking hebben op de onderliggende normeringen voor de bekostiging. De bedragen betreffen de bedragen zoals die voor het schooljaar </t>
    </r>
    <r>
      <rPr>
        <b/>
        <sz val="11"/>
        <rFont val="Calibri"/>
        <family val="2"/>
      </rPr>
      <t>2012-2013</t>
    </r>
    <r>
      <rPr>
        <sz val="11"/>
        <rFont val="Calibri"/>
        <family val="2"/>
      </rPr>
      <t xml:space="preserve"> per </t>
    </r>
    <r>
      <rPr>
        <b/>
        <sz val="11"/>
        <rFont val="Calibri"/>
        <family val="2"/>
      </rPr>
      <t>21 oktober 2012</t>
    </r>
    <r>
      <rPr>
        <sz val="11"/>
        <rFont val="Calibri"/>
        <family val="2"/>
      </rPr>
      <t xml:space="preserve"> zijn vastgesteld en voor MI voor het kalenderjaar </t>
    </r>
    <r>
      <rPr>
        <b/>
        <sz val="11"/>
        <rFont val="Calibri"/>
        <family val="2"/>
      </rPr>
      <t>2013</t>
    </r>
    <r>
      <rPr>
        <sz val="11"/>
        <rFont val="Calibri"/>
        <family val="2"/>
      </rPr>
      <t xml:space="preserve"> geldt.</t>
    </r>
  </si>
  <si>
    <r>
      <t xml:space="preserve">De overige gegevens, waaronder de MI-bekostiging 2013, zijn bijgewerkt tot en met </t>
    </r>
    <r>
      <rPr>
        <b/>
        <sz val="11"/>
        <rFont val="Calibri"/>
        <family val="2"/>
      </rPr>
      <t xml:space="preserve">oktober 2012. </t>
    </r>
  </si>
  <si>
    <t>artikel 36</t>
  </si>
  <si>
    <t>artikel 38</t>
  </si>
  <si>
    <r>
      <t xml:space="preserve">Regeling bekostiging personeel PO </t>
    </r>
    <r>
      <rPr>
        <b/>
        <sz val="10"/>
        <rFont val="Calibri"/>
        <family val="2"/>
      </rPr>
      <t>12-13</t>
    </r>
    <r>
      <rPr>
        <sz val="10"/>
        <rFont val="Calibri"/>
        <family val="2"/>
      </rPr>
      <t xml:space="preserve"> (art. 7 en 8, en art. 43).</t>
    </r>
  </si>
  <si>
    <t>Regeling Bekostiging personeel 2012-2013, art. 23.</t>
  </si>
</sst>
</file>

<file path=xl/styles.xml><?xml version="1.0" encoding="utf-8"?>
<styleSheet xmlns="http://schemas.openxmlformats.org/spreadsheetml/2006/main">
  <numFmts count="24">
    <numFmt numFmtId="42" formatCode="_-&quot;€&quot;\ * #,##0_-;_-&quot;€&quot;\ * #,##0\-;_-&quot;€&quot;\ * &quot;-&quot;_-;_-@_-"/>
    <numFmt numFmtId="44" formatCode="_-&quot;€&quot;\ * #,##0.00_-;_-&quot;€&quot;\ * #,##0.00\-;_-&quot;€&quot;\ * &quot;-&quot;??_-;_-@_-"/>
    <numFmt numFmtId="164" formatCode="_(&quot;€&quot;* #,##0_);_(&quot;€&quot;* \(#,##0\);_(&quot;€&quot;* &quot;-&quot;_);_(@_)"/>
    <numFmt numFmtId="165" formatCode="_(&quot;€&quot;* #,##0.00_);_(&quot;€&quot;* \(#,##0.00\);_(&quot;€&quot;* &quot;-&quot;??_);_(@_)"/>
    <numFmt numFmtId="166" formatCode="_(&quot;€&quot;\ * #,##0_);_(&quot;€&quot;\ * \(#,##0\);_(&quot;€&quot;\ * &quot;-&quot;_);_(@_)"/>
    <numFmt numFmtId="167" formatCode="_(&quot;€&quot;\ * #,##0.00_);_(&quot;€&quot;\ * \(#,##0.00\);_(&quot;€&quot;\ * &quot;-&quot;??_);_(@_)"/>
    <numFmt numFmtId="168" formatCode="0.0000"/>
    <numFmt numFmtId="169" formatCode="#,##0.00_ ;\-#,##0.00\ "/>
    <numFmt numFmtId="170" formatCode="#,##0_ ;\-#,##0\ "/>
    <numFmt numFmtId="171" formatCode="d/mmm/yyyy"/>
    <numFmt numFmtId="172" formatCode="_-&quot;€&quot;\ * #,##0_-;_-&quot;€&quot;\ * #,##0\-;_-&quot;€&quot;\ * &quot;-&quot;??_-;_-@_-"/>
    <numFmt numFmtId="173" formatCode="&quot;€&quot;\ #,##0_-"/>
    <numFmt numFmtId="174" formatCode="d\ mmmm\ yyyy"/>
    <numFmt numFmtId="175" formatCode="_-&quot;€&quot;\ * #,##0.00_-;_-&quot;€&quot;\ * #,##0.00\-;_-&quot;€&quot;\ * &quot;-&quot;_-;_-@_-"/>
    <numFmt numFmtId="176" formatCode="dd/mm/yy"/>
    <numFmt numFmtId="177" formatCode="0.0%"/>
    <numFmt numFmtId="178" formatCode="0.0"/>
    <numFmt numFmtId="179" formatCode="#,##0.0_ ;\-#,##0.0\ "/>
    <numFmt numFmtId="180" formatCode="#,##0.0000_ ;\-#,##0.0000\ "/>
    <numFmt numFmtId="181" formatCode="0.000000000000000"/>
    <numFmt numFmtId="182" formatCode="d/mm/yy;@"/>
    <numFmt numFmtId="183" formatCode="_(&quot;€&quot;* #,##0_);_(&quot;€&quot;* \(#,##0\);_(&quot;€&quot;* &quot;-&quot;??_);_(@_)"/>
    <numFmt numFmtId="184" formatCode="_(&quot;€&quot;\ * #,##0_);_(&quot;€&quot;\ * \(#,##0\);_(&quot;€&quot;\ * &quot;-&quot;??_);_(@_)"/>
    <numFmt numFmtId="185" formatCode="[$-413]d\ mmmm\ yyyy;@"/>
  </numFmts>
  <fonts count="98">
    <font>
      <sz val="10"/>
      <name val="Arial"/>
    </font>
    <font>
      <sz val="10"/>
      <name val="Arial"/>
      <family val="2"/>
    </font>
    <font>
      <b/>
      <sz val="10"/>
      <name val="Arial"/>
      <family val="2"/>
    </font>
    <font>
      <sz val="10"/>
      <name val="Arial"/>
      <family val="2"/>
    </font>
    <font>
      <sz val="8"/>
      <color indexed="81"/>
      <name val="Tahoma"/>
      <family val="2"/>
    </font>
    <font>
      <b/>
      <sz val="14"/>
      <name val="Arial"/>
      <family val="2"/>
    </font>
    <font>
      <sz val="9"/>
      <color indexed="81"/>
      <name val="Tahoma"/>
      <family val="2"/>
    </font>
    <font>
      <u/>
      <sz val="10"/>
      <color indexed="12"/>
      <name val="Arial"/>
      <family val="2"/>
    </font>
    <font>
      <i/>
      <sz val="10"/>
      <color indexed="10"/>
      <name val="Arial"/>
      <family val="2"/>
    </font>
    <font>
      <b/>
      <sz val="9"/>
      <color indexed="81"/>
      <name val="Tahoma"/>
      <family val="2"/>
    </font>
    <font>
      <sz val="10"/>
      <color indexed="81"/>
      <name val="Tahoma"/>
      <family val="2"/>
    </font>
    <font>
      <sz val="9"/>
      <color indexed="81"/>
      <name val="Arial"/>
      <family val="2"/>
    </font>
    <font>
      <b/>
      <sz val="14"/>
      <name val="Calibri"/>
      <family val="2"/>
    </font>
    <font>
      <sz val="10"/>
      <name val="Calibri"/>
      <family val="2"/>
    </font>
    <font>
      <b/>
      <sz val="11"/>
      <name val="Calibri"/>
      <family val="2"/>
    </font>
    <font>
      <b/>
      <i/>
      <sz val="11"/>
      <name val="Calibri"/>
      <family val="2"/>
    </font>
    <font>
      <sz val="11"/>
      <name val="Calibri"/>
      <family val="2"/>
    </font>
    <font>
      <b/>
      <sz val="10"/>
      <name val="Calibri"/>
      <family val="2"/>
    </font>
    <font>
      <i/>
      <sz val="11"/>
      <name val="Calibri"/>
      <family val="2"/>
    </font>
    <font>
      <u/>
      <sz val="11"/>
      <name val="Calibri"/>
      <family val="2"/>
    </font>
    <font>
      <b/>
      <u/>
      <sz val="11"/>
      <name val="Calibri"/>
      <family val="2"/>
    </font>
    <font>
      <sz val="10"/>
      <color indexed="8"/>
      <name val="Calibri"/>
      <family val="2"/>
    </font>
    <font>
      <b/>
      <i/>
      <sz val="10"/>
      <name val="Calibri"/>
      <family val="2"/>
    </font>
    <font>
      <i/>
      <sz val="10"/>
      <name val="Calibri"/>
      <family val="2"/>
    </font>
    <font>
      <sz val="10"/>
      <color indexed="22"/>
      <name val="Calibri"/>
      <family val="2"/>
    </font>
    <font>
      <b/>
      <sz val="10"/>
      <color indexed="22"/>
      <name val="Calibri"/>
      <family val="2"/>
    </font>
    <font>
      <b/>
      <i/>
      <sz val="14"/>
      <name val="Calibri"/>
      <family val="2"/>
    </font>
    <font>
      <sz val="14"/>
      <name val="Calibri"/>
      <family val="2"/>
    </font>
    <font>
      <b/>
      <i/>
      <sz val="10"/>
      <color indexed="9"/>
      <name val="Calibri"/>
      <family val="2"/>
    </font>
    <font>
      <b/>
      <sz val="10"/>
      <color indexed="9"/>
      <name val="Calibri"/>
      <family val="2"/>
    </font>
    <font>
      <b/>
      <u/>
      <sz val="10"/>
      <name val="Calibri"/>
      <family val="2"/>
    </font>
    <font>
      <i/>
      <sz val="14"/>
      <name val="Calibri"/>
      <family val="2"/>
    </font>
    <font>
      <sz val="12"/>
      <name val="Calibri"/>
      <family val="2"/>
    </font>
    <font>
      <b/>
      <i/>
      <sz val="12"/>
      <name val="Calibri"/>
      <family val="2"/>
    </font>
    <font>
      <b/>
      <sz val="9"/>
      <name val="Calibri"/>
      <family val="2"/>
    </font>
    <font>
      <sz val="10"/>
      <color indexed="10"/>
      <name val="Calibri"/>
      <family val="2"/>
    </font>
    <font>
      <sz val="10"/>
      <color indexed="47"/>
      <name val="Calibri"/>
      <family val="2"/>
    </font>
    <font>
      <b/>
      <sz val="14"/>
      <color indexed="10"/>
      <name val="Calibri"/>
      <family val="2"/>
    </font>
    <font>
      <sz val="10"/>
      <color indexed="10"/>
      <name val="Calibri"/>
      <family val="2"/>
    </font>
    <font>
      <b/>
      <sz val="11"/>
      <color indexed="10"/>
      <name val="Calibri"/>
      <family val="2"/>
    </font>
    <font>
      <sz val="14"/>
      <color indexed="10"/>
      <name val="Calibri"/>
      <family val="2"/>
    </font>
    <font>
      <b/>
      <i/>
      <sz val="14"/>
      <color indexed="10"/>
      <name val="Calibri"/>
      <family val="2"/>
    </font>
    <font>
      <b/>
      <sz val="10"/>
      <color indexed="10"/>
      <name val="Calibri"/>
      <family val="2"/>
    </font>
    <font>
      <i/>
      <sz val="14"/>
      <color indexed="10"/>
      <name val="Calibri"/>
      <family val="2"/>
    </font>
    <font>
      <b/>
      <i/>
      <sz val="10"/>
      <color indexed="10"/>
      <name val="Calibri"/>
      <family val="2"/>
    </font>
    <font>
      <b/>
      <sz val="12"/>
      <name val="Calibri"/>
      <family val="2"/>
    </font>
    <font>
      <i/>
      <sz val="10"/>
      <color indexed="10"/>
      <name val="Calibri"/>
      <family val="2"/>
    </font>
    <font>
      <sz val="10"/>
      <color indexed="10"/>
      <name val="Arial"/>
      <family val="2"/>
    </font>
    <font>
      <sz val="10"/>
      <color indexed="60"/>
      <name val="Calibri"/>
      <family val="2"/>
    </font>
    <font>
      <sz val="10"/>
      <color indexed="9"/>
      <name val="Calibri"/>
      <family val="2"/>
    </font>
    <font>
      <sz val="10"/>
      <color indexed="10"/>
      <name val="Calibri"/>
      <family val="2"/>
    </font>
    <font>
      <sz val="10"/>
      <name val="Calibri"/>
      <family val="2"/>
    </font>
    <font>
      <b/>
      <sz val="11"/>
      <color indexed="9"/>
      <name val="Calibri"/>
      <family val="2"/>
    </font>
    <font>
      <b/>
      <sz val="14"/>
      <color rgb="FFC00000"/>
      <name val="Calibri"/>
      <family val="2"/>
    </font>
    <font>
      <b/>
      <i/>
      <sz val="10"/>
      <color rgb="FFC00000"/>
      <name val="Calibri"/>
      <family val="2"/>
    </font>
    <font>
      <sz val="10"/>
      <color rgb="FFC00000"/>
      <name val="Calibri"/>
      <family val="2"/>
    </font>
    <font>
      <b/>
      <sz val="10"/>
      <color rgb="FFC00000"/>
      <name val="Calibri"/>
      <family val="2"/>
    </font>
    <font>
      <sz val="10"/>
      <color theme="0"/>
      <name val="Calibri"/>
      <family val="2"/>
    </font>
    <font>
      <sz val="10"/>
      <color theme="1"/>
      <name val="Calibri"/>
      <family val="2"/>
    </font>
    <font>
      <b/>
      <sz val="10"/>
      <color rgb="FF0070C0"/>
      <name val="Calibri"/>
      <family val="2"/>
    </font>
    <font>
      <sz val="10"/>
      <color rgb="FF0070C0"/>
      <name val="Calibri"/>
      <family val="2"/>
    </font>
    <font>
      <b/>
      <i/>
      <sz val="10"/>
      <color rgb="FF0070C0"/>
      <name val="Calibri"/>
      <family val="2"/>
    </font>
    <font>
      <i/>
      <sz val="10"/>
      <color rgb="FF0070C0"/>
      <name val="Calibri"/>
      <family val="2"/>
    </font>
    <font>
      <i/>
      <sz val="10"/>
      <color rgb="FFC00000"/>
      <name val="Calibri"/>
      <family val="2"/>
    </font>
    <font>
      <sz val="10"/>
      <color rgb="FFFF0000"/>
      <name val="Calibri"/>
      <family val="2"/>
    </font>
    <font>
      <b/>
      <sz val="10"/>
      <color theme="0"/>
      <name val="Calibri"/>
      <family val="2"/>
    </font>
    <font>
      <sz val="10"/>
      <color theme="0" tint="-4.9989318521683403E-2"/>
      <name val="Calibri"/>
      <family val="2"/>
    </font>
    <font>
      <b/>
      <sz val="10"/>
      <color theme="0" tint="-4.9989318521683403E-2"/>
      <name val="Calibri"/>
      <family val="2"/>
    </font>
    <font>
      <b/>
      <i/>
      <sz val="10"/>
      <color theme="0" tint="-4.9989318521683403E-2"/>
      <name val="Calibri"/>
      <family val="2"/>
    </font>
    <font>
      <b/>
      <i/>
      <sz val="10"/>
      <color theme="0"/>
      <name val="Calibri"/>
      <family val="2"/>
    </font>
    <font>
      <sz val="10"/>
      <color rgb="FFC00000"/>
      <name val="Arial"/>
      <family val="2"/>
    </font>
    <font>
      <b/>
      <u/>
      <sz val="10"/>
      <color rgb="FFC00000"/>
      <name val="Calibri"/>
      <family val="2"/>
    </font>
    <font>
      <i/>
      <sz val="10"/>
      <color theme="0"/>
      <name val="Calibri"/>
      <family val="2"/>
    </font>
    <font>
      <i/>
      <sz val="12"/>
      <name val="Calibri"/>
      <family val="2"/>
    </font>
    <font>
      <i/>
      <sz val="10"/>
      <color theme="1" tint="4.9989318521683403E-2"/>
      <name val="Calibri"/>
      <family val="2"/>
    </font>
    <font>
      <b/>
      <sz val="10"/>
      <color indexed="81"/>
      <name val="Tahoma"/>
      <family val="2"/>
    </font>
    <font>
      <sz val="10"/>
      <name val="Calibri"/>
      <family val="2"/>
      <scheme val="minor"/>
    </font>
    <font>
      <sz val="10"/>
      <color rgb="FFC00000"/>
      <name val="Calibri"/>
      <family val="2"/>
      <scheme val="minor"/>
    </font>
    <font>
      <i/>
      <sz val="10"/>
      <name val="Calibri"/>
      <family val="2"/>
      <scheme val="minor"/>
    </font>
    <font>
      <b/>
      <sz val="10"/>
      <color rgb="FFC00000"/>
      <name val="Calibri"/>
      <family val="2"/>
      <scheme val="minor"/>
    </font>
    <font>
      <sz val="14"/>
      <color rgb="FFC00000"/>
      <name val="Calibri"/>
      <family val="2"/>
      <scheme val="minor"/>
    </font>
    <font>
      <sz val="12"/>
      <name val="Calibri"/>
      <family val="2"/>
      <scheme val="minor"/>
    </font>
    <font>
      <i/>
      <sz val="10"/>
      <color rgb="FFC00000"/>
      <name val="Calibri"/>
      <family val="2"/>
      <scheme val="minor"/>
    </font>
    <font>
      <b/>
      <sz val="10"/>
      <name val="Calibri"/>
      <family val="2"/>
      <scheme val="minor"/>
    </font>
    <font>
      <b/>
      <i/>
      <sz val="10"/>
      <color theme="0"/>
      <name val="Calibri"/>
      <family val="2"/>
      <scheme val="minor"/>
    </font>
    <font>
      <b/>
      <i/>
      <sz val="10"/>
      <color rgb="FFC00000"/>
      <name val="Calibri"/>
      <family val="2"/>
      <scheme val="minor"/>
    </font>
    <font>
      <b/>
      <sz val="10"/>
      <color theme="0"/>
      <name val="Calibri"/>
      <family val="2"/>
      <scheme val="minor"/>
    </font>
    <font>
      <i/>
      <sz val="10"/>
      <color indexed="60"/>
      <name val="Calibri"/>
      <family val="2"/>
    </font>
    <font>
      <b/>
      <sz val="10"/>
      <color indexed="60"/>
      <name val="Calibri"/>
      <family val="2"/>
    </font>
    <font>
      <i/>
      <sz val="10"/>
      <color indexed="8"/>
      <name val="Calibri"/>
      <family val="2"/>
    </font>
    <font>
      <b/>
      <sz val="10"/>
      <color indexed="8"/>
      <name val="Calibri"/>
      <family val="2"/>
    </font>
    <font>
      <i/>
      <sz val="10"/>
      <color theme="0"/>
      <name val="Calibri"/>
      <family val="2"/>
      <scheme val="minor"/>
    </font>
    <font>
      <b/>
      <sz val="11"/>
      <color rgb="FFC00000"/>
      <name val="Calibri"/>
      <family val="2"/>
    </font>
    <font>
      <b/>
      <sz val="12"/>
      <color rgb="FFC00000"/>
      <name val="Calibri"/>
      <family val="2"/>
    </font>
    <font>
      <i/>
      <sz val="10"/>
      <color rgb="FFFF0000"/>
      <name val="Calibri"/>
      <family val="2"/>
    </font>
    <font>
      <sz val="11"/>
      <color indexed="10"/>
      <name val="Calibri"/>
      <family val="2"/>
    </font>
    <font>
      <b/>
      <sz val="11"/>
      <name val="Arial"/>
      <family val="2"/>
    </font>
    <font>
      <u/>
      <sz val="11"/>
      <color indexed="12"/>
      <name val="Arial"/>
      <family val="2"/>
    </font>
  </fonts>
  <fills count="10">
    <fill>
      <patternFill patternType="none"/>
    </fill>
    <fill>
      <patternFill patternType="gray125"/>
    </fill>
    <fill>
      <patternFill patternType="solid">
        <fgColor indexed="9"/>
        <bgColor indexed="64"/>
      </patternFill>
    </fill>
    <fill>
      <patternFill patternType="solid">
        <fgColor indexed="43"/>
        <bgColor indexed="64"/>
      </patternFill>
    </fill>
    <fill>
      <patternFill patternType="solid">
        <fgColor theme="0" tint="-4.9989318521683403E-2"/>
        <bgColor indexed="64"/>
      </patternFill>
    </fill>
    <fill>
      <patternFill patternType="solid">
        <fgColor theme="0"/>
        <bgColor indexed="64"/>
      </patternFill>
    </fill>
    <fill>
      <patternFill patternType="solid">
        <fgColor rgb="FFFFFF00"/>
        <bgColor indexed="64"/>
      </patternFill>
    </fill>
    <fill>
      <patternFill patternType="solid">
        <fgColor rgb="FF0070C0"/>
        <bgColor indexed="64"/>
      </patternFill>
    </fill>
    <fill>
      <patternFill patternType="solid">
        <fgColor rgb="FFFFFF66"/>
        <bgColor indexed="64"/>
      </patternFill>
    </fill>
    <fill>
      <patternFill patternType="solid">
        <fgColor rgb="FFFFFF99"/>
        <bgColor indexed="64"/>
      </patternFill>
    </fill>
  </fills>
  <borders count="23">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47"/>
      </top>
      <bottom/>
      <diagonal/>
    </border>
    <border>
      <left/>
      <right style="thin">
        <color theme="0" tint="-4.9989318521683403E-2"/>
      </right>
      <top/>
      <bottom style="thin">
        <color theme="0" tint="-4.9989318521683403E-2"/>
      </bottom>
      <diagonal/>
    </border>
    <border>
      <left style="thin">
        <color theme="0" tint="-4.9989318521683403E-2"/>
      </left>
      <right style="thin">
        <color theme="0" tint="-4.9989318521683403E-2"/>
      </right>
      <top/>
      <bottom style="thin">
        <color theme="0" tint="-4.9989318521683403E-2"/>
      </bottom>
      <diagonal/>
    </border>
    <border>
      <left style="thin">
        <color theme="0" tint="-4.9989318521683403E-2"/>
      </left>
      <right/>
      <top/>
      <bottom style="thin">
        <color theme="0" tint="-4.9989318521683403E-2"/>
      </bottom>
      <diagonal/>
    </border>
    <border>
      <left/>
      <right style="thin">
        <color theme="0" tint="-4.9989318521683403E-2"/>
      </right>
      <top style="thin">
        <color theme="0" tint="-4.9989318521683403E-2"/>
      </top>
      <bottom style="thin">
        <color theme="0" tint="-4.9989318521683403E-2"/>
      </bottom>
      <diagonal/>
    </border>
    <border>
      <left style="thin">
        <color theme="0" tint="-4.9989318521683403E-2"/>
      </left>
      <right style="thin">
        <color theme="0" tint="-4.9989318521683403E-2"/>
      </right>
      <top style="thin">
        <color theme="0" tint="-4.9989318521683403E-2"/>
      </top>
      <bottom style="thin">
        <color theme="0" tint="-4.9989318521683403E-2"/>
      </bottom>
      <diagonal/>
    </border>
    <border>
      <left style="thin">
        <color theme="0" tint="-4.9989318521683403E-2"/>
      </left>
      <right/>
      <top style="thin">
        <color theme="0" tint="-4.9989318521683403E-2"/>
      </top>
      <bottom style="thin">
        <color theme="0" tint="-4.9989318521683403E-2"/>
      </bottom>
      <diagonal/>
    </border>
    <border>
      <left/>
      <right style="thin">
        <color theme="0" tint="-4.9989318521683403E-2"/>
      </right>
      <top style="thin">
        <color theme="0" tint="-4.9989318521683403E-2"/>
      </top>
      <bottom/>
      <diagonal/>
    </border>
    <border>
      <left style="thin">
        <color theme="0" tint="-4.9989318521683403E-2"/>
      </left>
      <right style="thin">
        <color theme="0" tint="-4.9989318521683403E-2"/>
      </right>
      <top style="thin">
        <color theme="0" tint="-4.9989318521683403E-2"/>
      </top>
      <bottom/>
      <diagonal/>
    </border>
    <border>
      <left style="thin">
        <color theme="0" tint="-4.9989318521683403E-2"/>
      </left>
      <right/>
      <top style="thin">
        <color theme="0" tint="-4.9989318521683403E-2"/>
      </top>
      <bottom/>
      <diagonal/>
    </border>
    <border>
      <left/>
      <right style="thin">
        <color theme="0" tint="-4.9989318521683403E-2"/>
      </right>
      <top style="thin">
        <color theme="0" tint="-4.9989318521683403E-2"/>
      </top>
      <bottom style="thin">
        <color theme="0"/>
      </bottom>
      <diagonal/>
    </border>
    <border>
      <left style="thin">
        <color theme="0" tint="-4.9989318521683403E-2"/>
      </left>
      <right style="thin">
        <color theme="0" tint="-4.9989318521683403E-2"/>
      </right>
      <top style="thin">
        <color theme="0" tint="-4.9989318521683403E-2"/>
      </top>
      <bottom style="thin">
        <color theme="0"/>
      </bottom>
      <diagonal/>
    </border>
    <border>
      <left style="thin">
        <color theme="0" tint="-4.9989318521683403E-2"/>
      </left>
      <right/>
      <top style="thin">
        <color theme="0" tint="-4.9989318521683403E-2"/>
      </top>
      <bottom style="thin">
        <color theme="0"/>
      </bottom>
      <diagonal/>
    </border>
    <border>
      <left/>
      <right/>
      <top style="thin">
        <color theme="0" tint="-4.9989318521683403E-2"/>
      </top>
      <bottom style="thin">
        <color theme="0" tint="-4.9989318521683403E-2"/>
      </bottom>
      <diagonal/>
    </border>
  </borders>
  <cellStyleXfs count="5">
    <xf numFmtId="0" fontId="0" fillId="0" borderId="0"/>
    <xf numFmtId="165" fontId="1" fillId="0" borderId="0" applyFont="0" applyFill="0" applyBorder="0" applyAlignment="0" applyProtection="0"/>
    <xf numFmtId="0" fontId="7" fillId="0" borderId="0" applyNumberFormat="0" applyFill="0" applyBorder="0" applyAlignment="0" applyProtection="0">
      <alignment vertical="top"/>
      <protection locked="0"/>
    </xf>
    <xf numFmtId="9" fontId="1" fillId="0" borderId="0" applyFont="0" applyFill="0" applyBorder="0" applyAlignment="0" applyProtection="0"/>
    <xf numFmtId="165" fontId="1" fillId="0" borderId="0" applyFont="0" applyFill="0" applyBorder="0" applyAlignment="0" applyProtection="0"/>
  </cellStyleXfs>
  <cellXfs count="1181">
    <xf numFmtId="0" fontId="0" fillId="0" borderId="0" xfId="0"/>
    <xf numFmtId="0" fontId="13" fillId="0" borderId="0" xfId="0" applyFont="1" applyFill="1" applyBorder="1" applyAlignment="1" applyProtection="1">
      <alignment horizontal="left"/>
    </xf>
    <xf numFmtId="0" fontId="13" fillId="0" borderId="0" xfId="0" applyFont="1" applyFill="1" applyBorder="1" applyAlignment="1" applyProtection="1">
      <alignment horizontal="left" vertical="center"/>
    </xf>
    <xf numFmtId="49" fontId="13" fillId="3" borderId="0" xfId="0" applyNumberFormat="1" applyFont="1" applyFill="1" applyBorder="1" applyAlignment="1" applyProtection="1">
      <alignment horizontal="left" vertical="center"/>
      <protection locked="0"/>
    </xf>
    <xf numFmtId="14" fontId="13" fillId="3" borderId="0" xfId="0" applyNumberFormat="1" applyFont="1" applyFill="1" applyBorder="1" applyAlignment="1" applyProtection="1">
      <alignment horizontal="left" vertical="center"/>
      <protection locked="0"/>
    </xf>
    <xf numFmtId="0" fontId="13" fillId="3" borderId="0" xfId="0" applyFont="1" applyFill="1" applyBorder="1" applyAlignment="1" applyProtection="1">
      <alignment horizontal="left" vertical="center"/>
      <protection locked="0"/>
    </xf>
    <xf numFmtId="0" fontId="17" fillId="0" borderId="0" xfId="0" applyFont="1" applyFill="1" applyBorder="1" applyAlignment="1" applyProtection="1">
      <alignment horizontal="left" vertical="center"/>
    </xf>
    <xf numFmtId="0" fontId="13" fillId="0" borderId="0" xfId="0" quotePrefix="1" applyFont="1" applyFill="1" applyBorder="1" applyAlignment="1" applyProtection="1">
      <alignment horizontal="left" vertical="center"/>
    </xf>
    <xf numFmtId="168" fontId="13" fillId="0" borderId="0" xfId="0" applyNumberFormat="1" applyFont="1" applyFill="1" applyBorder="1" applyAlignment="1" applyProtection="1">
      <alignment horizontal="left" vertical="center"/>
    </xf>
    <xf numFmtId="165" fontId="13" fillId="0" borderId="0" xfId="0" applyNumberFormat="1" applyFont="1" applyFill="1" applyBorder="1" applyAlignment="1" applyProtection="1">
      <alignment horizontal="left" vertical="center"/>
    </xf>
    <xf numFmtId="0" fontId="21" fillId="0" borderId="0" xfId="0" applyFont="1" applyFill="1" applyBorder="1" applyAlignment="1" applyProtection="1">
      <alignment horizontal="left" vertical="center" wrapText="1"/>
    </xf>
    <xf numFmtId="0" fontId="13" fillId="0" borderId="0" xfId="0" applyFont="1" applyFill="1" applyBorder="1" applyAlignment="1" applyProtection="1">
      <alignment horizontal="left" vertical="center" wrapText="1"/>
    </xf>
    <xf numFmtId="2" fontId="13" fillId="0" borderId="0" xfId="0" applyNumberFormat="1" applyFont="1" applyFill="1" applyBorder="1" applyAlignment="1" applyProtection="1">
      <alignment horizontal="left" vertical="center"/>
    </xf>
    <xf numFmtId="0" fontId="17" fillId="0" borderId="0" xfId="0" quotePrefix="1" applyFont="1" applyFill="1" applyBorder="1" applyAlignment="1" applyProtection="1">
      <alignment horizontal="left" vertical="center"/>
    </xf>
    <xf numFmtId="177" fontId="13" fillId="3" borderId="0" xfId="0" applyNumberFormat="1" applyFont="1" applyFill="1" applyBorder="1" applyAlignment="1" applyProtection="1">
      <alignment horizontal="left" vertical="center"/>
      <protection locked="0"/>
    </xf>
    <xf numFmtId="177" fontId="13" fillId="0" borderId="0" xfId="0" applyNumberFormat="1" applyFont="1" applyFill="1" applyBorder="1" applyAlignment="1" applyProtection="1">
      <alignment horizontal="left" vertical="center"/>
    </xf>
    <xf numFmtId="177" fontId="17" fillId="0" borderId="0" xfId="0" applyNumberFormat="1" applyFont="1" applyFill="1" applyBorder="1" applyAlignment="1" applyProtection="1">
      <alignment horizontal="left" vertical="center"/>
    </xf>
    <xf numFmtId="10" fontId="22" fillId="0" borderId="0" xfId="0" applyNumberFormat="1" applyFont="1" applyFill="1" applyBorder="1" applyAlignment="1" applyProtection="1">
      <alignment horizontal="left" vertical="center"/>
    </xf>
    <xf numFmtId="0" fontId="17" fillId="0" borderId="0" xfId="0" applyNumberFormat="1" applyFont="1" applyFill="1" applyBorder="1" applyAlignment="1" applyProtection="1">
      <alignment horizontal="left" vertical="center"/>
    </xf>
    <xf numFmtId="1" fontId="17" fillId="0" borderId="0" xfId="0" applyNumberFormat="1" applyFont="1" applyFill="1" applyBorder="1" applyAlignment="1" applyProtection="1">
      <alignment horizontal="left" vertical="center"/>
    </xf>
    <xf numFmtId="49" fontId="13" fillId="0" borderId="0" xfId="0" applyNumberFormat="1" applyFont="1" applyFill="1" applyBorder="1" applyAlignment="1" applyProtection="1">
      <alignment horizontal="left" vertical="center"/>
    </xf>
    <xf numFmtId="0" fontId="13" fillId="0" borderId="0" xfId="0" applyFont="1" applyFill="1" applyAlignment="1" applyProtection="1">
      <alignment horizontal="left" vertical="center"/>
    </xf>
    <xf numFmtId="0" fontId="17" fillId="0" borderId="0" xfId="0" applyFont="1" applyFill="1" applyAlignment="1" applyProtection="1">
      <alignment horizontal="left" vertical="center"/>
    </xf>
    <xf numFmtId="4" fontId="13" fillId="0" borderId="0" xfId="0" applyNumberFormat="1" applyFont="1" applyFill="1" applyBorder="1" applyAlignment="1" applyProtection="1">
      <alignment horizontal="left" vertical="center"/>
    </xf>
    <xf numFmtId="168" fontId="13" fillId="0" borderId="0" xfId="0" applyNumberFormat="1" applyFont="1" applyFill="1" applyAlignment="1" applyProtection="1">
      <alignment horizontal="left" vertical="center"/>
    </xf>
    <xf numFmtId="165" fontId="13" fillId="0" borderId="0" xfId="0" applyNumberFormat="1" applyFont="1" applyFill="1" applyAlignment="1" applyProtection="1">
      <alignment horizontal="left" vertical="center"/>
    </xf>
    <xf numFmtId="0" fontId="13" fillId="0" borderId="0" xfId="0" applyFont="1" applyBorder="1" applyAlignment="1" applyProtection="1">
      <alignment horizontal="left" vertical="center"/>
    </xf>
    <xf numFmtId="4" fontId="13" fillId="0" borderId="0" xfId="0" applyNumberFormat="1" applyFont="1" applyBorder="1" applyAlignment="1" applyProtection="1">
      <alignment horizontal="left" vertical="center"/>
    </xf>
    <xf numFmtId="0" fontId="13" fillId="0" borderId="0" xfId="0" applyFont="1" applyAlignment="1" applyProtection="1">
      <alignment horizontal="left" vertical="center"/>
    </xf>
    <xf numFmtId="0" fontId="13" fillId="0" borderId="0" xfId="0" applyFont="1" applyBorder="1" applyAlignment="1" applyProtection="1">
      <alignment horizontal="left" vertical="center" wrapText="1"/>
    </xf>
    <xf numFmtId="0" fontId="13" fillId="0" borderId="0" xfId="0" applyNumberFormat="1" applyFont="1" applyFill="1" applyBorder="1" applyAlignment="1" applyProtection="1">
      <alignment horizontal="left" vertical="center"/>
    </xf>
    <xf numFmtId="10" fontId="13" fillId="0" borderId="0" xfId="0" applyNumberFormat="1" applyFont="1" applyFill="1" applyBorder="1" applyAlignment="1" applyProtection="1">
      <alignment horizontal="left" vertical="center"/>
    </xf>
    <xf numFmtId="0" fontId="23" fillId="0" borderId="0" xfId="0" applyFont="1" applyFill="1" applyBorder="1" applyAlignment="1" applyProtection="1">
      <alignment horizontal="left" vertical="center"/>
    </xf>
    <xf numFmtId="0" fontId="17" fillId="0" borderId="0" xfId="0" applyFont="1" applyFill="1" applyBorder="1" applyAlignment="1" applyProtection="1">
      <alignment horizontal="left" vertical="center" wrapText="1"/>
    </xf>
    <xf numFmtId="181" fontId="13" fillId="0" borderId="0" xfId="0" applyNumberFormat="1" applyFont="1" applyFill="1" applyBorder="1" applyAlignment="1" applyProtection="1">
      <alignment horizontal="left" vertical="center"/>
    </xf>
    <xf numFmtId="0" fontId="13" fillId="0" borderId="0" xfId="0" applyNumberFormat="1" applyFont="1" applyFill="1" applyBorder="1" applyAlignment="1" applyProtection="1">
      <alignment horizontal="left" vertical="center" wrapText="1"/>
    </xf>
    <xf numFmtId="4" fontId="13" fillId="0" borderId="0" xfId="0" applyNumberFormat="1" applyFont="1" applyFill="1" applyBorder="1" applyAlignment="1" applyProtection="1">
      <alignment horizontal="left" vertical="center" wrapText="1"/>
    </xf>
    <xf numFmtId="165" fontId="13" fillId="0" borderId="0" xfId="0" applyNumberFormat="1" applyFont="1" applyFill="1" applyBorder="1" applyAlignment="1" applyProtection="1">
      <alignment horizontal="left" vertical="center" wrapText="1"/>
    </xf>
    <xf numFmtId="3" fontId="13" fillId="0" borderId="0" xfId="0" applyNumberFormat="1" applyFont="1" applyFill="1" applyBorder="1" applyAlignment="1" applyProtection="1">
      <alignment horizontal="left" vertical="center" wrapText="1"/>
    </xf>
    <xf numFmtId="10" fontId="13" fillId="0" borderId="0" xfId="0" applyNumberFormat="1" applyFont="1" applyFill="1" applyBorder="1" applyAlignment="1" applyProtection="1">
      <alignment horizontal="left" vertical="center"/>
      <protection locked="0"/>
    </xf>
    <xf numFmtId="10" fontId="13" fillId="3" borderId="0" xfId="0" applyNumberFormat="1" applyFont="1" applyFill="1" applyBorder="1" applyAlignment="1" applyProtection="1">
      <alignment horizontal="left" vertical="center"/>
      <protection locked="0"/>
    </xf>
    <xf numFmtId="0" fontId="24" fillId="0" borderId="0" xfId="0"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10" fontId="24" fillId="0" borderId="0" xfId="0" applyNumberFormat="1" applyFont="1" applyFill="1" applyBorder="1" applyAlignment="1" applyProtection="1">
      <alignment horizontal="left" vertical="center"/>
    </xf>
    <xf numFmtId="16" fontId="25" fillId="0" borderId="0" xfId="0" applyNumberFormat="1" applyFont="1" applyFill="1" applyBorder="1" applyAlignment="1" applyProtection="1">
      <alignment horizontal="left" vertical="center"/>
    </xf>
    <xf numFmtId="165" fontId="24" fillId="0" borderId="0" xfId="0" applyNumberFormat="1" applyFont="1" applyFill="1" applyBorder="1" applyAlignment="1" applyProtection="1">
      <alignment horizontal="left" vertical="center"/>
    </xf>
    <xf numFmtId="3" fontId="51" fillId="0" borderId="0" xfId="0" applyNumberFormat="1" applyFont="1" applyFill="1" applyBorder="1" applyAlignment="1" applyProtection="1">
      <alignment horizontal="left"/>
    </xf>
    <xf numFmtId="9" fontId="51" fillId="0" borderId="0" xfId="0" applyNumberFormat="1" applyFont="1" applyFill="1" applyAlignment="1" applyProtection="1">
      <alignment horizontal="left"/>
    </xf>
    <xf numFmtId="167" fontId="13" fillId="3" borderId="0" xfId="0" applyNumberFormat="1" applyFont="1" applyFill="1" applyBorder="1" applyProtection="1">
      <protection locked="0"/>
    </xf>
    <xf numFmtId="167" fontId="13" fillId="3" borderId="0" xfId="0" applyNumberFormat="1" applyFont="1" applyFill="1" applyBorder="1" applyAlignment="1" applyProtection="1">
      <alignment horizontal="right" vertical="top" wrapText="1"/>
      <protection locked="0"/>
    </xf>
    <xf numFmtId="168" fontId="13" fillId="0" borderId="0" xfId="0" applyNumberFormat="1" applyFont="1" applyFill="1" applyBorder="1" applyAlignment="1" applyProtection="1">
      <alignment horizontal="left"/>
    </xf>
    <xf numFmtId="165" fontId="13" fillId="3" borderId="0" xfId="0" applyNumberFormat="1" applyFont="1" applyFill="1" applyBorder="1" applyAlignment="1" applyProtection="1">
      <alignment horizontal="left"/>
      <protection locked="0"/>
    </xf>
    <xf numFmtId="166" fontId="13" fillId="3" borderId="0" xfId="0" applyNumberFormat="1" applyFont="1" applyFill="1" applyBorder="1" applyAlignment="1" applyProtection="1">
      <alignment horizontal="left"/>
      <protection locked="0"/>
    </xf>
    <xf numFmtId="167" fontId="13" fillId="3" borderId="0" xfId="0" applyNumberFormat="1" applyFont="1" applyFill="1" applyBorder="1" applyAlignment="1" applyProtection="1">
      <alignment horizontal="left" vertical="top" wrapText="1"/>
      <protection locked="0"/>
    </xf>
    <xf numFmtId="167" fontId="13" fillId="3" borderId="0" xfId="0" applyNumberFormat="1" applyFont="1" applyFill="1" applyBorder="1" applyAlignment="1" applyProtection="1">
      <alignment horizontal="left"/>
      <protection locked="0"/>
    </xf>
    <xf numFmtId="3" fontId="13" fillId="3" borderId="0" xfId="0" applyNumberFormat="1" applyFont="1" applyFill="1" applyBorder="1" applyAlignment="1" applyProtection="1">
      <alignment horizontal="left" vertical="center" wrapText="1"/>
      <protection locked="0"/>
    </xf>
    <xf numFmtId="165" fontId="17" fillId="3" borderId="0" xfId="0" applyNumberFormat="1" applyFont="1" applyFill="1" applyAlignment="1" applyProtection="1">
      <alignment horizontal="left"/>
      <protection locked="0"/>
    </xf>
    <xf numFmtId="2" fontId="13" fillId="3" borderId="0" xfId="0" applyNumberFormat="1" applyFont="1" applyFill="1" applyBorder="1" applyAlignment="1" applyProtection="1">
      <alignment horizontal="left" vertical="center"/>
      <protection locked="0"/>
    </xf>
    <xf numFmtId="165" fontId="13" fillId="3" borderId="0" xfId="0" applyNumberFormat="1" applyFont="1" applyFill="1" applyBorder="1" applyAlignment="1" applyProtection="1">
      <alignment horizontal="left" vertical="center"/>
      <protection locked="0"/>
    </xf>
    <xf numFmtId="3" fontId="13" fillId="3" borderId="0" xfId="0" applyNumberFormat="1" applyFont="1" applyFill="1" applyBorder="1" applyAlignment="1" applyProtection="1">
      <alignment horizontal="left" vertical="center"/>
      <protection locked="0"/>
    </xf>
    <xf numFmtId="0" fontId="17" fillId="0" borderId="0" xfId="0" applyFont="1" applyBorder="1" applyAlignment="1" applyProtection="1">
      <alignment horizontal="left"/>
    </xf>
    <xf numFmtId="175" fontId="13" fillId="3" borderId="0" xfId="0" applyNumberFormat="1" applyFont="1" applyFill="1" applyAlignment="1" applyProtection="1">
      <alignment horizontal="left" vertical="center"/>
      <protection locked="0"/>
    </xf>
    <xf numFmtId="167" fontId="13" fillId="3" borderId="0" xfId="0" applyNumberFormat="1" applyFont="1" applyFill="1" applyAlignment="1" applyProtection="1">
      <alignment horizontal="left" vertical="center"/>
      <protection locked="0"/>
    </xf>
    <xf numFmtId="165" fontId="13" fillId="3" borderId="0" xfId="0" applyNumberFormat="1" applyFont="1" applyFill="1" applyBorder="1" applyAlignment="1" applyProtection="1">
      <alignment horizontal="left" vertical="top" wrapText="1"/>
      <protection locked="0"/>
    </xf>
    <xf numFmtId="165" fontId="13" fillId="0" borderId="0" xfId="0" applyNumberFormat="1" applyFont="1" applyFill="1" applyBorder="1" applyAlignment="1" applyProtection="1">
      <alignment horizontal="left" vertical="center"/>
      <protection locked="0"/>
    </xf>
    <xf numFmtId="0" fontId="13" fillId="4" borderId="0" xfId="0" applyFont="1" applyFill="1" applyProtection="1"/>
    <xf numFmtId="16" fontId="13" fillId="4" borderId="0" xfId="0" applyNumberFormat="1" applyFont="1" applyFill="1" applyProtection="1"/>
    <xf numFmtId="0" fontId="13" fillId="4" borderId="0" xfId="0" applyFont="1" applyFill="1" applyBorder="1" applyAlignment="1" applyProtection="1">
      <alignment horizontal="center"/>
    </xf>
    <xf numFmtId="0" fontId="13" fillId="4" borderId="0" xfId="0" applyFont="1" applyFill="1" applyBorder="1" applyProtection="1"/>
    <xf numFmtId="0" fontId="17" fillId="4" borderId="0" xfId="0" applyFont="1" applyFill="1" applyBorder="1" applyAlignment="1" applyProtection="1">
      <alignment horizontal="center"/>
    </xf>
    <xf numFmtId="0" fontId="37" fillId="4" borderId="0" xfId="0" applyFont="1" applyFill="1" applyBorder="1" applyProtection="1"/>
    <xf numFmtId="0" fontId="38" fillId="4" borderId="0" xfId="0" applyFont="1" applyFill="1" applyBorder="1" applyProtection="1"/>
    <xf numFmtId="0" fontId="38" fillId="4" borderId="0" xfId="0" applyFont="1" applyFill="1" applyBorder="1" applyAlignment="1" applyProtection="1">
      <alignment horizontal="center"/>
    </xf>
    <xf numFmtId="0" fontId="38" fillId="4" borderId="0" xfId="0" applyFont="1" applyFill="1" applyProtection="1"/>
    <xf numFmtId="0" fontId="27" fillId="4" borderId="0" xfId="0" applyFont="1" applyFill="1" applyBorder="1" applyProtection="1"/>
    <xf numFmtId="0" fontId="13" fillId="4" borderId="0" xfId="0" applyFont="1" applyFill="1" applyAlignment="1" applyProtection="1">
      <alignment horizontal="center"/>
    </xf>
    <xf numFmtId="0" fontId="17" fillId="4" borderId="0" xfId="0" applyFont="1" applyFill="1" applyBorder="1" applyProtection="1"/>
    <xf numFmtId="171" fontId="17" fillId="4" borderId="0" xfId="0" applyNumberFormat="1" applyFont="1" applyFill="1" applyBorder="1" applyAlignment="1" applyProtection="1">
      <alignment horizontal="right"/>
    </xf>
    <xf numFmtId="171" fontId="13" fillId="4" borderId="0" xfId="0" applyNumberFormat="1" applyFont="1" applyFill="1" applyBorder="1" applyAlignment="1" applyProtection="1">
      <alignment horizontal="right"/>
    </xf>
    <xf numFmtId="1" fontId="13" fillId="4" borderId="0" xfId="0" applyNumberFormat="1" applyFont="1" applyFill="1" applyProtection="1"/>
    <xf numFmtId="0" fontId="22" fillId="4" borderId="0" xfId="0" applyFont="1" applyFill="1" applyBorder="1" applyAlignment="1" applyProtection="1">
      <alignment horizontal="center"/>
    </xf>
    <xf numFmtId="0" fontId="22" fillId="4" borderId="0" xfId="0" applyFont="1" applyFill="1" applyBorder="1" applyProtection="1"/>
    <xf numFmtId="0" fontId="23" fillId="4" borderId="0" xfId="0" applyFont="1" applyFill="1" applyBorder="1" applyAlignment="1" applyProtection="1">
      <alignment horizontal="left"/>
    </xf>
    <xf numFmtId="0" fontId="13" fillId="4" borderId="0" xfId="0" applyFont="1" applyFill="1" applyBorder="1" applyAlignment="1" applyProtection="1">
      <alignment horizontal="left"/>
    </xf>
    <xf numFmtId="2" fontId="13" fillId="4" borderId="0" xfId="0" applyNumberFormat="1" applyFont="1" applyFill="1" applyBorder="1" applyAlignment="1" applyProtection="1">
      <alignment horizontal="center"/>
    </xf>
    <xf numFmtId="1" fontId="13" fillId="4" borderId="0" xfId="0" applyNumberFormat="1" applyFont="1" applyFill="1" applyBorder="1" applyAlignment="1" applyProtection="1">
      <alignment horizontal="center"/>
    </xf>
    <xf numFmtId="0" fontId="17" fillId="4" borderId="0" xfId="0" applyFont="1" applyFill="1" applyBorder="1" applyAlignment="1" applyProtection="1">
      <alignment horizontal="left"/>
    </xf>
    <xf numFmtId="0" fontId="13" fillId="5" borderId="1" xfId="0" applyFont="1" applyFill="1" applyBorder="1" applyProtection="1"/>
    <xf numFmtId="0" fontId="13" fillId="5" borderId="2" xfId="0" applyFont="1" applyFill="1" applyBorder="1" applyProtection="1"/>
    <xf numFmtId="16" fontId="13" fillId="5" borderId="2" xfId="0" applyNumberFormat="1" applyFont="1" applyFill="1" applyBorder="1" applyProtection="1"/>
    <xf numFmtId="0" fontId="13" fillId="5" borderId="2" xfId="0" applyFont="1" applyFill="1" applyBorder="1" applyAlignment="1" applyProtection="1">
      <alignment horizontal="center"/>
    </xf>
    <xf numFmtId="0" fontId="13" fillId="5" borderId="3" xfId="0" applyFont="1" applyFill="1" applyBorder="1" applyProtection="1"/>
    <xf numFmtId="0" fontId="13" fillId="5" borderId="4" xfId="0" applyFont="1" applyFill="1" applyBorder="1" applyProtection="1"/>
    <xf numFmtId="0" fontId="13" fillId="5" borderId="0" xfId="0" applyFont="1" applyFill="1" applyBorder="1" applyProtection="1"/>
    <xf numFmtId="16" fontId="13" fillId="5" borderId="0" xfId="0" applyNumberFormat="1" applyFont="1" applyFill="1" applyBorder="1" applyProtection="1"/>
    <xf numFmtId="0" fontId="13" fillId="5" borderId="0" xfId="0" applyFont="1" applyFill="1" applyBorder="1" applyAlignment="1" applyProtection="1">
      <alignment horizontal="center"/>
    </xf>
    <xf numFmtId="0" fontId="17" fillId="5" borderId="0" xfId="0" applyFont="1" applyFill="1" applyBorder="1" applyAlignment="1" applyProtection="1">
      <alignment horizontal="center"/>
    </xf>
    <xf numFmtId="0" fontId="13" fillId="5" borderId="5" xfId="0" applyFont="1" applyFill="1" applyBorder="1" applyProtection="1"/>
    <xf numFmtId="0" fontId="38" fillId="5" borderId="4" xfId="0" applyFont="1" applyFill="1" applyBorder="1" applyProtection="1"/>
    <xf numFmtId="0" fontId="37" fillId="5" borderId="0" xfId="0" applyFont="1" applyFill="1" applyBorder="1" applyProtection="1"/>
    <xf numFmtId="0" fontId="38" fillId="5" borderId="0" xfId="0" applyFont="1" applyFill="1" applyBorder="1" applyProtection="1"/>
    <xf numFmtId="16" fontId="38" fillId="5" borderId="0" xfId="0" applyNumberFormat="1" applyFont="1" applyFill="1" applyBorder="1" applyProtection="1"/>
    <xf numFmtId="0" fontId="38" fillId="5" borderId="0" xfId="0" applyFont="1" applyFill="1" applyBorder="1" applyAlignment="1" applyProtection="1">
      <alignment horizontal="center"/>
    </xf>
    <xf numFmtId="0" fontId="42" fillId="5" borderId="0" xfId="0" applyFont="1" applyFill="1" applyBorder="1" applyAlignment="1" applyProtection="1">
      <alignment horizontal="center"/>
    </xf>
    <xf numFmtId="0" fontId="38" fillId="5" borderId="5" xfId="0" applyFont="1" applyFill="1" applyBorder="1" applyProtection="1"/>
    <xf numFmtId="0" fontId="27" fillId="5" borderId="0" xfId="0" applyFont="1" applyFill="1" applyBorder="1" applyProtection="1"/>
    <xf numFmtId="0" fontId="13" fillId="5" borderId="4" xfId="0" applyFont="1" applyFill="1" applyBorder="1" applyAlignment="1" applyProtection="1">
      <alignment horizontal="center"/>
    </xf>
    <xf numFmtId="16" fontId="13" fillId="5" borderId="0" xfId="0" applyNumberFormat="1" applyFont="1" applyFill="1" applyBorder="1" applyAlignment="1" applyProtection="1">
      <alignment horizontal="center"/>
    </xf>
    <xf numFmtId="0" fontId="44" fillId="5" borderId="0" xfId="0" applyFont="1" applyFill="1" applyBorder="1" applyAlignment="1" applyProtection="1">
      <alignment horizontal="center"/>
    </xf>
    <xf numFmtId="0" fontId="13" fillId="5" borderId="5" xfId="0" applyFont="1" applyFill="1" applyBorder="1" applyAlignment="1" applyProtection="1">
      <alignment horizontal="center"/>
    </xf>
    <xf numFmtId="0" fontId="17" fillId="5" borderId="0" xfId="0" applyFont="1" applyFill="1" applyBorder="1" applyProtection="1"/>
    <xf numFmtId="171" fontId="17" fillId="5" borderId="0" xfId="0" applyNumberFormat="1" applyFont="1" applyFill="1" applyBorder="1" applyAlignment="1" applyProtection="1">
      <alignment horizontal="right"/>
    </xf>
    <xf numFmtId="171" fontId="13" fillId="5" borderId="0" xfId="0" applyNumberFormat="1" applyFont="1" applyFill="1" applyBorder="1" applyAlignment="1" applyProtection="1">
      <alignment horizontal="right"/>
    </xf>
    <xf numFmtId="0" fontId="13" fillId="5" borderId="6" xfId="0" applyFont="1" applyFill="1" applyBorder="1" applyProtection="1"/>
    <xf numFmtId="0" fontId="13" fillId="5" borderId="7" xfId="0" applyFont="1" applyFill="1" applyBorder="1" applyProtection="1"/>
    <xf numFmtId="0" fontId="17" fillId="5" borderId="7" xfId="0" applyFont="1" applyFill="1" applyBorder="1" applyProtection="1"/>
    <xf numFmtId="171" fontId="17" fillId="5" borderId="7" xfId="0" applyNumberFormat="1" applyFont="1" applyFill="1" applyBorder="1" applyAlignment="1" applyProtection="1">
      <alignment horizontal="right"/>
    </xf>
    <xf numFmtId="171" fontId="13" fillId="5" borderId="7" xfId="0" applyNumberFormat="1" applyFont="1" applyFill="1" applyBorder="1" applyAlignment="1" applyProtection="1">
      <alignment horizontal="right"/>
    </xf>
    <xf numFmtId="0" fontId="13" fillId="5" borderId="7" xfId="0" applyFont="1" applyFill="1" applyBorder="1" applyAlignment="1" applyProtection="1">
      <alignment horizontal="center"/>
    </xf>
    <xf numFmtId="0" fontId="52" fillId="5" borderId="7" xfId="0" applyFont="1" applyFill="1" applyBorder="1" applyAlignment="1" applyProtection="1">
      <alignment horizontal="right"/>
    </xf>
    <xf numFmtId="0" fontId="13" fillId="5" borderId="8" xfId="0" applyFont="1" applyFill="1" applyBorder="1" applyProtection="1"/>
    <xf numFmtId="0" fontId="17" fillId="5" borderId="2" xfId="0" applyFont="1" applyFill="1" applyBorder="1" applyProtection="1"/>
    <xf numFmtId="171" fontId="17" fillId="5" borderId="2" xfId="0" applyNumberFormat="1" applyFont="1" applyFill="1" applyBorder="1" applyAlignment="1" applyProtection="1">
      <alignment horizontal="right"/>
    </xf>
    <xf numFmtId="171" fontId="13" fillId="5" borderId="2" xfId="0" applyNumberFormat="1" applyFont="1" applyFill="1" applyBorder="1" applyAlignment="1" applyProtection="1">
      <alignment horizontal="right"/>
    </xf>
    <xf numFmtId="0" fontId="13" fillId="4" borderId="10" xfId="0" applyFont="1" applyFill="1" applyBorder="1" applyProtection="1"/>
    <xf numFmtId="0" fontId="17" fillId="4" borderId="11" xfId="0" applyFont="1" applyFill="1" applyBorder="1" applyProtection="1"/>
    <xf numFmtId="171" fontId="17" fillId="4" borderId="11" xfId="0" applyNumberFormat="1" applyFont="1" applyFill="1" applyBorder="1" applyAlignment="1" applyProtection="1">
      <alignment horizontal="right"/>
    </xf>
    <xf numFmtId="0" fontId="13" fillId="4" borderId="11" xfId="0" applyFont="1" applyFill="1" applyBorder="1" applyProtection="1"/>
    <xf numFmtId="171" fontId="13" fillId="4" borderId="11" xfId="0" applyNumberFormat="1" applyFont="1" applyFill="1" applyBorder="1" applyAlignment="1" applyProtection="1">
      <alignment horizontal="right"/>
    </xf>
    <xf numFmtId="0" fontId="13" fillId="4" borderId="11" xfId="0" applyFont="1" applyFill="1" applyBorder="1" applyAlignment="1" applyProtection="1">
      <alignment horizontal="center"/>
    </xf>
    <xf numFmtId="0" fontId="13" fillId="4" borderId="12" xfId="0" applyFont="1" applyFill="1" applyBorder="1" applyProtection="1"/>
    <xf numFmtId="0" fontId="13" fillId="4" borderId="13" xfId="0" applyFont="1" applyFill="1" applyBorder="1" applyProtection="1"/>
    <xf numFmtId="171" fontId="17" fillId="4" borderId="14" xfId="0" applyNumberFormat="1" applyFont="1" applyFill="1" applyBorder="1" applyAlignment="1" applyProtection="1">
      <alignment horizontal="right"/>
    </xf>
    <xf numFmtId="0" fontId="13" fillId="4" borderId="14" xfId="0" applyFont="1" applyFill="1" applyBorder="1" applyProtection="1"/>
    <xf numFmtId="171" fontId="13" fillId="4" borderId="14" xfId="0" applyNumberFormat="1" applyFont="1" applyFill="1" applyBorder="1" applyAlignment="1" applyProtection="1">
      <alignment horizontal="right"/>
    </xf>
    <xf numFmtId="0" fontId="13" fillId="4" borderId="14" xfId="0" applyFont="1" applyFill="1" applyBorder="1" applyAlignment="1" applyProtection="1">
      <alignment horizontal="center"/>
    </xf>
    <xf numFmtId="0" fontId="13" fillId="4" borderId="15" xfId="0" applyFont="1" applyFill="1" applyBorder="1" applyProtection="1"/>
    <xf numFmtId="0" fontId="13" fillId="4" borderId="14" xfId="0" applyFont="1" applyFill="1" applyBorder="1" applyAlignment="1" applyProtection="1">
      <alignment horizontal="right"/>
    </xf>
    <xf numFmtId="0" fontId="17" fillId="4" borderId="14" xfId="0" applyFont="1" applyFill="1" applyBorder="1" applyProtection="1"/>
    <xf numFmtId="0" fontId="17" fillId="4" borderId="14" xfId="0" applyFont="1" applyFill="1" applyBorder="1" applyAlignment="1" applyProtection="1">
      <alignment horizontal="center"/>
    </xf>
    <xf numFmtId="0" fontId="36" fillId="4" borderId="14" xfId="0" applyFont="1" applyFill="1" applyBorder="1" applyProtection="1"/>
    <xf numFmtId="0" fontId="13" fillId="4" borderId="16" xfId="0" applyFont="1" applyFill="1" applyBorder="1" applyProtection="1"/>
    <xf numFmtId="0" fontId="17" fillId="4" borderId="17" xfId="0" applyFont="1" applyFill="1" applyBorder="1" applyProtection="1"/>
    <xf numFmtId="171" fontId="17" fillId="4" borderId="17" xfId="0" applyNumberFormat="1" applyFont="1" applyFill="1" applyBorder="1" applyAlignment="1" applyProtection="1">
      <alignment horizontal="right"/>
    </xf>
    <xf numFmtId="0" fontId="13" fillId="4" borderId="17" xfId="0" applyFont="1" applyFill="1" applyBorder="1" applyProtection="1"/>
    <xf numFmtId="171" fontId="13" fillId="4" borderId="17" xfId="0" applyNumberFormat="1" applyFont="1" applyFill="1" applyBorder="1" applyAlignment="1" applyProtection="1">
      <alignment horizontal="right"/>
    </xf>
    <xf numFmtId="0" fontId="13" fillId="4" borderId="17" xfId="0" applyFont="1" applyFill="1" applyBorder="1" applyAlignment="1" applyProtection="1">
      <alignment horizontal="center"/>
    </xf>
    <xf numFmtId="0" fontId="13" fillId="4" borderId="18" xfId="0" applyFont="1" applyFill="1" applyBorder="1" applyProtection="1"/>
    <xf numFmtId="15" fontId="17" fillId="4" borderId="14" xfId="0" applyNumberFormat="1" applyFont="1" applyFill="1" applyBorder="1" applyAlignment="1" applyProtection="1">
      <alignment horizontal="center"/>
    </xf>
    <xf numFmtId="0" fontId="13" fillId="4" borderId="14" xfId="0" applyFont="1" applyFill="1" applyBorder="1" applyProtection="1">
      <protection locked="0"/>
    </xf>
    <xf numFmtId="0" fontId="13" fillId="4" borderId="14" xfId="0" applyFont="1" applyFill="1" applyBorder="1" applyAlignment="1" applyProtection="1">
      <alignment horizontal="center"/>
      <protection locked="0"/>
    </xf>
    <xf numFmtId="0" fontId="13" fillId="4" borderId="13" xfId="0" applyFont="1" applyFill="1" applyBorder="1" applyAlignment="1" applyProtection="1">
      <alignment horizontal="center"/>
    </xf>
    <xf numFmtId="16" fontId="13" fillId="4" borderId="11" xfId="0" applyNumberFormat="1" applyFont="1" applyFill="1" applyBorder="1" applyProtection="1"/>
    <xf numFmtId="0" fontId="17" fillId="4" borderId="11" xfId="0" applyFont="1" applyFill="1" applyBorder="1" applyAlignment="1" applyProtection="1">
      <alignment horizontal="center"/>
    </xf>
    <xf numFmtId="16" fontId="13" fillId="4" borderId="14" xfId="0" applyNumberFormat="1" applyFont="1" applyFill="1" applyBorder="1" applyProtection="1"/>
    <xf numFmtId="0" fontId="13" fillId="4" borderId="14" xfId="0" applyFont="1" applyFill="1" applyBorder="1" applyAlignment="1" applyProtection="1">
      <alignment horizontal="left"/>
    </xf>
    <xf numFmtId="171" fontId="13" fillId="4" borderId="14" xfId="0" applyNumberFormat="1" applyFont="1" applyFill="1" applyBorder="1" applyAlignment="1" applyProtection="1">
      <alignment horizontal="left"/>
    </xf>
    <xf numFmtId="171" fontId="42" fillId="4" borderId="14" xfId="0" applyNumberFormat="1" applyFont="1" applyFill="1" applyBorder="1" applyAlignment="1" applyProtection="1">
      <alignment horizontal="right"/>
    </xf>
    <xf numFmtId="0" fontId="35" fillId="4" borderId="15" xfId="0" applyFont="1" applyFill="1" applyBorder="1" applyProtection="1"/>
    <xf numFmtId="0" fontId="35" fillId="4" borderId="15" xfId="0" applyFont="1" applyFill="1" applyBorder="1" applyProtection="1">
      <protection locked="0"/>
    </xf>
    <xf numFmtId="0" fontId="13" fillId="4" borderId="15" xfId="0" applyFont="1" applyFill="1" applyBorder="1" applyProtection="1">
      <protection locked="0"/>
    </xf>
    <xf numFmtId="16" fontId="13" fillId="4" borderId="17" xfId="0" applyNumberFormat="1" applyFont="1" applyFill="1" applyBorder="1" applyProtection="1"/>
    <xf numFmtId="0" fontId="17" fillId="4" borderId="17" xfId="0" applyFont="1" applyFill="1" applyBorder="1" applyAlignment="1" applyProtection="1">
      <alignment horizontal="center"/>
    </xf>
    <xf numFmtId="0" fontId="34" fillId="4" borderId="11" xfId="0" applyFont="1" applyFill="1" applyBorder="1" applyProtection="1"/>
    <xf numFmtId="0" fontId="54" fillId="5" borderId="0" xfId="0" applyFont="1" applyFill="1" applyBorder="1" applyAlignment="1" applyProtection="1">
      <alignment horizontal="center"/>
    </xf>
    <xf numFmtId="0" fontId="55" fillId="5" borderId="0" xfId="0" applyFont="1" applyFill="1" applyBorder="1" applyAlignment="1" applyProtection="1">
      <alignment horizontal="center"/>
    </xf>
    <xf numFmtId="15" fontId="54" fillId="5" borderId="0" xfId="0" applyNumberFormat="1" applyFont="1" applyFill="1" applyBorder="1" applyAlignment="1" applyProtection="1">
      <alignment horizontal="center"/>
    </xf>
    <xf numFmtId="0" fontId="55" fillId="5" borderId="0" xfId="0" applyFont="1" applyFill="1" applyBorder="1" applyProtection="1"/>
    <xf numFmtId="0" fontId="53" fillId="5" borderId="0" xfId="0" applyFont="1" applyFill="1" applyBorder="1" applyProtection="1"/>
    <xf numFmtId="0" fontId="13" fillId="5" borderId="14" xfId="0" applyFont="1" applyFill="1" applyBorder="1" applyAlignment="1" applyProtection="1">
      <alignment horizontal="left"/>
      <protection locked="0"/>
    </xf>
    <xf numFmtId="0" fontId="13" fillId="5" borderId="14" xfId="0" applyFont="1" applyFill="1" applyBorder="1" applyAlignment="1" applyProtection="1">
      <alignment horizontal="center"/>
      <protection locked="0"/>
    </xf>
    <xf numFmtId="0" fontId="13" fillId="5" borderId="15" xfId="0" applyFont="1" applyFill="1" applyBorder="1" applyAlignment="1" applyProtection="1">
      <alignment horizontal="left"/>
      <protection locked="0"/>
    </xf>
    <xf numFmtId="0" fontId="13" fillId="5" borderId="13" xfId="0" applyFont="1" applyFill="1" applyBorder="1" applyAlignment="1" applyProtection="1">
      <alignment horizontal="center"/>
      <protection locked="0"/>
    </xf>
    <xf numFmtId="0" fontId="17" fillId="5" borderId="14" xfId="0" applyFont="1" applyFill="1" applyBorder="1" applyAlignment="1" applyProtection="1">
      <alignment horizontal="center"/>
      <protection locked="0"/>
    </xf>
    <xf numFmtId="0" fontId="56" fillId="4" borderId="14" xfId="0" applyFont="1" applyFill="1" applyBorder="1" applyProtection="1"/>
    <xf numFmtId="0" fontId="13" fillId="5" borderId="14" xfId="0" applyFont="1" applyFill="1" applyBorder="1" applyProtection="1">
      <protection locked="0"/>
    </xf>
    <xf numFmtId="171" fontId="13" fillId="6" borderId="14" xfId="0" applyNumberFormat="1" applyFont="1" applyFill="1" applyBorder="1" applyProtection="1"/>
    <xf numFmtId="0" fontId="13" fillId="5" borderId="14" xfId="0" applyFont="1" applyFill="1" applyBorder="1" applyAlignment="1" applyProtection="1">
      <alignment horizontal="center"/>
    </xf>
    <xf numFmtId="0" fontId="57" fillId="4" borderId="14" xfId="0" applyFont="1" applyFill="1" applyBorder="1" applyAlignment="1" applyProtection="1">
      <alignment horizontal="center"/>
    </xf>
    <xf numFmtId="0" fontId="57" fillId="7" borderId="14" xfId="0" applyFont="1" applyFill="1" applyBorder="1" applyAlignment="1" applyProtection="1">
      <alignment horizontal="center"/>
    </xf>
    <xf numFmtId="0" fontId="13" fillId="6" borderId="14" xfId="0" applyFont="1" applyFill="1" applyBorder="1" applyProtection="1"/>
    <xf numFmtId="0" fontId="17" fillId="6" borderId="14" xfId="0" applyFont="1" applyFill="1" applyBorder="1" applyAlignment="1" applyProtection="1">
      <alignment horizontal="center"/>
    </xf>
    <xf numFmtId="0" fontId="13" fillId="5" borderId="14" xfId="0" applyFont="1" applyFill="1" applyBorder="1" applyProtection="1"/>
    <xf numFmtId="0" fontId="13" fillId="4" borderId="19" xfId="0" applyFont="1" applyFill="1" applyBorder="1" applyProtection="1"/>
    <xf numFmtId="0" fontId="17" fillId="4" borderId="20" xfId="0" applyFont="1" applyFill="1" applyBorder="1" applyProtection="1"/>
    <xf numFmtId="171" fontId="17" fillId="4" borderId="20" xfId="0" applyNumberFormat="1" applyFont="1" applyFill="1" applyBorder="1" applyAlignment="1" applyProtection="1">
      <alignment horizontal="right"/>
    </xf>
    <xf numFmtId="0" fontId="13" fillId="4" borderId="20" xfId="0" applyFont="1" applyFill="1" applyBorder="1" applyProtection="1"/>
    <xf numFmtId="0" fontId="13" fillId="4" borderId="20" xfId="0" applyFont="1" applyFill="1" applyBorder="1" applyAlignment="1" applyProtection="1">
      <alignment horizontal="center"/>
    </xf>
    <xf numFmtId="0" fontId="13" fillId="4" borderId="21" xfId="0" applyFont="1" applyFill="1" applyBorder="1" applyProtection="1"/>
    <xf numFmtId="0" fontId="13" fillId="6" borderId="14" xfId="0" applyFont="1" applyFill="1" applyBorder="1" applyAlignment="1" applyProtection="1">
      <alignment horizontal="center"/>
    </xf>
    <xf numFmtId="0" fontId="13" fillId="6" borderId="14" xfId="0" applyFont="1" applyFill="1" applyBorder="1" applyProtection="1">
      <protection locked="0"/>
    </xf>
    <xf numFmtId="0" fontId="59" fillId="4" borderId="0" xfId="0" applyFont="1" applyFill="1" applyBorder="1" applyProtection="1"/>
    <xf numFmtId="171" fontId="59" fillId="4" borderId="0" xfId="0" applyNumberFormat="1" applyFont="1" applyFill="1" applyBorder="1" applyAlignment="1" applyProtection="1">
      <alignment horizontal="right"/>
    </xf>
    <xf numFmtId="0" fontId="60" fillId="4" borderId="0" xfId="0" applyFont="1" applyFill="1" applyBorder="1" applyProtection="1"/>
    <xf numFmtId="171" fontId="60" fillId="4" borderId="0" xfId="0" applyNumberFormat="1" applyFont="1" applyFill="1" applyBorder="1" applyAlignment="1" applyProtection="1">
      <alignment horizontal="right"/>
    </xf>
    <xf numFmtId="0" fontId="61" fillId="4" borderId="0" xfId="0" applyFont="1" applyFill="1" applyBorder="1" applyAlignment="1" applyProtection="1">
      <alignment horizontal="center"/>
    </xf>
    <xf numFmtId="171" fontId="61" fillId="4" borderId="0" xfId="0" applyNumberFormat="1" applyFont="1" applyFill="1" applyBorder="1" applyAlignment="1" applyProtection="1">
      <alignment horizontal="right"/>
    </xf>
    <xf numFmtId="0" fontId="61" fillId="4" borderId="0" xfId="0" applyFont="1" applyFill="1" applyBorder="1" applyProtection="1"/>
    <xf numFmtId="15" fontId="61" fillId="4" borderId="0" xfId="0" applyNumberFormat="1" applyFont="1" applyFill="1" applyBorder="1" applyAlignment="1" applyProtection="1">
      <alignment horizontal="center"/>
    </xf>
    <xf numFmtId="0" fontId="62" fillId="4" borderId="0" xfId="0" applyFont="1" applyFill="1" applyBorder="1" applyAlignment="1" applyProtection="1">
      <alignment horizontal="left"/>
    </xf>
    <xf numFmtId="0" fontId="60" fillId="4" borderId="0" xfId="0" applyFont="1" applyFill="1" applyBorder="1" applyAlignment="1" applyProtection="1">
      <alignment horizontal="left"/>
    </xf>
    <xf numFmtId="0" fontId="60" fillId="4" borderId="0" xfId="0" applyFont="1" applyFill="1" applyBorder="1" applyAlignment="1" applyProtection="1">
      <alignment horizontal="center"/>
    </xf>
    <xf numFmtId="15" fontId="60" fillId="4" borderId="0" xfId="0" applyNumberFormat="1" applyFont="1" applyFill="1" applyBorder="1" applyAlignment="1" applyProtection="1">
      <alignment horizontal="center"/>
    </xf>
    <xf numFmtId="171" fontId="60" fillId="4" borderId="0" xfId="0" applyNumberFormat="1" applyFont="1" applyFill="1" applyBorder="1" applyAlignment="1" applyProtection="1">
      <alignment horizontal="left"/>
    </xf>
    <xf numFmtId="2" fontId="60" fillId="4" borderId="0" xfId="0" applyNumberFormat="1" applyFont="1" applyFill="1" applyBorder="1" applyAlignment="1" applyProtection="1">
      <alignment horizontal="center"/>
    </xf>
    <xf numFmtId="1" fontId="60" fillId="4" borderId="0" xfId="0" applyNumberFormat="1" applyFont="1" applyFill="1" applyBorder="1" applyAlignment="1" applyProtection="1">
      <alignment horizontal="center"/>
    </xf>
    <xf numFmtId="171" fontId="59" fillId="4" borderId="0" xfId="0" applyNumberFormat="1" applyFont="1" applyFill="1" applyBorder="1" applyAlignment="1" applyProtection="1">
      <alignment horizontal="left"/>
    </xf>
    <xf numFmtId="0" fontId="59" fillId="4" borderId="0" xfId="0" applyFont="1" applyFill="1" applyBorder="1" applyAlignment="1" applyProtection="1">
      <alignment horizontal="left"/>
    </xf>
    <xf numFmtId="0" fontId="59" fillId="4" borderId="0" xfId="0" applyFont="1" applyFill="1" applyBorder="1" applyAlignment="1" applyProtection="1">
      <alignment horizontal="center"/>
    </xf>
    <xf numFmtId="1" fontId="59" fillId="4" borderId="0" xfId="0" applyNumberFormat="1" applyFont="1" applyFill="1" applyBorder="1" applyAlignment="1" applyProtection="1">
      <alignment horizontal="center"/>
    </xf>
    <xf numFmtId="0" fontId="60" fillId="4" borderId="0" xfId="0" applyFont="1" applyFill="1" applyProtection="1"/>
    <xf numFmtId="0" fontId="60" fillId="4" borderId="0" xfId="0" applyNumberFormat="1" applyFont="1" applyFill="1" applyBorder="1" applyAlignment="1" applyProtection="1">
      <alignment horizontal="justify" vertical="top" wrapText="1"/>
    </xf>
    <xf numFmtId="0" fontId="58" fillId="6" borderId="14" xfId="0" applyFont="1" applyFill="1" applyBorder="1" applyAlignment="1" applyProtection="1">
      <alignment horizontal="center"/>
    </xf>
    <xf numFmtId="0" fontId="23" fillId="4" borderId="14" xfId="0" applyFont="1" applyFill="1" applyBorder="1" applyProtection="1"/>
    <xf numFmtId="0" fontId="63" fillId="4" borderId="14" xfId="0" applyFont="1" applyFill="1" applyBorder="1" applyProtection="1"/>
    <xf numFmtId="0" fontId="64" fillId="4" borderId="14" xfId="0" applyFont="1" applyFill="1" applyBorder="1" applyProtection="1"/>
    <xf numFmtId="0" fontId="55" fillId="4" borderId="14" xfId="0" applyFont="1" applyFill="1" applyBorder="1" applyProtection="1"/>
    <xf numFmtId="0" fontId="17" fillId="4" borderId="0" xfId="0" applyFont="1" applyFill="1" applyProtection="1"/>
    <xf numFmtId="0" fontId="42" fillId="4" borderId="0" xfId="0" applyFont="1" applyFill="1" applyProtection="1"/>
    <xf numFmtId="4" fontId="13" fillId="4" borderId="0" xfId="0" applyNumberFormat="1" applyFont="1" applyFill="1" applyProtection="1"/>
    <xf numFmtId="2" fontId="13" fillId="4" borderId="0" xfId="0" applyNumberFormat="1" applyFont="1" applyFill="1" applyProtection="1"/>
    <xf numFmtId="165" fontId="17" fillId="4" borderId="0" xfId="0" applyNumberFormat="1" applyFont="1" applyFill="1" applyBorder="1" applyProtection="1"/>
    <xf numFmtId="166" fontId="13" fillId="4" borderId="0" xfId="0" applyNumberFormat="1" applyFont="1" applyFill="1" applyBorder="1" applyAlignment="1" applyProtection="1">
      <alignment horizontal="center"/>
    </xf>
    <xf numFmtId="166" fontId="17" fillId="4" borderId="0" xfId="0" applyNumberFormat="1" applyFont="1" applyFill="1" applyBorder="1" applyAlignment="1" applyProtection="1">
      <alignment horizontal="center"/>
    </xf>
    <xf numFmtId="164" fontId="13" fillId="4" borderId="0" xfId="0" applyNumberFormat="1" applyFont="1" applyFill="1" applyBorder="1" applyAlignment="1" applyProtection="1">
      <alignment horizontal="center"/>
    </xf>
    <xf numFmtId="171" fontId="42" fillId="5" borderId="0" xfId="0" applyNumberFormat="1" applyFont="1" applyFill="1" applyBorder="1" applyAlignment="1" applyProtection="1">
      <alignment horizontal="center"/>
    </xf>
    <xf numFmtId="0" fontId="45" fillId="5" borderId="0" xfId="0" applyFont="1" applyFill="1" applyBorder="1" applyProtection="1"/>
    <xf numFmtId="171" fontId="17" fillId="5" borderId="0" xfId="0" applyNumberFormat="1" applyFont="1" applyFill="1" applyBorder="1" applyAlignment="1" applyProtection="1">
      <alignment horizontal="center"/>
    </xf>
    <xf numFmtId="0" fontId="38" fillId="4" borderId="13" xfId="0" applyFont="1" applyFill="1" applyBorder="1" applyProtection="1"/>
    <xf numFmtId="0" fontId="38" fillId="4" borderId="14" xfId="0" applyFont="1" applyFill="1" applyBorder="1" applyProtection="1"/>
    <xf numFmtId="0" fontId="38" fillId="4" borderId="14" xfId="0" applyFont="1" applyFill="1" applyBorder="1" applyAlignment="1" applyProtection="1">
      <alignment horizontal="center"/>
    </xf>
    <xf numFmtId="0" fontId="38" fillId="4" borderId="15" xfId="0" applyFont="1" applyFill="1" applyBorder="1" applyProtection="1"/>
    <xf numFmtId="0" fontId="17" fillId="4" borderId="14" xfId="0" applyFont="1" applyFill="1" applyBorder="1" applyAlignment="1" applyProtection="1">
      <alignment horizontal="right"/>
    </xf>
    <xf numFmtId="2" fontId="13" fillId="4" borderId="14" xfId="0" applyNumberFormat="1" applyFont="1" applyFill="1" applyBorder="1" applyAlignment="1" applyProtection="1">
      <alignment horizontal="center"/>
    </xf>
    <xf numFmtId="2" fontId="13" fillId="4" borderId="14" xfId="0" applyNumberFormat="1" applyFont="1" applyFill="1" applyBorder="1" applyProtection="1"/>
    <xf numFmtId="165" fontId="17" fillId="4" borderId="14" xfId="0" applyNumberFormat="1" applyFont="1" applyFill="1" applyBorder="1" applyAlignment="1" applyProtection="1">
      <alignment horizontal="center"/>
    </xf>
    <xf numFmtId="165" fontId="17" fillId="4" borderId="14" xfId="0" applyNumberFormat="1" applyFont="1" applyFill="1" applyBorder="1" applyProtection="1"/>
    <xf numFmtId="164" fontId="17" fillId="4" borderId="14" xfId="0" applyNumberFormat="1" applyFont="1" applyFill="1" applyBorder="1" applyAlignment="1" applyProtection="1">
      <alignment horizontal="center"/>
    </xf>
    <xf numFmtId="0" fontId="23" fillId="4" borderId="14" xfId="0" applyFont="1" applyFill="1" applyBorder="1" applyAlignment="1" applyProtection="1">
      <alignment horizontal="center"/>
    </xf>
    <xf numFmtId="0" fontId="56" fillId="4" borderId="14" xfId="0" applyFont="1" applyFill="1" applyBorder="1" applyAlignment="1" applyProtection="1">
      <alignment horizontal="left"/>
    </xf>
    <xf numFmtId="49" fontId="56" fillId="4" borderId="14" xfId="0" applyNumberFormat="1" applyFont="1" applyFill="1" applyBorder="1" applyAlignment="1" applyProtection="1">
      <alignment horizontal="left"/>
    </xf>
    <xf numFmtId="49" fontId="56" fillId="4" borderId="14" xfId="0" applyNumberFormat="1" applyFont="1" applyFill="1" applyBorder="1" applyAlignment="1" applyProtection="1">
      <alignment horizontal="center"/>
    </xf>
    <xf numFmtId="0" fontId="54" fillId="4" borderId="14" xfId="0" applyFont="1" applyFill="1" applyBorder="1" applyAlignment="1" applyProtection="1">
      <alignment horizontal="center"/>
    </xf>
    <xf numFmtId="2" fontId="13" fillId="6" borderId="14" xfId="0" applyNumberFormat="1" applyFont="1" applyFill="1" applyBorder="1" applyAlignment="1" applyProtection="1">
      <alignment horizontal="center"/>
    </xf>
    <xf numFmtId="165" fontId="65" fillId="7" borderId="14" xfId="0" applyNumberFormat="1" applyFont="1" applyFill="1" applyBorder="1" applyAlignment="1" applyProtection="1">
      <alignment horizontal="center"/>
    </xf>
    <xf numFmtId="164" fontId="65" fillId="7" borderId="14" xfId="0" applyNumberFormat="1" applyFont="1" applyFill="1" applyBorder="1" applyAlignment="1" applyProtection="1">
      <alignment horizontal="center"/>
    </xf>
    <xf numFmtId="165" fontId="65" fillId="7" borderId="9" xfId="0" applyNumberFormat="1" applyFont="1" applyFill="1" applyBorder="1" applyAlignment="1" applyProtection="1">
      <alignment horizontal="center"/>
    </xf>
    <xf numFmtId="0" fontId="13" fillId="4" borderId="16" xfId="0" applyFont="1" applyFill="1" applyBorder="1" applyAlignment="1" applyProtection="1">
      <alignment horizontal="center"/>
    </xf>
    <xf numFmtId="165" fontId="17" fillId="6" borderId="14" xfId="4" applyFont="1" applyFill="1" applyBorder="1" applyAlignment="1" applyProtection="1">
      <alignment horizontal="center"/>
    </xf>
    <xf numFmtId="165" fontId="65" fillId="7" borderId="14" xfId="4" applyFont="1" applyFill="1" applyBorder="1" applyAlignment="1" applyProtection="1">
      <alignment horizontal="center"/>
    </xf>
    <xf numFmtId="0" fontId="17" fillId="4" borderId="0" xfId="0" applyFont="1" applyFill="1" applyAlignment="1" applyProtection="1">
      <alignment horizontal="right"/>
    </xf>
    <xf numFmtId="0" fontId="17" fillId="4" borderId="0" xfId="0" applyFont="1" applyFill="1" applyBorder="1" applyAlignment="1" applyProtection="1">
      <alignment horizontal="right"/>
    </xf>
    <xf numFmtId="0" fontId="13" fillId="4" borderId="0" xfId="0" applyFont="1" applyFill="1" applyBorder="1" applyAlignment="1" applyProtection="1">
      <alignment horizontal="right"/>
    </xf>
    <xf numFmtId="2" fontId="13" fillId="4" borderId="0" xfId="0" applyNumberFormat="1" applyFont="1" applyFill="1" applyBorder="1" applyProtection="1"/>
    <xf numFmtId="172" fontId="13" fillId="4" borderId="0" xfId="0" applyNumberFormat="1" applyFont="1" applyFill="1" applyBorder="1" applyProtection="1"/>
    <xf numFmtId="172" fontId="17" fillId="4" borderId="0" xfId="0" applyNumberFormat="1" applyFont="1" applyFill="1" applyBorder="1" applyProtection="1"/>
    <xf numFmtId="0" fontId="23" fillId="4" borderId="0" xfId="0" applyFont="1" applyFill="1" applyProtection="1"/>
    <xf numFmtId="0" fontId="17" fillId="5" borderId="2" xfId="0" applyFont="1" applyFill="1" applyBorder="1" applyAlignment="1" applyProtection="1">
      <alignment horizontal="right"/>
    </xf>
    <xf numFmtId="0" fontId="17" fillId="5" borderId="0" xfId="0" applyFont="1" applyFill="1" applyBorder="1" applyAlignment="1" applyProtection="1">
      <alignment horizontal="right"/>
    </xf>
    <xf numFmtId="0" fontId="37" fillId="5" borderId="0" xfId="0" applyFont="1" applyFill="1" applyBorder="1" applyAlignment="1" applyProtection="1">
      <alignment horizontal="left"/>
    </xf>
    <xf numFmtId="0" fontId="27" fillId="5" borderId="0" xfId="0" applyFont="1" applyFill="1" applyBorder="1" applyAlignment="1" applyProtection="1">
      <alignment horizontal="left"/>
    </xf>
    <xf numFmtId="0" fontId="13" fillId="5" borderId="0" xfId="0" applyFont="1" applyFill="1" applyBorder="1" applyAlignment="1" applyProtection="1">
      <alignment horizontal="right"/>
    </xf>
    <xf numFmtId="2" fontId="13" fillId="5" borderId="0" xfId="0" applyNumberFormat="1" applyFont="1" applyFill="1" applyBorder="1" applyProtection="1"/>
    <xf numFmtId="2" fontId="13" fillId="5" borderId="0" xfId="0" applyNumberFormat="1" applyFont="1" applyFill="1" applyBorder="1" applyAlignment="1" applyProtection="1">
      <alignment horizontal="center"/>
    </xf>
    <xf numFmtId="172" fontId="17" fillId="5" borderId="0" xfId="0" applyNumberFormat="1" applyFont="1" applyFill="1" applyBorder="1" applyProtection="1"/>
    <xf numFmtId="0" fontId="17" fillId="5" borderId="7" xfId="0" applyFont="1" applyFill="1" applyBorder="1" applyAlignment="1" applyProtection="1">
      <alignment horizontal="center"/>
    </xf>
    <xf numFmtId="172" fontId="17" fillId="5" borderId="7" xfId="0" applyNumberFormat="1" applyFont="1" applyFill="1" applyBorder="1" applyProtection="1"/>
    <xf numFmtId="0" fontId="17" fillId="5" borderId="2" xfId="0" applyFont="1" applyFill="1" applyBorder="1" applyAlignment="1" applyProtection="1">
      <alignment horizontal="center"/>
    </xf>
    <xf numFmtId="172" fontId="17" fillId="5" borderId="2" xfId="0" applyNumberFormat="1" applyFont="1" applyFill="1" applyBorder="1" applyProtection="1"/>
    <xf numFmtId="0" fontId="23" fillId="5" borderId="4" xfId="0" applyFont="1" applyFill="1" applyBorder="1" applyProtection="1"/>
    <xf numFmtId="0" fontId="23" fillId="5" borderId="5" xfId="0" applyFont="1" applyFill="1" applyBorder="1" applyProtection="1"/>
    <xf numFmtId="0" fontId="13" fillId="5" borderId="0" xfId="0" applyFont="1" applyFill="1" applyBorder="1" applyAlignment="1" applyProtection="1">
      <alignment horizontal="left"/>
    </xf>
    <xf numFmtId="0" fontId="23" fillId="5" borderId="0" xfId="0" applyFont="1" applyFill="1" applyBorder="1" applyProtection="1"/>
    <xf numFmtId="172" fontId="13" fillId="5" borderId="0" xfId="0" applyNumberFormat="1" applyFont="1" applyFill="1" applyBorder="1" applyProtection="1"/>
    <xf numFmtId="165" fontId="13" fillId="5" borderId="0" xfId="0" applyNumberFormat="1" applyFont="1" applyFill="1" applyBorder="1" applyProtection="1"/>
    <xf numFmtId="0" fontId="13" fillId="5" borderId="7" xfId="0" applyFont="1" applyFill="1" applyBorder="1" applyAlignment="1" applyProtection="1">
      <alignment horizontal="right"/>
    </xf>
    <xf numFmtId="0" fontId="22" fillId="5" borderId="0" xfId="0" applyFont="1" applyFill="1" applyBorder="1" applyAlignment="1" applyProtection="1">
      <alignment horizontal="center"/>
    </xf>
    <xf numFmtId="0" fontId="17" fillId="5" borderId="0" xfId="0" applyFont="1" applyFill="1" applyBorder="1" applyAlignment="1" applyProtection="1">
      <alignment horizontal="left"/>
    </xf>
    <xf numFmtId="0" fontId="42" fillId="5" borderId="0" xfId="0" applyFont="1" applyFill="1" applyBorder="1" applyAlignment="1" applyProtection="1">
      <alignment horizontal="left"/>
    </xf>
    <xf numFmtId="0" fontId="23" fillId="5" borderId="0" xfId="0" applyFont="1" applyFill="1" applyBorder="1" applyAlignment="1" applyProtection="1">
      <alignment horizontal="left"/>
    </xf>
    <xf numFmtId="0" fontId="17" fillId="5" borderId="5" xfId="0" applyFont="1" applyFill="1" applyBorder="1" applyProtection="1"/>
    <xf numFmtId="0" fontId="17" fillId="5" borderId="7" xfId="0" applyFont="1" applyFill="1" applyBorder="1" applyAlignment="1" applyProtection="1">
      <alignment horizontal="right"/>
    </xf>
    <xf numFmtId="0" fontId="59" fillId="4" borderId="0" xfId="0" applyFont="1" applyFill="1" applyAlignment="1" applyProtection="1">
      <alignment horizontal="right"/>
    </xf>
    <xf numFmtId="0" fontId="60" fillId="4" borderId="0" xfId="0" applyFont="1" applyFill="1" applyAlignment="1" applyProtection="1">
      <alignment horizontal="center"/>
    </xf>
    <xf numFmtId="0" fontId="59" fillId="4" borderId="0" xfId="0" applyFont="1" applyFill="1" applyProtection="1"/>
    <xf numFmtId="164" fontId="60" fillId="4" borderId="0" xfId="0" applyNumberFormat="1" applyFont="1" applyFill="1" applyAlignment="1" applyProtection="1">
      <alignment horizontal="left"/>
    </xf>
    <xf numFmtId="172" fontId="60" fillId="4" borderId="0" xfId="0" applyNumberFormat="1" applyFont="1" applyFill="1" applyBorder="1" applyAlignment="1" applyProtection="1">
      <alignment horizontal="left"/>
    </xf>
    <xf numFmtId="0" fontId="60" fillId="4" borderId="0" xfId="0" applyFont="1" applyFill="1" applyAlignment="1" applyProtection="1">
      <alignment horizontal="left"/>
    </xf>
    <xf numFmtId="172" fontId="60" fillId="4" borderId="0" xfId="0" applyNumberFormat="1" applyFont="1" applyFill="1" applyAlignment="1" applyProtection="1">
      <alignment horizontal="left"/>
    </xf>
    <xf numFmtId="0" fontId="17" fillId="4" borderId="11" xfId="0" applyFont="1" applyFill="1" applyBorder="1" applyAlignment="1" applyProtection="1">
      <alignment horizontal="right"/>
    </xf>
    <xf numFmtId="172" fontId="13" fillId="4" borderId="14" xfId="0" applyNumberFormat="1" applyFont="1" applyFill="1" applyBorder="1" applyProtection="1"/>
    <xf numFmtId="172" fontId="38" fillId="4" borderId="14" xfId="0" applyNumberFormat="1" applyFont="1" applyFill="1" applyBorder="1" applyProtection="1"/>
    <xf numFmtId="0" fontId="23" fillId="4" borderId="14" xfId="0" applyFont="1" applyFill="1" applyBorder="1" applyAlignment="1" applyProtection="1">
      <alignment horizontal="left"/>
    </xf>
    <xf numFmtId="0" fontId="23" fillId="4" borderId="13" xfId="0" applyFont="1" applyFill="1" applyBorder="1" applyAlignment="1" applyProtection="1">
      <alignment horizontal="right"/>
    </xf>
    <xf numFmtId="171" fontId="13" fillId="4" borderId="14" xfId="0" applyNumberFormat="1" applyFont="1" applyFill="1" applyBorder="1" applyAlignment="1" applyProtection="1">
      <alignment horizontal="center"/>
    </xf>
    <xf numFmtId="0" fontId="23" fillId="4" borderId="14" xfId="0" applyFont="1" applyFill="1" applyBorder="1" applyAlignment="1" applyProtection="1">
      <alignment horizontal="right"/>
    </xf>
    <xf numFmtId="0" fontId="22" fillId="4" borderId="14" xfId="0" applyFont="1" applyFill="1" applyBorder="1" applyAlignment="1" applyProtection="1">
      <alignment horizontal="left"/>
    </xf>
    <xf numFmtId="172" fontId="17" fillId="4" borderId="14" xfId="0" applyNumberFormat="1" applyFont="1" applyFill="1" applyBorder="1" applyProtection="1"/>
    <xf numFmtId="172" fontId="23" fillId="4" borderId="14" xfId="0" applyNumberFormat="1" applyFont="1" applyFill="1" applyBorder="1" applyProtection="1"/>
    <xf numFmtId="172" fontId="17" fillId="4" borderId="17" xfId="0" applyNumberFormat="1" applyFont="1" applyFill="1" applyBorder="1" applyProtection="1"/>
    <xf numFmtId="0" fontId="17" fillId="4" borderId="17" xfId="0" applyFont="1" applyFill="1" applyBorder="1" applyAlignment="1" applyProtection="1">
      <alignment horizontal="right"/>
    </xf>
    <xf numFmtId="2" fontId="13" fillId="4" borderId="17" xfId="0" applyNumberFormat="1" applyFont="1" applyFill="1" applyBorder="1" applyProtection="1"/>
    <xf numFmtId="172" fontId="13" fillId="4" borderId="11" xfId="0" applyNumberFormat="1" applyFont="1" applyFill="1" applyBorder="1" applyProtection="1"/>
    <xf numFmtId="0" fontId="12" fillId="5" borderId="0" xfId="0" applyFont="1" applyFill="1" applyBorder="1" applyAlignment="1" applyProtection="1">
      <alignment horizontal="left"/>
    </xf>
    <xf numFmtId="0" fontId="53" fillId="5" borderId="0" xfId="0" applyFont="1" applyFill="1" applyBorder="1" applyAlignment="1" applyProtection="1">
      <alignment horizontal="left"/>
    </xf>
    <xf numFmtId="49" fontId="54" fillId="5" borderId="0" xfId="0" applyNumberFormat="1" applyFont="1" applyFill="1" applyBorder="1" applyAlignment="1" applyProtection="1">
      <alignment horizontal="center"/>
    </xf>
    <xf numFmtId="14" fontId="54" fillId="5" borderId="0" xfId="0" applyNumberFormat="1" applyFont="1" applyFill="1" applyBorder="1" applyAlignment="1" applyProtection="1">
      <alignment horizontal="center"/>
    </xf>
    <xf numFmtId="2" fontId="13" fillId="5" borderId="14" xfId="0" applyNumberFormat="1" applyFont="1" applyFill="1" applyBorder="1" applyAlignment="1" applyProtection="1">
      <alignment horizontal="center"/>
      <protection locked="0"/>
    </xf>
    <xf numFmtId="172" fontId="13" fillId="6" borderId="14" xfId="0" applyNumberFormat="1" applyFont="1" applyFill="1" applyBorder="1" applyProtection="1"/>
    <xf numFmtId="172" fontId="65" fillId="7" borderId="14" xfId="0" applyNumberFormat="1" applyFont="1" applyFill="1" applyBorder="1" applyProtection="1"/>
    <xf numFmtId="172" fontId="13" fillId="5" borderId="14" xfId="0" applyNumberFormat="1" applyFont="1" applyFill="1" applyBorder="1" applyProtection="1">
      <protection locked="0"/>
    </xf>
    <xf numFmtId="172" fontId="58" fillId="6" borderId="14" xfId="0" applyNumberFormat="1" applyFont="1" applyFill="1" applyBorder="1" applyProtection="1"/>
    <xf numFmtId="172" fontId="69" fillId="7" borderId="14" xfId="0" applyNumberFormat="1" applyFont="1" applyFill="1" applyBorder="1" applyProtection="1"/>
    <xf numFmtId="164" fontId="13" fillId="5" borderId="14" xfId="0" applyNumberFormat="1" applyFont="1" applyFill="1" applyBorder="1" applyProtection="1">
      <protection locked="0"/>
    </xf>
    <xf numFmtId="164" fontId="13" fillId="5" borderId="14" xfId="0" applyNumberFormat="1" applyFont="1" applyFill="1" applyBorder="1" applyAlignment="1" applyProtection="1">
      <alignment horizontal="center"/>
      <protection locked="0"/>
    </xf>
    <xf numFmtId="4" fontId="13" fillId="4" borderId="14" xfId="0" applyNumberFormat="1" applyFont="1" applyFill="1" applyBorder="1" applyProtection="1"/>
    <xf numFmtId="165" fontId="13" fillId="4" borderId="14" xfId="0" applyNumberFormat="1" applyFont="1" applyFill="1" applyBorder="1" applyProtection="1"/>
    <xf numFmtId="0" fontId="23" fillId="4" borderId="13" xfId="0" applyFont="1" applyFill="1" applyBorder="1" applyProtection="1"/>
    <xf numFmtId="0" fontId="23" fillId="4" borderId="15" xfId="0" applyFont="1" applyFill="1" applyBorder="1" applyProtection="1"/>
    <xf numFmtId="0" fontId="17" fillId="4" borderId="14" xfId="0" applyFont="1" applyFill="1" applyBorder="1" applyAlignment="1" applyProtection="1">
      <alignment horizontal="left"/>
    </xf>
    <xf numFmtId="164" fontId="13" fillId="4" borderId="14" xfId="0" applyNumberFormat="1" applyFont="1" applyFill="1" applyBorder="1" applyProtection="1"/>
    <xf numFmtId="0" fontId="22" fillId="4" borderId="14" xfId="0" quotePrefix="1" applyFont="1" applyFill="1" applyBorder="1" applyProtection="1"/>
    <xf numFmtId="0" fontId="22" fillId="4" borderId="14" xfId="0" applyFont="1" applyFill="1" applyBorder="1" applyProtection="1"/>
    <xf numFmtId="172" fontId="13" fillId="4" borderId="17" xfId="0" applyNumberFormat="1" applyFont="1" applyFill="1" applyBorder="1" applyProtection="1"/>
    <xf numFmtId="10" fontId="13" fillId="4" borderId="14" xfId="0" applyNumberFormat="1" applyFont="1" applyFill="1" applyBorder="1" applyAlignment="1" applyProtection="1">
      <alignment horizontal="center"/>
    </xf>
    <xf numFmtId="168" fontId="22" fillId="4" borderId="14" xfId="0" applyNumberFormat="1" applyFont="1" applyFill="1" applyBorder="1" applyAlignment="1" applyProtection="1">
      <alignment horizontal="center"/>
    </xf>
    <xf numFmtId="0" fontId="13" fillId="4" borderId="14" xfId="0" applyNumberFormat="1" applyFont="1" applyFill="1" applyBorder="1" applyAlignment="1" applyProtection="1">
      <alignment horizontal="left"/>
    </xf>
    <xf numFmtId="0" fontId="22" fillId="4" borderId="14" xfId="0" applyNumberFormat="1" applyFont="1" applyFill="1" applyBorder="1" applyAlignment="1" applyProtection="1">
      <alignment horizontal="left" indent="1"/>
    </xf>
    <xf numFmtId="164" fontId="13" fillId="4" borderId="14" xfId="0" applyNumberFormat="1" applyFont="1" applyFill="1" applyBorder="1" applyAlignment="1" applyProtection="1">
      <alignment horizontal="center"/>
    </xf>
    <xf numFmtId="0" fontId="22" fillId="4" borderId="14" xfId="0" applyNumberFormat="1" applyFont="1" applyFill="1" applyBorder="1" applyAlignment="1" applyProtection="1">
      <alignment horizontal="left"/>
    </xf>
    <xf numFmtId="0" fontId="22" fillId="4" borderId="14" xfId="0" applyFont="1" applyFill="1" applyBorder="1" applyAlignment="1" applyProtection="1">
      <alignment horizontal="center"/>
    </xf>
    <xf numFmtId="172" fontId="17" fillId="4" borderId="14" xfId="0" applyNumberFormat="1" applyFont="1" applyFill="1" applyBorder="1" applyAlignment="1" applyProtection="1">
      <alignment horizontal="center"/>
    </xf>
    <xf numFmtId="164" fontId="13" fillId="6" borderId="14" xfId="0" applyNumberFormat="1" applyFont="1" applyFill="1" applyBorder="1" applyAlignment="1" applyProtection="1">
      <alignment horizontal="center"/>
    </xf>
    <xf numFmtId="0" fontId="56" fillId="5" borderId="0" xfId="0" applyFont="1" applyFill="1" applyBorder="1" applyAlignment="1" applyProtection="1">
      <alignment horizontal="right"/>
    </xf>
    <xf numFmtId="0" fontId="55" fillId="4" borderId="14" xfId="0" applyFont="1" applyFill="1" applyBorder="1" applyAlignment="1" applyProtection="1">
      <alignment horizontal="right"/>
    </xf>
    <xf numFmtId="0" fontId="55" fillId="4" borderId="14" xfId="0" applyFont="1" applyFill="1" applyBorder="1" applyAlignment="1" applyProtection="1">
      <alignment horizontal="center"/>
    </xf>
    <xf numFmtId="10" fontId="55" fillId="4" borderId="14" xfId="0" applyNumberFormat="1" applyFont="1" applyFill="1" applyBorder="1" applyAlignment="1" applyProtection="1">
      <alignment horizontal="center"/>
    </xf>
    <xf numFmtId="168" fontId="54" fillId="4" borderId="14" xfId="0" applyNumberFormat="1" applyFont="1" applyFill="1" applyBorder="1" applyAlignment="1" applyProtection="1">
      <alignment horizontal="center"/>
    </xf>
    <xf numFmtId="0" fontId="13" fillId="5" borderId="15" xfId="0" applyFont="1" applyFill="1" applyBorder="1" applyProtection="1">
      <protection locked="0"/>
    </xf>
    <xf numFmtId="0" fontId="13" fillId="5" borderId="22" xfId="0" applyFont="1" applyFill="1" applyBorder="1" applyProtection="1">
      <protection locked="0"/>
    </xf>
    <xf numFmtId="0" fontId="13" fillId="5" borderId="13" xfId="0" applyFont="1" applyFill="1" applyBorder="1" applyProtection="1">
      <protection locked="0"/>
    </xf>
    <xf numFmtId="164" fontId="13" fillId="5" borderId="14" xfId="0" applyNumberFormat="1" applyFont="1" applyFill="1" applyBorder="1" applyAlignment="1" applyProtection="1">
      <alignment horizontal="left"/>
      <protection locked="0"/>
    </xf>
    <xf numFmtId="164" fontId="13" fillId="5" borderId="14" xfId="4" applyNumberFormat="1" applyFont="1" applyFill="1" applyBorder="1" applyProtection="1">
      <protection locked="0"/>
    </xf>
    <xf numFmtId="172" fontId="65" fillId="7" borderId="14" xfId="0" applyNumberFormat="1" applyFont="1" applyFill="1" applyBorder="1" applyAlignment="1" applyProtection="1">
      <alignment horizontal="center"/>
    </xf>
    <xf numFmtId="164" fontId="65" fillId="7" borderId="14" xfId="0" applyNumberFormat="1" applyFont="1" applyFill="1" applyBorder="1" applyProtection="1"/>
    <xf numFmtId="165" fontId="69" fillId="7" borderId="14" xfId="0" applyNumberFormat="1" applyFont="1" applyFill="1" applyBorder="1" applyAlignment="1" applyProtection="1"/>
    <xf numFmtId="164" fontId="69" fillId="7" borderId="14" xfId="0" applyNumberFormat="1" applyFont="1" applyFill="1" applyBorder="1" applyProtection="1"/>
    <xf numFmtId="182" fontId="13" fillId="4" borderId="0" xfId="0" applyNumberFormat="1" applyFont="1" applyFill="1" applyBorder="1" applyAlignment="1" applyProtection="1">
      <alignment horizontal="left"/>
    </xf>
    <xf numFmtId="0" fontId="13" fillId="4" borderId="0" xfId="0" applyNumberFormat="1" applyFont="1" applyFill="1" applyBorder="1" applyProtection="1"/>
    <xf numFmtId="168" fontId="13" fillId="4" borderId="0" xfId="0" applyNumberFormat="1" applyFont="1" applyFill="1" applyBorder="1" applyAlignment="1" applyProtection="1">
      <alignment horizontal="center"/>
    </xf>
    <xf numFmtId="0" fontId="13" fillId="4" borderId="0" xfId="0" applyNumberFormat="1" applyFont="1" applyFill="1" applyBorder="1" applyAlignment="1" applyProtection="1">
      <alignment horizontal="center"/>
    </xf>
    <xf numFmtId="168" fontId="13" fillId="4" borderId="0" xfId="0" applyNumberFormat="1" applyFont="1" applyFill="1" applyBorder="1" applyProtection="1"/>
    <xf numFmtId="0" fontId="13" fillId="4" borderId="0" xfId="0" applyNumberFormat="1" applyFont="1" applyFill="1" applyBorder="1" applyAlignment="1" applyProtection="1"/>
    <xf numFmtId="164" fontId="13" fillId="4" borderId="0" xfId="0" applyNumberFormat="1" applyFont="1" applyFill="1" applyBorder="1" applyProtection="1"/>
    <xf numFmtId="173" fontId="13" fillId="4" borderId="0" xfId="0" applyNumberFormat="1" applyFont="1" applyFill="1" applyBorder="1" applyProtection="1"/>
    <xf numFmtId="0" fontId="31" fillId="4" borderId="0" xfId="0" applyFont="1" applyFill="1" applyBorder="1" applyProtection="1"/>
    <xf numFmtId="0" fontId="43" fillId="4" borderId="0" xfId="0" applyFont="1" applyFill="1" applyBorder="1" applyProtection="1"/>
    <xf numFmtId="0" fontId="43" fillId="4" borderId="0" xfId="0" applyNumberFormat="1" applyFont="1" applyFill="1" applyBorder="1" applyProtection="1"/>
    <xf numFmtId="168" fontId="43" fillId="4" borderId="0" xfId="0" applyNumberFormat="1" applyFont="1" applyFill="1" applyBorder="1" applyAlignment="1" applyProtection="1">
      <alignment horizontal="center"/>
    </xf>
    <xf numFmtId="0" fontId="43" fillId="4" borderId="0" xfId="0" applyNumberFormat="1" applyFont="1" applyFill="1" applyBorder="1" applyAlignment="1" applyProtection="1">
      <alignment horizontal="center"/>
    </xf>
    <xf numFmtId="168" fontId="43" fillId="4" borderId="0" xfId="0" applyNumberFormat="1" applyFont="1" applyFill="1" applyBorder="1" applyProtection="1"/>
    <xf numFmtId="164" fontId="43" fillId="4" borderId="0" xfId="0" applyNumberFormat="1" applyFont="1" applyFill="1" applyBorder="1" applyProtection="1"/>
    <xf numFmtId="0" fontId="31" fillId="4" borderId="0" xfId="0" applyNumberFormat="1" applyFont="1" applyFill="1" applyBorder="1" applyProtection="1"/>
    <xf numFmtId="164" fontId="31" fillId="4" borderId="0" xfId="0" applyNumberFormat="1" applyFont="1" applyFill="1" applyBorder="1" applyProtection="1"/>
    <xf numFmtId="168" fontId="31" fillId="4" borderId="0" xfId="0" applyNumberFormat="1" applyFont="1" applyFill="1" applyBorder="1" applyAlignment="1" applyProtection="1">
      <alignment horizontal="center"/>
    </xf>
    <xf numFmtId="0" fontId="31" fillId="4" borderId="0" xfId="0" applyNumberFormat="1" applyFont="1" applyFill="1" applyBorder="1" applyAlignment="1" applyProtection="1">
      <alignment horizontal="center"/>
    </xf>
    <xf numFmtId="168" fontId="31" fillId="4" borderId="0" xfId="0" applyNumberFormat="1" applyFont="1" applyFill="1" applyBorder="1" applyProtection="1"/>
    <xf numFmtId="1" fontId="31" fillId="4" borderId="0" xfId="0" applyNumberFormat="1" applyFont="1" applyFill="1" applyBorder="1" applyProtection="1"/>
    <xf numFmtId="1" fontId="13" fillId="4" borderId="0" xfId="0" applyNumberFormat="1" applyFont="1" applyFill="1" applyBorder="1" applyProtection="1"/>
    <xf numFmtId="0" fontId="32" fillId="4" borderId="0" xfId="0" applyFont="1" applyFill="1" applyBorder="1" applyProtection="1"/>
    <xf numFmtId="174" fontId="17" fillId="4" borderId="0" xfId="0" applyNumberFormat="1" applyFont="1" applyFill="1" applyBorder="1" applyAlignment="1" applyProtection="1">
      <alignment horizontal="left"/>
    </xf>
    <xf numFmtId="0" fontId="33" fillId="4" borderId="0" xfId="0" applyFont="1" applyFill="1" applyBorder="1" applyAlignment="1" applyProtection="1">
      <alignment horizontal="left"/>
    </xf>
    <xf numFmtId="0" fontId="32" fillId="4" borderId="0" xfId="0" applyNumberFormat="1" applyFont="1" applyFill="1" applyBorder="1" applyProtection="1"/>
    <xf numFmtId="168" fontId="32" fillId="4" borderId="0" xfId="0" applyNumberFormat="1" applyFont="1" applyFill="1" applyBorder="1" applyAlignment="1" applyProtection="1">
      <alignment horizontal="center"/>
    </xf>
    <xf numFmtId="0" fontId="32" fillId="4" borderId="0" xfId="0" applyNumberFormat="1" applyFont="1" applyFill="1" applyBorder="1" applyAlignment="1" applyProtection="1">
      <alignment horizontal="center"/>
    </xf>
    <xf numFmtId="168" fontId="32" fillId="4" borderId="0" xfId="0" applyNumberFormat="1" applyFont="1" applyFill="1" applyBorder="1" applyProtection="1"/>
    <xf numFmtId="164" fontId="32" fillId="4" borderId="0" xfId="0" applyNumberFormat="1" applyFont="1" applyFill="1" applyBorder="1" applyProtection="1"/>
    <xf numFmtId="1" fontId="32" fillId="4" borderId="0" xfId="0" applyNumberFormat="1" applyFont="1" applyFill="1" applyBorder="1" applyProtection="1"/>
    <xf numFmtId="0" fontId="22" fillId="4" borderId="0" xfId="0" applyFont="1" applyFill="1" applyBorder="1" applyAlignment="1" applyProtection="1">
      <alignment horizontal="left"/>
    </xf>
    <xf numFmtId="0" fontId="13" fillId="4" borderId="0" xfId="0" applyFont="1" applyFill="1" applyBorder="1" applyAlignment="1" applyProtection="1"/>
    <xf numFmtId="172" fontId="38" fillId="4" borderId="0" xfId="0" applyNumberFormat="1" applyFont="1" applyFill="1" applyBorder="1" applyAlignment="1" applyProtection="1">
      <alignment horizontal="center"/>
    </xf>
    <xf numFmtId="168" fontId="38" fillId="4" borderId="0" xfId="0" applyNumberFormat="1" applyFont="1" applyFill="1" applyBorder="1" applyAlignment="1" applyProtection="1">
      <alignment horizontal="center"/>
    </xf>
    <xf numFmtId="1" fontId="38" fillId="4" borderId="0" xfId="0" applyNumberFormat="1" applyFont="1" applyFill="1" applyBorder="1" applyAlignment="1" applyProtection="1">
      <alignment horizontal="center"/>
    </xf>
    <xf numFmtId="0" fontId="46" fillId="4" borderId="0" xfId="0" applyFont="1" applyFill="1" applyBorder="1" applyAlignment="1" applyProtection="1">
      <alignment horizontal="left"/>
    </xf>
    <xf numFmtId="1" fontId="46" fillId="4" borderId="0" xfId="0" applyNumberFormat="1" applyFont="1" applyFill="1" applyBorder="1" applyAlignment="1" applyProtection="1">
      <alignment horizontal="left"/>
    </xf>
    <xf numFmtId="0" fontId="46" fillId="4" borderId="0" xfId="0" applyFont="1" applyFill="1" applyBorder="1" applyAlignment="1" applyProtection="1">
      <alignment horizontal="center"/>
    </xf>
    <xf numFmtId="168" fontId="46" fillId="4" borderId="0" xfId="0" applyNumberFormat="1" applyFont="1" applyFill="1" applyBorder="1" applyAlignment="1" applyProtection="1">
      <alignment horizontal="center"/>
    </xf>
    <xf numFmtId="172" fontId="46" fillId="4" borderId="0" xfId="0" applyNumberFormat="1" applyFont="1" applyFill="1" applyBorder="1" applyAlignment="1" applyProtection="1">
      <alignment horizontal="center"/>
    </xf>
    <xf numFmtId="1" fontId="46" fillId="4" borderId="0" xfId="0" applyNumberFormat="1" applyFont="1" applyFill="1" applyBorder="1" applyAlignment="1" applyProtection="1">
      <alignment horizontal="center"/>
    </xf>
    <xf numFmtId="0" fontId="48" fillId="4" borderId="0" xfId="0" applyFont="1" applyFill="1" applyBorder="1" applyAlignment="1" applyProtection="1">
      <alignment horizontal="center"/>
    </xf>
    <xf numFmtId="172" fontId="48" fillId="4" borderId="0" xfId="4" applyNumberFormat="1" applyFont="1" applyFill="1" applyBorder="1" applyAlignment="1" applyProtection="1">
      <alignment horizontal="center"/>
    </xf>
    <xf numFmtId="1" fontId="23" fillId="4" borderId="0" xfId="0" applyNumberFormat="1" applyFont="1" applyFill="1" applyBorder="1" applyAlignment="1" applyProtection="1">
      <alignment horizontal="center"/>
    </xf>
    <xf numFmtId="168" fontId="23" fillId="4" borderId="0" xfId="0" applyNumberFormat="1" applyFont="1" applyFill="1" applyBorder="1" applyAlignment="1" applyProtection="1">
      <alignment horizontal="center"/>
    </xf>
    <xf numFmtId="172" fontId="13" fillId="4" borderId="0" xfId="0" applyNumberFormat="1" applyFont="1" applyFill="1" applyBorder="1" applyAlignment="1" applyProtection="1">
      <alignment horizontal="center"/>
    </xf>
    <xf numFmtId="172" fontId="23" fillId="4" borderId="0" xfId="0" applyNumberFormat="1" applyFont="1" applyFill="1" applyBorder="1" applyAlignment="1" applyProtection="1">
      <alignment horizontal="center"/>
    </xf>
    <xf numFmtId="172" fontId="13" fillId="4" borderId="0" xfId="4" applyNumberFormat="1" applyFont="1" applyFill="1" applyBorder="1" applyProtection="1"/>
    <xf numFmtId="168" fontId="13" fillId="4" borderId="0" xfId="4" applyNumberFormat="1" applyFont="1" applyFill="1" applyBorder="1" applyAlignment="1" applyProtection="1">
      <alignment horizontal="center"/>
    </xf>
    <xf numFmtId="0" fontId="17" fillId="4" borderId="0" xfId="0" applyNumberFormat="1" applyFont="1" applyFill="1" applyBorder="1" applyProtection="1"/>
    <xf numFmtId="2" fontId="17" fillId="4" borderId="0" xfId="0" applyNumberFormat="1" applyFont="1" applyFill="1" applyBorder="1" applyAlignment="1" applyProtection="1">
      <alignment horizontal="center"/>
    </xf>
    <xf numFmtId="164" fontId="17" fillId="4" borderId="0" xfId="0" applyNumberFormat="1" applyFont="1" applyFill="1" applyBorder="1" applyProtection="1"/>
    <xf numFmtId="2" fontId="17" fillId="4" borderId="0" xfId="0" applyNumberFormat="1" applyFont="1" applyFill="1" applyBorder="1" applyProtection="1"/>
    <xf numFmtId="49" fontId="17" fillId="4" borderId="0" xfId="0" applyNumberFormat="1" applyFont="1" applyFill="1" applyBorder="1" applyAlignment="1" applyProtection="1">
      <alignment horizontal="left"/>
    </xf>
    <xf numFmtId="0" fontId="35" fillId="4" borderId="0" xfId="0" applyFont="1" applyFill="1" applyBorder="1" applyProtection="1"/>
    <xf numFmtId="0" fontId="50" fillId="4" borderId="0" xfId="0" applyFont="1" applyFill="1" applyBorder="1" applyProtection="1"/>
    <xf numFmtId="172" fontId="50" fillId="4" borderId="0" xfId="4" applyNumberFormat="1" applyFont="1" applyFill="1" applyBorder="1" applyProtection="1"/>
    <xf numFmtId="0" fontId="17" fillId="4" borderId="0" xfId="0" quotePrefix="1" applyFont="1" applyFill="1" applyBorder="1" applyAlignment="1" applyProtection="1">
      <alignment horizontal="right"/>
    </xf>
    <xf numFmtId="172" fontId="13" fillId="4" borderId="0" xfId="4" applyNumberFormat="1" applyFont="1" applyFill="1" applyBorder="1" applyAlignment="1" applyProtection="1"/>
    <xf numFmtId="172" fontId="13" fillId="4" borderId="0" xfId="4" applyNumberFormat="1" applyFont="1" applyFill="1" applyBorder="1" applyAlignment="1" applyProtection="1">
      <alignment horizontal="center"/>
    </xf>
    <xf numFmtId="172" fontId="13" fillId="4" borderId="0" xfId="4" applyNumberFormat="1" applyFont="1" applyFill="1" applyBorder="1" applyAlignment="1" applyProtection="1">
      <alignment horizontal="left"/>
    </xf>
    <xf numFmtId="0" fontId="38" fillId="4" borderId="0" xfId="0" applyFont="1" applyFill="1" applyBorder="1" applyAlignment="1" applyProtection="1"/>
    <xf numFmtId="172" fontId="38" fillId="4" borderId="0" xfId="0" applyNumberFormat="1" applyFont="1" applyFill="1" applyBorder="1" applyAlignment="1" applyProtection="1"/>
    <xf numFmtId="168" fontId="38" fillId="4" borderId="0" xfId="0" applyNumberFormat="1" applyFont="1" applyFill="1" applyBorder="1" applyAlignment="1" applyProtection="1"/>
    <xf numFmtId="1" fontId="38" fillId="4" borderId="0" xfId="0" applyNumberFormat="1" applyFont="1" applyFill="1" applyBorder="1" applyAlignment="1" applyProtection="1"/>
    <xf numFmtId="172" fontId="46" fillId="4" borderId="0" xfId="0" applyNumberFormat="1" applyFont="1" applyFill="1" applyBorder="1" applyAlignment="1" applyProtection="1"/>
    <xf numFmtId="168" fontId="46" fillId="4" borderId="0" xfId="0" applyNumberFormat="1" applyFont="1" applyFill="1" applyBorder="1" applyAlignment="1" applyProtection="1"/>
    <xf numFmtId="1" fontId="46" fillId="4" borderId="0" xfId="0" applyNumberFormat="1" applyFont="1" applyFill="1" applyBorder="1" applyAlignment="1" applyProtection="1"/>
    <xf numFmtId="0" fontId="35" fillId="4" borderId="0" xfId="0" applyFont="1" applyFill="1" applyBorder="1" applyAlignment="1" applyProtection="1"/>
    <xf numFmtId="0" fontId="50" fillId="4" borderId="0" xfId="0" applyFont="1" applyFill="1" applyBorder="1" applyAlignment="1" applyProtection="1"/>
    <xf numFmtId="172" fontId="50" fillId="4" borderId="0" xfId="4" applyNumberFormat="1" applyFont="1" applyFill="1" applyBorder="1" applyAlignment="1" applyProtection="1"/>
    <xf numFmtId="0" fontId="35" fillId="4" borderId="0" xfId="0" applyFont="1" applyFill="1" applyBorder="1" applyAlignment="1" applyProtection="1">
      <alignment horizontal="center"/>
    </xf>
    <xf numFmtId="0" fontId="50" fillId="4" borderId="0" xfId="0" applyFont="1" applyFill="1" applyBorder="1" applyAlignment="1" applyProtection="1">
      <alignment horizontal="center"/>
    </xf>
    <xf numFmtId="172" fontId="50" fillId="4" borderId="0" xfId="4" applyNumberFormat="1" applyFont="1" applyFill="1" applyBorder="1" applyAlignment="1" applyProtection="1">
      <alignment horizontal="center"/>
    </xf>
    <xf numFmtId="49" fontId="13" fillId="4" borderId="0" xfId="0" applyNumberFormat="1" applyFont="1" applyFill="1" applyBorder="1" applyAlignment="1" applyProtection="1">
      <alignment horizontal="left" vertical="center"/>
    </xf>
    <xf numFmtId="0" fontId="13" fillId="4" borderId="0" xfId="0" applyFont="1" applyFill="1" applyAlignment="1" applyProtection="1">
      <alignment horizontal="left" vertical="center"/>
    </xf>
    <xf numFmtId="0" fontId="13" fillId="5" borderId="2" xfId="0" applyFont="1" applyFill="1" applyBorder="1" applyAlignment="1" applyProtection="1">
      <alignment horizontal="left"/>
    </xf>
    <xf numFmtId="182" fontId="13" fillId="5" borderId="2" xfId="0" applyNumberFormat="1" applyFont="1" applyFill="1" applyBorder="1" applyAlignment="1" applyProtection="1">
      <alignment horizontal="left"/>
    </xf>
    <xf numFmtId="0" fontId="13" fillId="5" borderId="2" xfId="0" applyNumberFormat="1" applyFont="1" applyFill="1" applyBorder="1" applyProtection="1"/>
    <xf numFmtId="168" fontId="13" fillId="5" borderId="2" xfId="0" applyNumberFormat="1" applyFont="1" applyFill="1" applyBorder="1" applyAlignment="1" applyProtection="1">
      <alignment horizontal="center"/>
    </xf>
    <xf numFmtId="0" fontId="13" fillId="5" borderId="2" xfId="0" applyNumberFormat="1" applyFont="1" applyFill="1" applyBorder="1" applyAlignment="1" applyProtection="1">
      <alignment horizontal="center"/>
    </xf>
    <xf numFmtId="168" fontId="13" fillId="5" borderId="2" xfId="0" applyNumberFormat="1" applyFont="1" applyFill="1" applyBorder="1" applyProtection="1"/>
    <xf numFmtId="0" fontId="13" fillId="5" borderId="2" xfId="0" applyNumberFormat="1" applyFont="1" applyFill="1" applyBorder="1" applyAlignment="1" applyProtection="1"/>
    <xf numFmtId="164" fontId="13" fillId="5" borderId="2" xfId="0" applyNumberFormat="1" applyFont="1" applyFill="1" applyBorder="1" applyProtection="1"/>
    <xf numFmtId="172" fontId="13" fillId="5" borderId="2" xfId="0" applyNumberFormat="1" applyFont="1" applyFill="1" applyBorder="1" applyProtection="1"/>
    <xf numFmtId="2" fontId="13" fillId="5" borderId="2" xfId="0" applyNumberFormat="1" applyFont="1" applyFill="1" applyBorder="1" applyProtection="1"/>
    <xf numFmtId="182" fontId="13" fillId="5" borderId="0" xfId="0" applyNumberFormat="1" applyFont="1" applyFill="1" applyBorder="1" applyAlignment="1" applyProtection="1">
      <alignment horizontal="left"/>
    </xf>
    <xf numFmtId="0" fontId="13" fillId="5" borderId="0" xfId="0" applyNumberFormat="1" applyFont="1" applyFill="1" applyBorder="1" applyProtection="1"/>
    <xf numFmtId="168" fontId="13" fillId="5" borderId="0" xfId="0" applyNumberFormat="1" applyFont="1" applyFill="1" applyBorder="1" applyAlignment="1" applyProtection="1">
      <alignment horizontal="center"/>
    </xf>
    <xf numFmtId="0" fontId="13" fillId="5" borderId="0" xfId="0" applyNumberFormat="1" applyFont="1" applyFill="1" applyBorder="1" applyAlignment="1" applyProtection="1">
      <alignment horizontal="center"/>
    </xf>
    <xf numFmtId="168" fontId="13" fillId="5" borderId="0" xfId="0" applyNumberFormat="1" applyFont="1" applyFill="1" applyBorder="1" applyProtection="1"/>
    <xf numFmtId="0" fontId="13" fillId="5" borderId="0" xfId="0" applyNumberFormat="1" applyFont="1" applyFill="1" applyBorder="1" applyAlignment="1" applyProtection="1"/>
    <xf numFmtId="164" fontId="13" fillId="5" borderId="0" xfId="0" applyNumberFormat="1" applyFont="1" applyFill="1" applyBorder="1" applyProtection="1"/>
    <xf numFmtId="0" fontId="41" fillId="5" borderId="4" xfId="0" applyFont="1" applyFill="1" applyBorder="1" applyAlignment="1" applyProtection="1">
      <alignment horizontal="left"/>
    </xf>
    <xf numFmtId="0" fontId="43" fillId="5" borderId="0" xfId="0" applyFont="1" applyFill="1" applyBorder="1" applyProtection="1"/>
    <xf numFmtId="182" fontId="43" fillId="5" borderId="0" xfId="0" applyNumberFormat="1" applyFont="1" applyFill="1" applyBorder="1" applyProtection="1"/>
    <xf numFmtId="0" fontId="43" fillId="5" borderId="0" xfId="0" applyNumberFormat="1" applyFont="1" applyFill="1" applyBorder="1" applyProtection="1"/>
    <xf numFmtId="168" fontId="43" fillId="5" borderId="0" xfId="0" applyNumberFormat="1" applyFont="1" applyFill="1" applyBorder="1" applyAlignment="1" applyProtection="1">
      <alignment horizontal="center"/>
    </xf>
    <xf numFmtId="0" fontId="43" fillId="5" borderId="0" xfId="0" applyNumberFormat="1" applyFont="1" applyFill="1" applyBorder="1" applyAlignment="1" applyProtection="1">
      <alignment horizontal="center"/>
    </xf>
    <xf numFmtId="168" fontId="43" fillId="5" borderId="0" xfId="0" applyNumberFormat="1" applyFont="1" applyFill="1" applyBorder="1" applyProtection="1"/>
    <xf numFmtId="0" fontId="43" fillId="5" borderId="0" xfId="0" applyNumberFormat="1" applyFont="1" applyFill="1" applyBorder="1" applyAlignment="1" applyProtection="1"/>
    <xf numFmtId="0" fontId="43" fillId="5" borderId="0" xfId="0" applyFont="1" applyFill="1" applyBorder="1" applyAlignment="1" applyProtection="1">
      <alignment horizontal="center"/>
    </xf>
    <xf numFmtId="164" fontId="43" fillId="5" borderId="0" xfId="0" applyNumberFormat="1" applyFont="1" applyFill="1" applyBorder="1" applyProtection="1"/>
    <xf numFmtId="172" fontId="43" fillId="5" borderId="0" xfId="0" applyNumberFormat="1" applyFont="1" applyFill="1" applyBorder="1" applyProtection="1"/>
    <xf numFmtId="2" fontId="43" fillId="5" borderId="0" xfId="0" applyNumberFormat="1" applyFont="1" applyFill="1" applyBorder="1" applyProtection="1"/>
    <xf numFmtId="0" fontId="43" fillId="5" borderId="5" xfId="0" applyFont="1" applyFill="1" applyBorder="1" applyProtection="1"/>
    <xf numFmtId="0" fontId="32" fillId="5" borderId="4" xfId="0" applyFont="1" applyFill="1" applyBorder="1" applyProtection="1"/>
    <xf numFmtId="174" fontId="17" fillId="5" borderId="0" xfId="0" applyNumberFormat="1" applyFont="1" applyFill="1" applyBorder="1" applyAlignment="1" applyProtection="1">
      <alignment horizontal="left"/>
    </xf>
    <xf numFmtId="0" fontId="33" fillId="5" borderId="0" xfId="0" applyFont="1" applyFill="1" applyBorder="1" applyAlignment="1" applyProtection="1">
      <alignment horizontal="left"/>
    </xf>
    <xf numFmtId="182" fontId="33" fillId="5" borderId="0" xfId="0" applyNumberFormat="1" applyFont="1" applyFill="1" applyBorder="1" applyAlignment="1" applyProtection="1">
      <alignment horizontal="left"/>
    </xf>
    <xf numFmtId="0" fontId="32" fillId="5" borderId="0" xfId="0" applyNumberFormat="1" applyFont="1" applyFill="1" applyBorder="1" applyProtection="1"/>
    <xf numFmtId="168" fontId="32" fillId="5" borderId="0" xfId="0" applyNumberFormat="1" applyFont="1" applyFill="1" applyBorder="1" applyAlignment="1" applyProtection="1">
      <alignment horizontal="center"/>
    </xf>
    <xf numFmtId="0" fontId="32" fillId="5" borderId="0" xfId="0" applyNumberFormat="1" applyFont="1" applyFill="1" applyBorder="1" applyAlignment="1" applyProtection="1">
      <alignment horizontal="center"/>
    </xf>
    <xf numFmtId="168" fontId="32" fillId="5" borderId="0" xfId="0" applyNumberFormat="1" applyFont="1" applyFill="1" applyBorder="1" applyProtection="1"/>
    <xf numFmtId="0" fontId="32" fillId="5" borderId="0" xfId="0" applyFont="1" applyFill="1" applyBorder="1" applyProtection="1"/>
    <xf numFmtId="0" fontId="32" fillId="5" borderId="0" xfId="0" applyNumberFormat="1" applyFont="1" applyFill="1" applyBorder="1" applyAlignment="1" applyProtection="1"/>
    <xf numFmtId="0" fontId="32" fillId="5" borderId="0" xfId="0" applyFont="1" applyFill="1" applyBorder="1" applyAlignment="1" applyProtection="1">
      <alignment horizontal="center"/>
    </xf>
    <xf numFmtId="164" fontId="32" fillId="5" borderId="0" xfId="0" applyNumberFormat="1" applyFont="1" applyFill="1" applyBorder="1" applyProtection="1"/>
    <xf numFmtId="172" fontId="32" fillId="5" borderId="0" xfId="0" applyNumberFormat="1" applyFont="1" applyFill="1" applyBorder="1" applyProtection="1"/>
    <xf numFmtId="2" fontId="32" fillId="5" borderId="0" xfId="0" applyNumberFormat="1" applyFont="1" applyFill="1" applyBorder="1" applyProtection="1"/>
    <xf numFmtId="0" fontId="32" fillId="5" borderId="5" xfId="0" applyFont="1" applyFill="1" applyBorder="1" applyProtection="1"/>
    <xf numFmtId="0" fontId="22" fillId="5" borderId="0" xfId="0" applyFont="1" applyFill="1" applyBorder="1" applyAlignment="1" applyProtection="1">
      <alignment horizontal="left"/>
    </xf>
    <xf numFmtId="182" fontId="22" fillId="5" borderId="0" xfId="0" applyNumberFormat="1" applyFont="1" applyFill="1" applyBorder="1" applyAlignment="1" applyProtection="1">
      <alignment horizontal="left"/>
    </xf>
    <xf numFmtId="0" fontId="16" fillId="5" borderId="0" xfId="0" applyFont="1" applyFill="1" applyBorder="1" applyAlignment="1" applyProtection="1">
      <alignment horizontal="left"/>
    </xf>
    <xf numFmtId="0" fontId="14" fillId="5" borderId="0" xfId="0" applyFont="1" applyFill="1" applyBorder="1" applyAlignment="1" applyProtection="1">
      <alignment horizontal="left" indent="1"/>
    </xf>
    <xf numFmtId="0" fontId="13" fillId="5" borderId="0" xfId="0" applyFont="1" applyFill="1" applyBorder="1" applyAlignment="1" applyProtection="1"/>
    <xf numFmtId="0" fontId="38" fillId="5" borderId="4" xfId="0" applyFont="1" applyFill="1" applyBorder="1" applyAlignment="1" applyProtection="1">
      <alignment horizontal="center"/>
    </xf>
    <xf numFmtId="172" fontId="38" fillId="5" borderId="5" xfId="0" applyNumberFormat="1" applyFont="1" applyFill="1" applyBorder="1" applyAlignment="1" applyProtection="1">
      <alignment horizontal="center"/>
    </xf>
    <xf numFmtId="172" fontId="46" fillId="5" borderId="5" xfId="0" applyNumberFormat="1" applyFont="1" applyFill="1" applyBorder="1" applyAlignment="1" applyProtection="1">
      <alignment horizontal="center"/>
    </xf>
    <xf numFmtId="0" fontId="48" fillId="5" borderId="4" xfId="0" applyFont="1" applyFill="1" applyBorder="1" applyAlignment="1" applyProtection="1">
      <alignment horizontal="center"/>
    </xf>
    <xf numFmtId="0" fontId="48" fillId="5" borderId="5" xfId="0" applyFont="1" applyFill="1" applyBorder="1" applyAlignment="1" applyProtection="1">
      <alignment horizontal="center"/>
    </xf>
    <xf numFmtId="172" fontId="13" fillId="5" borderId="0" xfId="0" applyNumberFormat="1" applyFont="1" applyFill="1" applyBorder="1" applyAlignment="1" applyProtection="1">
      <alignment horizontal="center"/>
    </xf>
    <xf numFmtId="172" fontId="13" fillId="5" borderId="5" xfId="4" applyNumberFormat="1" applyFont="1" applyFill="1" applyBorder="1" applyProtection="1"/>
    <xf numFmtId="0" fontId="22" fillId="5" borderId="5" xfId="0" applyNumberFormat="1" applyFont="1" applyFill="1" applyBorder="1" applyProtection="1"/>
    <xf numFmtId="0" fontId="17" fillId="5" borderId="5" xfId="0" applyNumberFormat="1" applyFont="1" applyFill="1" applyBorder="1" applyProtection="1"/>
    <xf numFmtId="172" fontId="17" fillId="5" borderId="0" xfId="0" applyNumberFormat="1" applyFont="1" applyFill="1" applyBorder="1" applyAlignment="1" applyProtection="1">
      <alignment horizontal="center"/>
    </xf>
    <xf numFmtId="164" fontId="17" fillId="5" borderId="0" xfId="0" applyNumberFormat="1" applyFont="1" applyFill="1" applyBorder="1" applyProtection="1"/>
    <xf numFmtId="2" fontId="17" fillId="5" borderId="0" xfId="0" applyNumberFormat="1" applyFont="1" applyFill="1" applyBorder="1" applyProtection="1"/>
    <xf numFmtId="49" fontId="17" fillId="5" borderId="0" xfId="0" applyNumberFormat="1" applyFont="1" applyFill="1" applyBorder="1" applyAlignment="1" applyProtection="1">
      <alignment horizontal="left"/>
    </xf>
    <xf numFmtId="0" fontId="35" fillId="5" borderId="4" xfId="0" applyFont="1" applyFill="1" applyBorder="1" applyProtection="1"/>
    <xf numFmtId="0" fontId="50" fillId="5" borderId="5" xfId="0" applyFont="1" applyFill="1" applyBorder="1" applyProtection="1"/>
    <xf numFmtId="0" fontId="13" fillId="5" borderId="7" xfId="0" applyFont="1" applyFill="1" applyBorder="1" applyAlignment="1" applyProtection="1">
      <alignment horizontal="left"/>
    </xf>
    <xf numFmtId="182" fontId="13" fillId="5" borderId="7" xfId="0" applyNumberFormat="1" applyFont="1" applyFill="1" applyBorder="1" applyAlignment="1" applyProtection="1">
      <alignment horizontal="left"/>
    </xf>
    <xf numFmtId="0" fontId="13" fillId="5" borderId="7" xfId="0" applyNumberFormat="1" applyFont="1" applyFill="1" applyBorder="1" applyAlignment="1" applyProtection="1">
      <alignment horizontal="center"/>
    </xf>
    <xf numFmtId="168" fontId="13" fillId="5" borderId="7" xfId="4" applyNumberFormat="1" applyFont="1" applyFill="1" applyBorder="1" applyAlignment="1" applyProtection="1">
      <alignment horizontal="center"/>
    </xf>
    <xf numFmtId="168" fontId="13" fillId="5" borderId="7" xfId="0" applyNumberFormat="1" applyFont="1" applyFill="1" applyBorder="1" applyAlignment="1" applyProtection="1">
      <alignment horizontal="center"/>
    </xf>
    <xf numFmtId="172" fontId="13" fillId="5" borderId="7" xfId="4" applyNumberFormat="1" applyFont="1" applyFill="1" applyBorder="1" applyAlignment="1" applyProtection="1"/>
    <xf numFmtId="172" fontId="13" fillId="5" borderId="7" xfId="4" applyNumberFormat="1" applyFont="1" applyFill="1" applyBorder="1" applyProtection="1"/>
    <xf numFmtId="172" fontId="13" fillId="5" borderId="7" xfId="4" applyNumberFormat="1" applyFont="1" applyFill="1" applyBorder="1" applyAlignment="1" applyProtection="1">
      <alignment horizontal="center"/>
    </xf>
    <xf numFmtId="164" fontId="13" fillId="5" borderId="7" xfId="0" applyNumberFormat="1" applyFont="1" applyFill="1" applyBorder="1" applyAlignment="1" applyProtection="1">
      <alignment horizontal="center"/>
    </xf>
    <xf numFmtId="172" fontId="13" fillId="5" borderId="7" xfId="4" applyNumberFormat="1" applyFont="1" applyFill="1" applyBorder="1" applyAlignment="1" applyProtection="1">
      <alignment horizontal="left"/>
    </xf>
    <xf numFmtId="2" fontId="13" fillId="5" borderId="7" xfId="0" applyNumberFormat="1" applyFont="1" applyFill="1" applyBorder="1" applyAlignment="1" applyProtection="1">
      <alignment horizontal="center"/>
    </xf>
    <xf numFmtId="164" fontId="17" fillId="5" borderId="0" xfId="0" applyNumberFormat="1" applyFont="1" applyFill="1" applyBorder="1" applyAlignment="1" applyProtection="1">
      <alignment horizontal="center"/>
    </xf>
    <xf numFmtId="0" fontId="23" fillId="5" borderId="0" xfId="0" applyFont="1" applyFill="1" applyBorder="1" applyAlignment="1" applyProtection="1">
      <alignment horizontal="center"/>
    </xf>
    <xf numFmtId="0" fontId="23" fillId="5" borderId="0" xfId="0" applyNumberFormat="1" applyFont="1" applyFill="1" applyBorder="1" applyAlignment="1" applyProtection="1">
      <alignment horizontal="center"/>
    </xf>
    <xf numFmtId="0" fontId="56" fillId="5" borderId="0" xfId="0" applyFont="1" applyFill="1" applyBorder="1" applyAlignment="1" applyProtection="1">
      <alignment horizontal="left"/>
    </xf>
    <xf numFmtId="0" fontId="63" fillId="5" borderId="0" xfId="0" applyFont="1" applyFill="1" applyBorder="1" applyAlignment="1" applyProtection="1">
      <alignment horizontal="left"/>
    </xf>
    <xf numFmtId="0" fontId="63" fillId="5" borderId="0" xfId="0" applyFont="1" applyFill="1" applyBorder="1" applyAlignment="1" applyProtection="1">
      <alignment horizontal="center"/>
    </xf>
    <xf numFmtId="0" fontId="63" fillId="5" borderId="0" xfId="0" applyNumberFormat="1" applyFont="1" applyFill="1" applyBorder="1" applyAlignment="1" applyProtection="1">
      <alignment horizontal="center"/>
    </xf>
    <xf numFmtId="1" fontId="63" fillId="5" borderId="0" xfId="0" applyNumberFormat="1" applyFont="1" applyFill="1" applyBorder="1" applyAlignment="1" applyProtection="1">
      <alignment horizontal="center"/>
    </xf>
    <xf numFmtId="0" fontId="63" fillId="4" borderId="0" xfId="0" applyFont="1" applyFill="1" applyBorder="1" applyAlignment="1" applyProtection="1">
      <alignment horizontal="left"/>
    </xf>
    <xf numFmtId="1" fontId="63" fillId="4" borderId="0" xfId="0" applyNumberFormat="1" applyFont="1" applyFill="1" applyBorder="1" applyAlignment="1" applyProtection="1">
      <alignment horizontal="left"/>
    </xf>
    <xf numFmtId="0" fontId="63" fillId="4" borderId="0" xfId="0" applyFont="1" applyFill="1" applyBorder="1" applyAlignment="1" applyProtection="1">
      <alignment horizontal="center"/>
    </xf>
    <xf numFmtId="172" fontId="63" fillId="4" borderId="0" xfId="0" applyNumberFormat="1" applyFont="1" applyFill="1" applyBorder="1" applyAlignment="1" applyProtection="1">
      <alignment horizontal="center"/>
    </xf>
    <xf numFmtId="0" fontId="55" fillId="4" borderId="0" xfId="0" applyFont="1" applyFill="1" applyBorder="1" applyAlignment="1" applyProtection="1">
      <alignment horizontal="left"/>
    </xf>
    <xf numFmtId="1" fontId="63" fillId="4" borderId="0" xfId="0" applyNumberFormat="1" applyFont="1" applyFill="1" applyBorder="1" applyAlignment="1" applyProtection="1">
      <alignment horizontal="center"/>
    </xf>
    <xf numFmtId="0" fontId="13" fillId="4" borderId="11" xfId="0" applyFont="1" applyFill="1" applyBorder="1" applyAlignment="1" applyProtection="1"/>
    <xf numFmtId="0" fontId="22" fillId="4" borderId="11" xfId="0" applyFont="1" applyFill="1" applyBorder="1" applyAlignment="1" applyProtection="1">
      <alignment horizontal="left"/>
    </xf>
    <xf numFmtId="0" fontId="13" fillId="4" borderId="11" xfId="0" applyFont="1" applyFill="1" applyBorder="1" applyAlignment="1" applyProtection="1">
      <alignment horizontal="left"/>
    </xf>
    <xf numFmtId="182" fontId="13" fillId="4" borderId="11" xfId="0" applyNumberFormat="1" applyFont="1" applyFill="1" applyBorder="1" applyAlignment="1" applyProtection="1">
      <alignment horizontal="center"/>
    </xf>
    <xf numFmtId="0" fontId="13" fillId="4" borderId="11" xfId="0" applyNumberFormat="1" applyFont="1" applyFill="1" applyBorder="1" applyAlignment="1" applyProtection="1">
      <alignment horizontal="center"/>
    </xf>
    <xf numFmtId="168" fontId="13" fillId="4" borderId="11" xfId="0" applyNumberFormat="1" applyFont="1" applyFill="1" applyBorder="1" applyAlignment="1" applyProtection="1">
      <alignment horizontal="center"/>
    </xf>
    <xf numFmtId="168" fontId="13" fillId="4" borderId="11" xfId="0" applyNumberFormat="1" applyFont="1" applyFill="1" applyBorder="1" applyProtection="1"/>
    <xf numFmtId="0" fontId="13" fillId="4" borderId="11" xfId="0" applyNumberFormat="1" applyFont="1" applyFill="1" applyBorder="1" applyAlignment="1" applyProtection="1"/>
    <xf numFmtId="164" fontId="13" fillId="4" borderId="11" xfId="0" applyNumberFormat="1" applyFont="1" applyFill="1" applyBorder="1" applyProtection="1"/>
    <xf numFmtId="2" fontId="13" fillId="4" borderId="11" xfId="0" applyNumberFormat="1" applyFont="1" applyFill="1" applyBorder="1" applyProtection="1"/>
    <xf numFmtId="0" fontId="38" fillId="4" borderId="13" xfId="0" applyFont="1" applyFill="1" applyBorder="1" applyAlignment="1" applyProtection="1">
      <alignment horizontal="center"/>
    </xf>
    <xf numFmtId="0" fontId="71" fillId="4" borderId="14" xfId="0" applyFont="1" applyFill="1" applyBorder="1" applyAlignment="1" applyProtection="1">
      <alignment horizontal="left"/>
    </xf>
    <xf numFmtId="2" fontId="56" fillId="4" borderId="14" xfId="0" applyNumberFormat="1" applyFont="1" applyFill="1" applyBorder="1" applyAlignment="1" applyProtection="1">
      <alignment horizontal="center"/>
    </xf>
    <xf numFmtId="0" fontId="38" fillId="4" borderId="15" xfId="0" applyNumberFormat="1" applyFont="1" applyFill="1" applyBorder="1" applyAlignment="1" applyProtection="1">
      <alignment horizontal="center"/>
    </xf>
    <xf numFmtId="0" fontId="63" fillId="4" borderId="14" xfId="0" applyFont="1" applyFill="1" applyBorder="1" applyAlignment="1" applyProtection="1">
      <alignment horizontal="left"/>
    </xf>
    <xf numFmtId="0" fontId="63" fillId="4" borderId="14" xfId="0" applyNumberFormat="1" applyFont="1" applyFill="1" applyBorder="1" applyAlignment="1" applyProtection="1">
      <alignment horizontal="left"/>
    </xf>
    <xf numFmtId="182" fontId="63" fillId="4" borderId="14" xfId="0" applyNumberFormat="1" applyFont="1" applyFill="1" applyBorder="1" applyAlignment="1" applyProtection="1">
      <alignment horizontal="left"/>
    </xf>
    <xf numFmtId="168" fontId="63" fillId="4" borderId="14" xfId="0" applyNumberFormat="1" applyFont="1" applyFill="1" applyBorder="1" applyAlignment="1" applyProtection="1">
      <alignment horizontal="left"/>
    </xf>
    <xf numFmtId="1" fontId="63" fillId="4" borderId="14" xfId="0" applyNumberFormat="1" applyFont="1" applyFill="1" applyBorder="1" applyAlignment="1" applyProtection="1">
      <alignment horizontal="left"/>
    </xf>
    <xf numFmtId="0" fontId="63" fillId="4" borderId="14" xfId="0" applyFont="1" applyFill="1" applyBorder="1" applyAlignment="1" applyProtection="1">
      <alignment horizontal="center"/>
    </xf>
    <xf numFmtId="168" fontId="63" fillId="4" borderId="14" xfId="0" applyNumberFormat="1" applyFont="1" applyFill="1" applyBorder="1" applyAlignment="1" applyProtection="1">
      <alignment horizontal="center"/>
    </xf>
    <xf numFmtId="172" fontId="63" fillId="4" borderId="14" xfId="0" applyNumberFormat="1" applyFont="1" applyFill="1" applyBorder="1" applyAlignment="1" applyProtection="1">
      <alignment horizontal="center"/>
    </xf>
    <xf numFmtId="164" fontId="63" fillId="4" borderId="14" xfId="0" applyNumberFormat="1" applyFont="1" applyFill="1" applyBorder="1" applyAlignment="1" applyProtection="1">
      <alignment horizontal="center"/>
    </xf>
    <xf numFmtId="2" fontId="63" fillId="4" borderId="14" xfId="0" applyNumberFormat="1" applyFont="1" applyFill="1" applyBorder="1" applyAlignment="1" applyProtection="1">
      <alignment horizontal="center"/>
    </xf>
    <xf numFmtId="0" fontId="46" fillId="4" borderId="15" xfId="0" applyNumberFormat="1" applyFont="1" applyFill="1" applyBorder="1" applyAlignment="1" applyProtection="1">
      <alignment horizontal="center"/>
    </xf>
    <xf numFmtId="0" fontId="48" fillId="4" borderId="13" xfId="0" applyFont="1" applyFill="1" applyBorder="1" applyAlignment="1" applyProtection="1">
      <alignment horizontal="center"/>
    </xf>
    <xf numFmtId="0" fontId="55" fillId="4" borderId="14" xfId="0" applyFont="1" applyFill="1" applyBorder="1" applyAlignment="1" applyProtection="1">
      <alignment horizontal="left"/>
    </xf>
    <xf numFmtId="0" fontId="48" fillId="4" borderId="15" xfId="0" applyFont="1" applyFill="1" applyBorder="1" applyAlignment="1" applyProtection="1">
      <alignment horizontal="center"/>
    </xf>
    <xf numFmtId="1" fontId="23" fillId="4" borderId="14" xfId="0" applyNumberFormat="1" applyFont="1" applyFill="1" applyBorder="1" applyAlignment="1" applyProtection="1">
      <alignment horizontal="center"/>
    </xf>
    <xf numFmtId="182" fontId="13" fillId="4" borderId="14" xfId="0" applyNumberFormat="1" applyFont="1" applyFill="1" applyBorder="1" applyAlignment="1" applyProtection="1">
      <alignment horizontal="left"/>
    </xf>
    <xf numFmtId="0" fontId="23" fillId="4" borderId="14" xfId="0" applyNumberFormat="1" applyFont="1" applyFill="1" applyBorder="1" applyAlignment="1" applyProtection="1">
      <alignment horizontal="left"/>
    </xf>
    <xf numFmtId="168" fontId="23" fillId="4" borderId="14" xfId="0" applyNumberFormat="1" applyFont="1" applyFill="1" applyBorder="1" applyAlignment="1" applyProtection="1">
      <alignment horizontal="center"/>
    </xf>
    <xf numFmtId="172" fontId="23" fillId="4" borderId="14" xfId="0" applyNumberFormat="1" applyFont="1" applyFill="1" applyBorder="1" applyAlignment="1" applyProtection="1">
      <alignment horizontal="left"/>
    </xf>
    <xf numFmtId="172" fontId="13" fillId="4" borderId="14" xfId="0" applyNumberFormat="1" applyFont="1" applyFill="1" applyBorder="1" applyAlignment="1" applyProtection="1">
      <alignment horizontal="center"/>
    </xf>
    <xf numFmtId="164" fontId="23" fillId="4" borderId="14" xfId="0" applyNumberFormat="1" applyFont="1" applyFill="1" applyBorder="1" applyAlignment="1" applyProtection="1">
      <alignment horizontal="center"/>
    </xf>
    <xf numFmtId="2" fontId="23" fillId="4" borderId="14" xfId="0" applyNumberFormat="1" applyFont="1" applyFill="1" applyBorder="1" applyAlignment="1" applyProtection="1">
      <alignment horizontal="center"/>
    </xf>
    <xf numFmtId="0" fontId="13" fillId="4" borderId="14" xfId="0" applyNumberFormat="1" applyFont="1" applyFill="1" applyBorder="1" applyAlignment="1" applyProtection="1">
      <alignment horizontal="center"/>
    </xf>
    <xf numFmtId="172" fontId="13" fillId="4" borderId="14" xfId="4" applyNumberFormat="1" applyFont="1" applyFill="1" applyBorder="1" applyProtection="1"/>
    <xf numFmtId="172" fontId="13" fillId="4" borderId="14" xfId="4" applyNumberFormat="1" applyFont="1" applyFill="1" applyBorder="1" applyAlignment="1" applyProtection="1">
      <alignment horizontal="center"/>
    </xf>
    <xf numFmtId="0" fontId="13" fillId="4" borderId="15" xfId="0" applyFont="1" applyFill="1" applyBorder="1" applyAlignment="1" applyProtection="1">
      <alignment horizontal="center"/>
    </xf>
    <xf numFmtId="0" fontId="13" fillId="4" borderId="15" xfId="0" applyNumberFormat="1" applyFont="1" applyFill="1" applyBorder="1" applyProtection="1"/>
    <xf numFmtId="168" fontId="17" fillId="4" borderId="14" xfId="0" applyNumberFormat="1" applyFont="1" applyFill="1" applyBorder="1" applyAlignment="1" applyProtection="1">
      <alignment horizontal="center"/>
    </xf>
    <xf numFmtId="182" fontId="17" fillId="4" borderId="14" xfId="0" applyNumberFormat="1" applyFont="1" applyFill="1" applyBorder="1" applyAlignment="1" applyProtection="1">
      <alignment horizontal="left"/>
    </xf>
    <xf numFmtId="0" fontId="13" fillId="4" borderId="17" xfId="0" applyFont="1" applyFill="1" applyBorder="1" applyAlignment="1" applyProtection="1">
      <alignment horizontal="left"/>
    </xf>
    <xf numFmtId="182" fontId="13" fillId="4" borderId="17" xfId="0" applyNumberFormat="1" applyFont="1" applyFill="1" applyBorder="1" applyAlignment="1" applyProtection="1">
      <alignment horizontal="left"/>
    </xf>
    <xf numFmtId="0" fontId="13" fillId="4" borderId="17" xfId="0" applyNumberFormat="1" applyFont="1" applyFill="1" applyBorder="1" applyAlignment="1" applyProtection="1">
      <alignment horizontal="center"/>
    </xf>
    <xf numFmtId="168" fontId="13" fillId="4" borderId="17" xfId="0" applyNumberFormat="1" applyFont="1" applyFill="1" applyBorder="1" applyAlignment="1" applyProtection="1">
      <alignment horizontal="center"/>
    </xf>
    <xf numFmtId="172" fontId="17" fillId="4" borderId="17" xfId="0" applyNumberFormat="1" applyFont="1" applyFill="1" applyBorder="1" applyAlignment="1" applyProtection="1">
      <alignment horizontal="center"/>
    </xf>
    <xf numFmtId="164" fontId="17" fillId="4" borderId="17" xfId="0" applyNumberFormat="1" applyFont="1" applyFill="1" applyBorder="1" applyProtection="1"/>
    <xf numFmtId="2" fontId="17" fillId="4" borderId="17" xfId="0" applyNumberFormat="1" applyFont="1" applyFill="1" applyBorder="1" applyProtection="1"/>
    <xf numFmtId="0" fontId="13" fillId="4" borderId="17" xfId="0" applyNumberFormat="1" applyFont="1" applyFill="1" applyBorder="1" applyProtection="1"/>
    <xf numFmtId="0" fontId="13" fillId="4" borderId="18" xfId="0" applyNumberFormat="1" applyFont="1" applyFill="1" applyBorder="1" applyProtection="1"/>
    <xf numFmtId="176" fontId="13" fillId="5" borderId="14" xfId="0" applyNumberFormat="1" applyFont="1" applyFill="1" applyBorder="1" applyAlignment="1" applyProtection="1">
      <alignment horizontal="center"/>
      <protection locked="0"/>
    </xf>
    <xf numFmtId="0" fontId="13" fillId="5" borderId="14" xfId="0" applyNumberFormat="1" applyFont="1" applyFill="1" applyBorder="1" applyAlignment="1" applyProtection="1">
      <alignment horizontal="center"/>
      <protection locked="0"/>
    </xf>
    <xf numFmtId="168" fontId="13" fillId="5" borderId="14" xfId="4" applyNumberFormat="1" applyFont="1" applyFill="1" applyBorder="1" applyAlignment="1" applyProtection="1">
      <alignment horizontal="center"/>
      <protection locked="0"/>
    </xf>
    <xf numFmtId="168" fontId="13" fillId="5" borderId="14" xfId="0" applyNumberFormat="1" applyFont="1" applyFill="1" applyBorder="1" applyAlignment="1" applyProtection="1">
      <alignment horizontal="center"/>
      <protection locked="0"/>
    </xf>
    <xf numFmtId="168" fontId="13" fillId="6" borderId="14" xfId="0" applyNumberFormat="1" applyFont="1" applyFill="1" applyBorder="1" applyAlignment="1" applyProtection="1">
      <alignment horizontal="center"/>
    </xf>
    <xf numFmtId="172" fontId="13" fillId="6" borderId="14" xfId="4" applyNumberFormat="1" applyFont="1" applyFill="1" applyBorder="1" applyAlignment="1" applyProtection="1"/>
    <xf numFmtId="172" fontId="13" fillId="6" borderId="14" xfId="4" applyNumberFormat="1" applyFont="1" applyFill="1" applyBorder="1" applyProtection="1"/>
    <xf numFmtId="172" fontId="13" fillId="6" borderId="14" xfId="4" applyNumberFormat="1" applyFont="1" applyFill="1" applyBorder="1" applyAlignment="1" applyProtection="1">
      <alignment horizontal="center"/>
    </xf>
    <xf numFmtId="2" fontId="65" fillId="7" borderId="14" xfId="0" applyNumberFormat="1" applyFont="1" applyFill="1" applyBorder="1" applyProtection="1"/>
    <xf numFmtId="168" fontId="65" fillId="7" borderId="14" xfId="0" applyNumberFormat="1" applyFont="1" applyFill="1" applyBorder="1" applyAlignment="1" applyProtection="1">
      <alignment horizontal="center"/>
    </xf>
    <xf numFmtId="172" fontId="54" fillId="4" borderId="14" xfId="0" applyNumberFormat="1" applyFont="1" applyFill="1" applyBorder="1" applyAlignment="1" applyProtection="1">
      <alignment horizontal="center"/>
    </xf>
    <xf numFmtId="177" fontId="54" fillId="4" borderId="14" xfId="0" applyNumberFormat="1" applyFont="1" applyFill="1" applyBorder="1" applyAlignment="1" applyProtection="1">
      <alignment horizontal="center"/>
    </xf>
    <xf numFmtId="172" fontId="13" fillId="5" borderId="14" xfId="4" applyNumberFormat="1" applyFont="1" applyFill="1" applyBorder="1" applyAlignment="1" applyProtection="1">
      <alignment horizontal="center"/>
    </xf>
    <xf numFmtId="172" fontId="13" fillId="5" borderId="14" xfId="4" applyNumberFormat="1" applyFont="1" applyFill="1" applyBorder="1" applyAlignment="1" applyProtection="1">
      <alignment horizontal="center"/>
      <protection locked="0"/>
    </xf>
    <xf numFmtId="172" fontId="17" fillId="6" borderId="14" xfId="4" applyNumberFormat="1" applyFont="1" applyFill="1" applyBorder="1" applyAlignment="1" applyProtection="1">
      <alignment horizontal="left"/>
    </xf>
    <xf numFmtId="177" fontId="13" fillId="4" borderId="0" xfId="0" applyNumberFormat="1" applyFont="1" applyFill="1" applyBorder="1" applyAlignment="1" applyProtection="1">
      <alignment horizontal="center"/>
    </xf>
    <xf numFmtId="177" fontId="13" fillId="5" borderId="2" xfId="0" applyNumberFormat="1" applyFont="1" applyFill="1" applyBorder="1" applyAlignment="1" applyProtection="1">
      <alignment horizontal="center"/>
    </xf>
    <xf numFmtId="177" fontId="13" fillId="5" borderId="0" xfId="0" applyNumberFormat="1" applyFont="1" applyFill="1" applyBorder="1" applyAlignment="1" applyProtection="1">
      <alignment horizontal="center"/>
    </xf>
    <xf numFmtId="177" fontId="43" fillId="5" borderId="0" xfId="0" applyNumberFormat="1" applyFont="1" applyFill="1" applyBorder="1" applyAlignment="1" applyProtection="1">
      <alignment horizontal="center"/>
    </xf>
    <xf numFmtId="177" fontId="32" fillId="5" borderId="0" xfId="0" applyNumberFormat="1" applyFont="1" applyFill="1" applyBorder="1" applyAlignment="1" applyProtection="1">
      <alignment horizontal="center"/>
    </xf>
    <xf numFmtId="177" fontId="13" fillId="4" borderId="11" xfId="0" applyNumberFormat="1" applyFont="1" applyFill="1" applyBorder="1" applyAlignment="1" applyProtection="1">
      <alignment horizontal="center"/>
    </xf>
    <xf numFmtId="177" fontId="63" fillId="4" borderId="14" xfId="0" applyNumberFormat="1" applyFont="1" applyFill="1" applyBorder="1" applyAlignment="1" applyProtection="1">
      <alignment horizontal="left"/>
    </xf>
    <xf numFmtId="177" fontId="13" fillId="4" borderId="14" xfId="0" applyNumberFormat="1" applyFont="1" applyFill="1" applyBorder="1" applyAlignment="1" applyProtection="1">
      <alignment horizontal="center"/>
    </xf>
    <xf numFmtId="177" fontId="13" fillId="5" borderId="14" xfId="3" applyNumberFormat="1" applyFont="1" applyFill="1" applyBorder="1" applyAlignment="1" applyProtection="1">
      <alignment horizontal="center"/>
      <protection locked="0"/>
    </xf>
    <xf numFmtId="177" fontId="17" fillId="4" borderId="17" xfId="0" applyNumberFormat="1" applyFont="1" applyFill="1" applyBorder="1" applyAlignment="1" applyProtection="1">
      <alignment horizontal="center"/>
    </xf>
    <xf numFmtId="177" fontId="17" fillId="5" borderId="0" xfId="0" applyNumberFormat="1" applyFont="1" applyFill="1" applyBorder="1" applyAlignment="1" applyProtection="1">
      <alignment horizontal="center"/>
    </xf>
    <xf numFmtId="177" fontId="13" fillId="5" borderId="7" xfId="4" applyNumberFormat="1" applyFont="1" applyFill="1" applyBorder="1" applyAlignment="1" applyProtection="1">
      <alignment horizontal="center"/>
    </xf>
    <xf numFmtId="177" fontId="13" fillId="4" borderId="0" xfId="4" applyNumberFormat="1" applyFont="1" applyFill="1" applyBorder="1" applyAlignment="1" applyProtection="1">
      <alignment horizontal="center"/>
    </xf>
    <xf numFmtId="1" fontId="43" fillId="4" borderId="0" xfId="0" applyNumberFormat="1" applyFont="1" applyFill="1" applyBorder="1" applyProtection="1"/>
    <xf numFmtId="1" fontId="32" fillId="4" borderId="0" xfId="0" applyNumberFormat="1" applyFont="1" applyFill="1" applyBorder="1" applyAlignment="1" applyProtection="1">
      <alignment horizontal="center"/>
    </xf>
    <xf numFmtId="0" fontId="13" fillId="4" borderId="0" xfId="0" applyNumberFormat="1" applyFont="1" applyFill="1" applyProtection="1"/>
    <xf numFmtId="164" fontId="13" fillId="4" borderId="0" xfId="0" applyNumberFormat="1" applyFont="1" applyFill="1" applyProtection="1"/>
    <xf numFmtId="168" fontId="13" fillId="4" borderId="0" xfId="0" applyNumberFormat="1" applyFont="1" applyFill="1" applyAlignment="1" applyProtection="1">
      <alignment horizontal="center"/>
    </xf>
    <xf numFmtId="0" fontId="13" fillId="4" borderId="0" xfId="0" applyNumberFormat="1" applyFont="1" applyFill="1" applyAlignment="1" applyProtection="1">
      <alignment horizontal="center"/>
    </xf>
    <xf numFmtId="168" fontId="13" fillId="4" borderId="0" xfId="0" applyNumberFormat="1" applyFont="1" applyFill="1" applyProtection="1"/>
    <xf numFmtId="14" fontId="13" fillId="4" borderId="0" xfId="0" applyNumberFormat="1" applyFont="1" applyFill="1" applyBorder="1" applyAlignment="1" applyProtection="1">
      <alignment horizontal="left"/>
    </xf>
    <xf numFmtId="173" fontId="50" fillId="4" borderId="0" xfId="0" applyNumberFormat="1" applyFont="1" applyFill="1" applyBorder="1" applyProtection="1"/>
    <xf numFmtId="1" fontId="32" fillId="5" borderId="0" xfId="0" applyNumberFormat="1" applyFont="1" applyFill="1" applyBorder="1" applyAlignment="1" applyProtection="1">
      <alignment horizontal="center"/>
    </xf>
    <xf numFmtId="172" fontId="13" fillId="5" borderId="5" xfId="0" applyNumberFormat="1" applyFont="1" applyFill="1" applyBorder="1" applyAlignment="1" applyProtection="1">
      <alignment horizontal="center"/>
    </xf>
    <xf numFmtId="172" fontId="23" fillId="5" borderId="5" xfId="0" applyNumberFormat="1" applyFont="1" applyFill="1" applyBorder="1" applyAlignment="1" applyProtection="1">
      <alignment horizontal="center"/>
    </xf>
    <xf numFmtId="14" fontId="13" fillId="5" borderId="7" xfId="0" applyNumberFormat="1" applyFont="1" applyFill="1" applyBorder="1" applyAlignment="1" applyProtection="1">
      <alignment horizontal="left"/>
    </xf>
    <xf numFmtId="14" fontId="13" fillId="5" borderId="2" xfId="0" applyNumberFormat="1" applyFont="1" applyFill="1" applyBorder="1" applyAlignment="1" applyProtection="1">
      <alignment horizontal="left"/>
    </xf>
    <xf numFmtId="168" fontId="13" fillId="5" borderId="2" xfId="4" applyNumberFormat="1" applyFont="1" applyFill="1" applyBorder="1" applyAlignment="1" applyProtection="1">
      <alignment horizontal="center"/>
    </xf>
    <xf numFmtId="172" fontId="13" fillId="5" borderId="2" xfId="4" applyNumberFormat="1" applyFont="1" applyFill="1" applyBorder="1" applyAlignment="1" applyProtection="1">
      <alignment horizontal="center"/>
    </xf>
    <xf numFmtId="172" fontId="13" fillId="5" borderId="2" xfId="4" applyNumberFormat="1" applyFont="1" applyFill="1" applyBorder="1" applyProtection="1"/>
    <xf numFmtId="164" fontId="13" fillId="5" borderId="2" xfId="0" applyNumberFormat="1" applyFont="1" applyFill="1" applyBorder="1" applyAlignment="1" applyProtection="1">
      <alignment horizontal="center"/>
    </xf>
    <xf numFmtId="172" fontId="13" fillId="5" borderId="2" xfId="4" applyNumberFormat="1" applyFont="1" applyFill="1" applyBorder="1" applyAlignment="1" applyProtection="1">
      <alignment horizontal="left"/>
    </xf>
    <xf numFmtId="2" fontId="13" fillId="5" borderId="2" xfId="0" applyNumberFormat="1" applyFont="1" applyFill="1" applyBorder="1" applyAlignment="1" applyProtection="1">
      <alignment horizontal="center"/>
    </xf>
    <xf numFmtId="14" fontId="13" fillId="5" borderId="0" xfId="0" applyNumberFormat="1" applyFont="1" applyFill="1" applyBorder="1" applyAlignment="1" applyProtection="1">
      <alignment horizontal="left"/>
    </xf>
    <xf numFmtId="168" fontId="13" fillId="5" borderId="0" xfId="4" applyNumberFormat="1" applyFont="1" applyFill="1" applyBorder="1" applyAlignment="1" applyProtection="1">
      <alignment horizontal="center"/>
    </xf>
    <xf numFmtId="172" fontId="13" fillId="5" borderId="0" xfId="4" applyNumberFormat="1" applyFont="1" applyFill="1" applyBorder="1" applyAlignment="1" applyProtection="1">
      <alignment horizontal="center"/>
    </xf>
    <xf numFmtId="172" fontId="13" fillId="5" borderId="0" xfId="4" applyNumberFormat="1" applyFont="1" applyFill="1" applyBorder="1" applyProtection="1"/>
    <xf numFmtId="164" fontId="13" fillId="5" borderId="0" xfId="0" applyNumberFormat="1" applyFont="1" applyFill="1" applyBorder="1" applyAlignment="1" applyProtection="1">
      <alignment horizontal="center"/>
    </xf>
    <xf numFmtId="172" fontId="13" fillId="5" borderId="0" xfId="4" applyNumberFormat="1" applyFont="1" applyFill="1" applyBorder="1" applyAlignment="1" applyProtection="1">
      <alignment horizontal="left"/>
    </xf>
    <xf numFmtId="0" fontId="38" fillId="4" borderId="13" xfId="0" applyFont="1" applyFill="1" applyBorder="1" applyAlignment="1" applyProtection="1">
      <alignment horizontal="left"/>
    </xf>
    <xf numFmtId="0" fontId="38" fillId="4" borderId="15" xfId="0" applyNumberFormat="1" applyFont="1" applyFill="1" applyBorder="1" applyAlignment="1" applyProtection="1">
      <alignment horizontal="left"/>
    </xf>
    <xf numFmtId="0" fontId="35" fillId="4" borderId="13" xfId="0" applyFont="1" applyFill="1" applyBorder="1" applyProtection="1"/>
    <xf numFmtId="0" fontId="50" fillId="4" borderId="15" xfId="0" applyFont="1" applyFill="1" applyBorder="1" applyProtection="1"/>
    <xf numFmtId="172" fontId="13" fillId="4" borderId="15" xfId="4" applyNumberFormat="1" applyFont="1" applyFill="1" applyBorder="1" applyProtection="1"/>
    <xf numFmtId="0" fontId="17" fillId="4" borderId="14" xfId="0" applyNumberFormat="1" applyFont="1" applyFill="1" applyBorder="1" applyAlignment="1" applyProtection="1">
      <alignment horizontal="center"/>
    </xf>
    <xf numFmtId="0" fontId="13" fillId="4" borderId="15" xfId="0" applyNumberFormat="1" applyFont="1" applyFill="1" applyBorder="1" applyAlignment="1" applyProtection="1">
      <alignment horizontal="center"/>
    </xf>
    <xf numFmtId="0" fontId="13" fillId="4" borderId="18" xfId="0" applyNumberFormat="1" applyFont="1" applyFill="1" applyBorder="1" applyAlignment="1" applyProtection="1">
      <alignment horizontal="center"/>
    </xf>
    <xf numFmtId="0" fontId="55" fillId="4" borderId="11" xfId="0" applyFont="1" applyFill="1" applyBorder="1" applyAlignment="1" applyProtection="1"/>
    <xf numFmtId="0" fontId="54" fillId="4" borderId="11" xfId="0" applyFont="1" applyFill="1" applyBorder="1" applyAlignment="1" applyProtection="1">
      <alignment horizontal="left"/>
    </xf>
    <xf numFmtId="0" fontId="55" fillId="4" borderId="11" xfId="0" applyFont="1" applyFill="1" applyBorder="1" applyAlignment="1" applyProtection="1">
      <alignment horizontal="left"/>
    </xf>
    <xf numFmtId="0" fontId="55" fillId="4" borderId="11" xfId="0" applyFont="1" applyFill="1" applyBorder="1" applyAlignment="1" applyProtection="1">
      <alignment horizontal="center"/>
    </xf>
    <xf numFmtId="182" fontId="55" fillId="4" borderId="11" xfId="0" applyNumberFormat="1" applyFont="1" applyFill="1" applyBorder="1" applyAlignment="1" applyProtection="1">
      <alignment horizontal="center"/>
    </xf>
    <xf numFmtId="0" fontId="55" fillId="4" borderId="11" xfId="0" applyNumberFormat="1" applyFont="1" applyFill="1" applyBorder="1" applyAlignment="1" applyProtection="1">
      <alignment horizontal="center"/>
    </xf>
    <xf numFmtId="168" fontId="55" fillId="4" borderId="11" xfId="0" applyNumberFormat="1" applyFont="1" applyFill="1" applyBorder="1" applyAlignment="1" applyProtection="1">
      <alignment horizontal="center"/>
    </xf>
    <xf numFmtId="168" fontId="55" fillId="4" borderId="11" xfId="0" applyNumberFormat="1" applyFont="1" applyFill="1" applyBorder="1" applyProtection="1"/>
    <xf numFmtId="0" fontId="55" fillId="4" borderId="11" xfId="0" applyFont="1" applyFill="1" applyBorder="1" applyProtection="1"/>
    <xf numFmtId="0" fontId="55" fillId="4" borderId="11" xfId="0" applyNumberFormat="1" applyFont="1" applyFill="1" applyBorder="1" applyAlignment="1" applyProtection="1"/>
    <xf numFmtId="164" fontId="55" fillId="4" borderId="11" xfId="0" applyNumberFormat="1" applyFont="1" applyFill="1" applyBorder="1" applyProtection="1"/>
    <xf numFmtId="172" fontId="55" fillId="4" borderId="11" xfId="0" applyNumberFormat="1" applyFont="1" applyFill="1" applyBorder="1" applyProtection="1"/>
    <xf numFmtId="2" fontId="55" fillId="4" borderId="11" xfId="0" applyNumberFormat="1" applyFont="1" applyFill="1" applyBorder="1" applyProtection="1"/>
    <xf numFmtId="14" fontId="13" fillId="5" borderId="14" xfId="0" applyNumberFormat="1" applyFont="1" applyFill="1" applyBorder="1" applyAlignment="1" applyProtection="1">
      <alignment horizontal="left"/>
      <protection locked="0"/>
    </xf>
    <xf numFmtId="0" fontId="31" fillId="4" borderId="0" xfId="0" applyFont="1" applyFill="1" applyBorder="1" applyAlignment="1" applyProtection="1"/>
    <xf numFmtId="0" fontId="31" fillId="4" borderId="0" xfId="0" applyFont="1" applyFill="1" applyBorder="1" applyAlignment="1" applyProtection="1">
      <alignment horizontal="center"/>
    </xf>
    <xf numFmtId="1" fontId="31" fillId="4" borderId="0" xfId="0" applyNumberFormat="1" applyFont="1" applyFill="1" applyBorder="1" applyAlignment="1" applyProtection="1">
      <alignment horizontal="center"/>
    </xf>
    <xf numFmtId="0" fontId="32" fillId="4" borderId="0" xfId="0" applyFont="1" applyFill="1" applyBorder="1" applyAlignment="1" applyProtection="1"/>
    <xf numFmtId="0" fontId="23" fillId="4" borderId="0" xfId="0" applyFont="1" applyFill="1" applyBorder="1" applyAlignment="1" applyProtection="1">
      <alignment horizontal="center"/>
    </xf>
    <xf numFmtId="22" fontId="13" fillId="4" borderId="0" xfId="0" applyNumberFormat="1" applyFont="1" applyFill="1" applyBorder="1" applyAlignment="1" applyProtection="1">
      <alignment horizontal="center"/>
    </xf>
    <xf numFmtId="182" fontId="17" fillId="4" borderId="0" xfId="0" applyNumberFormat="1" applyFont="1" applyFill="1" applyBorder="1" applyAlignment="1" applyProtection="1">
      <alignment horizontal="left"/>
    </xf>
    <xf numFmtId="0" fontId="17" fillId="4" borderId="0" xfId="0" applyNumberFormat="1" applyFont="1" applyFill="1" applyBorder="1" applyAlignment="1" applyProtection="1">
      <alignment horizontal="center"/>
    </xf>
    <xf numFmtId="180" fontId="17" fillId="4" borderId="0" xfId="0" applyNumberFormat="1" applyFont="1" applyFill="1" applyBorder="1" applyAlignment="1" applyProtection="1">
      <alignment horizontal="right"/>
    </xf>
    <xf numFmtId="164" fontId="17" fillId="4" borderId="0" xfId="0" applyNumberFormat="1" applyFont="1" applyFill="1" applyBorder="1" applyAlignment="1" applyProtection="1">
      <alignment horizontal="right"/>
    </xf>
    <xf numFmtId="2" fontId="17" fillId="4" borderId="0" xfId="0" applyNumberFormat="1" applyFont="1" applyFill="1" applyBorder="1" applyAlignment="1" applyProtection="1">
      <alignment horizontal="right"/>
    </xf>
    <xf numFmtId="0" fontId="13" fillId="4" borderId="0" xfId="0" applyFont="1" applyFill="1" applyBorder="1" applyAlignment="1" applyProtection="1">
      <alignment horizontal="left" vertical="center"/>
    </xf>
    <xf numFmtId="172" fontId="13" fillId="5" borderId="2" xfId="4" applyNumberFormat="1" applyFont="1" applyFill="1" applyBorder="1" applyAlignment="1" applyProtection="1"/>
    <xf numFmtId="172" fontId="13" fillId="5" borderId="0" xfId="4" applyNumberFormat="1" applyFont="1" applyFill="1" applyBorder="1" applyAlignment="1" applyProtection="1"/>
    <xf numFmtId="164" fontId="17" fillId="5" borderId="7" xfId="0" applyNumberFormat="1" applyFont="1" applyFill="1" applyBorder="1" applyProtection="1"/>
    <xf numFmtId="2" fontId="17" fillId="5" borderId="7" xfId="0" applyNumberFormat="1" applyFont="1" applyFill="1" applyBorder="1" applyProtection="1"/>
    <xf numFmtId="0" fontId="55" fillId="5" borderId="4" xfId="0" applyFont="1" applyFill="1" applyBorder="1" applyAlignment="1" applyProtection="1">
      <alignment horizontal="left"/>
    </xf>
    <xf numFmtId="0" fontId="55" fillId="4" borderId="13" xfId="0" applyFont="1" applyFill="1" applyBorder="1" applyAlignment="1" applyProtection="1">
      <alignment horizontal="left"/>
    </xf>
    <xf numFmtId="0" fontId="55" fillId="4" borderId="15" xfId="0" applyNumberFormat="1" applyFont="1" applyFill="1" applyBorder="1" applyAlignment="1" applyProtection="1">
      <alignment horizontal="left"/>
    </xf>
    <xf numFmtId="172" fontId="55" fillId="5" borderId="5" xfId="0" applyNumberFormat="1" applyFont="1" applyFill="1" applyBorder="1" applyAlignment="1" applyProtection="1">
      <alignment horizontal="left"/>
    </xf>
    <xf numFmtId="172" fontId="55" fillId="4" borderId="0" xfId="0" applyNumberFormat="1" applyFont="1" applyFill="1" applyBorder="1" applyAlignment="1" applyProtection="1">
      <alignment horizontal="left"/>
    </xf>
    <xf numFmtId="0" fontId="55" fillId="4" borderId="0" xfId="0" applyFont="1" applyFill="1" applyBorder="1" applyProtection="1"/>
    <xf numFmtId="0" fontId="55" fillId="5" borderId="4" xfId="0" applyFont="1" applyFill="1" applyBorder="1" applyProtection="1"/>
    <xf numFmtId="0" fontId="55" fillId="4" borderId="13" xfId="0" applyFont="1" applyFill="1" applyBorder="1" applyAlignment="1" applyProtection="1">
      <alignment horizontal="center"/>
    </xf>
    <xf numFmtId="0" fontId="63" fillId="4" borderId="15" xfId="0" applyNumberFormat="1" applyFont="1" applyFill="1" applyBorder="1" applyAlignment="1" applyProtection="1">
      <alignment horizontal="center"/>
    </xf>
    <xf numFmtId="172" fontId="63" fillId="5" borderId="5" xfId="0" applyNumberFormat="1" applyFont="1" applyFill="1" applyBorder="1" applyAlignment="1" applyProtection="1">
      <alignment horizontal="center"/>
    </xf>
    <xf numFmtId="172" fontId="55" fillId="4" borderId="0" xfId="0" applyNumberFormat="1" applyFont="1" applyFill="1" applyBorder="1" applyAlignment="1" applyProtection="1">
      <alignment horizontal="center"/>
    </xf>
    <xf numFmtId="0" fontId="55" fillId="4" borderId="13" xfId="0" applyFont="1" applyFill="1" applyBorder="1" applyProtection="1"/>
    <xf numFmtId="0" fontId="55" fillId="4" borderId="15" xfId="0" applyFont="1" applyFill="1" applyBorder="1" applyProtection="1"/>
    <xf numFmtId="0" fontId="55" fillId="5" borderId="5" xfId="0" applyFont="1" applyFill="1" applyBorder="1" applyProtection="1"/>
    <xf numFmtId="172" fontId="55" fillId="4" borderId="0" xfId="4" applyNumberFormat="1" applyFont="1" applyFill="1" applyBorder="1" applyProtection="1"/>
    <xf numFmtId="1" fontId="13" fillId="4" borderId="0" xfId="0" applyNumberFormat="1" applyFont="1" applyFill="1" applyBorder="1" applyAlignment="1" applyProtection="1">
      <alignment horizontal="left"/>
    </xf>
    <xf numFmtId="0" fontId="23" fillId="4" borderId="0" xfId="0" applyFont="1" applyFill="1" applyBorder="1" applyAlignment="1" applyProtection="1">
      <alignment horizontal="right"/>
    </xf>
    <xf numFmtId="0" fontId="63" fillId="5" borderId="0" xfId="0" applyFont="1" applyFill="1" applyBorder="1" applyAlignment="1" applyProtection="1">
      <alignment horizontal="right"/>
    </xf>
    <xf numFmtId="3" fontId="13" fillId="5" borderId="0" xfId="0" applyNumberFormat="1" applyFont="1" applyFill="1" applyBorder="1" applyProtection="1"/>
    <xf numFmtId="0" fontId="49" fillId="5" borderId="6" xfId="0" applyFont="1" applyFill="1" applyBorder="1" applyProtection="1"/>
    <xf numFmtId="0" fontId="49" fillId="5" borderId="7" xfId="0" applyFont="1" applyFill="1" applyBorder="1" applyProtection="1"/>
    <xf numFmtId="3" fontId="49" fillId="5" borderId="7" xfId="0" applyNumberFormat="1" applyFont="1" applyFill="1" applyBorder="1" applyProtection="1"/>
    <xf numFmtId="0" fontId="49" fillId="5" borderId="7" xfId="0" applyFont="1" applyFill="1" applyBorder="1" applyAlignment="1" applyProtection="1">
      <alignment horizontal="center"/>
    </xf>
    <xf numFmtId="172" fontId="49" fillId="5" borderId="7" xfId="0" applyNumberFormat="1" applyFont="1" applyFill="1" applyBorder="1" applyAlignment="1" applyProtection="1">
      <alignment horizontal="center"/>
    </xf>
    <xf numFmtId="0" fontId="49" fillId="5" borderId="8" xfId="0" applyFont="1" applyFill="1" applyBorder="1" applyProtection="1"/>
    <xf numFmtId="3" fontId="13" fillId="5" borderId="2" xfId="0" applyNumberFormat="1" applyFont="1" applyFill="1" applyBorder="1" applyProtection="1"/>
    <xf numFmtId="172" fontId="13" fillId="5" borderId="2" xfId="0" applyNumberFormat="1" applyFont="1" applyFill="1" applyBorder="1" applyAlignment="1" applyProtection="1">
      <alignment horizontal="center"/>
    </xf>
    <xf numFmtId="1" fontId="13" fillId="5" borderId="0" xfId="0" applyNumberFormat="1" applyFont="1" applyFill="1" applyBorder="1" applyProtection="1"/>
    <xf numFmtId="49" fontId="13" fillId="5" borderId="0" xfId="0" applyNumberFormat="1" applyFont="1" applyFill="1" applyBorder="1" applyAlignment="1" applyProtection="1">
      <alignment horizontal="center"/>
    </xf>
    <xf numFmtId="1" fontId="17" fillId="5" borderId="0" xfId="0" applyNumberFormat="1" applyFont="1" applyFill="1" applyBorder="1" applyProtection="1"/>
    <xf numFmtId="1" fontId="13" fillId="5" borderId="0" xfId="0" applyNumberFormat="1" applyFont="1" applyFill="1" applyBorder="1" applyAlignment="1" applyProtection="1">
      <alignment horizontal="center"/>
    </xf>
    <xf numFmtId="172" fontId="17" fillId="5" borderId="0" xfId="4" applyNumberFormat="1" applyFont="1" applyFill="1" applyBorder="1" applyAlignment="1" applyProtection="1">
      <alignment horizontal="center"/>
    </xf>
    <xf numFmtId="0" fontId="61" fillId="4" borderId="0" xfId="0" applyFont="1" applyFill="1" applyBorder="1" applyAlignment="1" applyProtection="1">
      <alignment horizontal="right"/>
    </xf>
    <xf numFmtId="49" fontId="61" fillId="4" borderId="0" xfId="0" applyNumberFormat="1" applyFont="1" applyFill="1" applyBorder="1" applyAlignment="1" applyProtection="1">
      <alignment horizontal="center"/>
    </xf>
    <xf numFmtId="172" fontId="60" fillId="4" borderId="0" xfId="0" applyNumberFormat="1" applyFont="1" applyFill="1" applyBorder="1" applyProtection="1"/>
    <xf numFmtId="172" fontId="59" fillId="4" borderId="0" xfId="0" applyNumberFormat="1" applyFont="1" applyFill="1" applyBorder="1" applyProtection="1"/>
    <xf numFmtId="172" fontId="17" fillId="4" borderId="14" xfId="4" applyNumberFormat="1" applyFont="1" applyFill="1" applyBorder="1" applyAlignment="1" applyProtection="1">
      <alignment horizontal="center"/>
    </xf>
    <xf numFmtId="1" fontId="17" fillId="4" borderId="14" xfId="0" applyNumberFormat="1" applyFont="1" applyFill="1" applyBorder="1" applyProtection="1"/>
    <xf numFmtId="1" fontId="17" fillId="4" borderId="14" xfId="0" applyNumberFormat="1" applyFont="1" applyFill="1" applyBorder="1" applyAlignment="1" applyProtection="1">
      <alignment horizontal="center"/>
    </xf>
    <xf numFmtId="1" fontId="13" fillId="4" borderId="14" xfId="0" applyNumberFormat="1" applyFont="1" applyFill="1" applyBorder="1" applyProtection="1"/>
    <xf numFmtId="49" fontId="13" fillId="4" borderId="14" xfId="0" applyNumberFormat="1" applyFont="1" applyFill="1" applyBorder="1" applyAlignment="1" applyProtection="1">
      <alignment horizontal="center"/>
    </xf>
    <xf numFmtId="49" fontId="22" fillId="4" borderId="14" xfId="0" applyNumberFormat="1" applyFont="1" applyFill="1" applyBorder="1" applyAlignment="1" applyProtection="1">
      <alignment horizontal="center"/>
    </xf>
    <xf numFmtId="49" fontId="13" fillId="4" borderId="14" xfId="0" applyNumberFormat="1" applyFont="1" applyFill="1" applyBorder="1" applyAlignment="1" applyProtection="1">
      <alignment horizontal="center"/>
      <protection locked="0"/>
    </xf>
    <xf numFmtId="1" fontId="13" fillId="4" borderId="14" xfId="0" applyNumberFormat="1" applyFont="1" applyFill="1" applyBorder="1" applyAlignment="1" applyProtection="1">
      <alignment horizontal="center"/>
    </xf>
    <xf numFmtId="172" fontId="13" fillId="4" borderId="14" xfId="4" applyNumberFormat="1" applyFont="1" applyFill="1" applyBorder="1" applyAlignment="1" applyProtection="1">
      <alignment horizontal="right"/>
    </xf>
    <xf numFmtId="172" fontId="23" fillId="4" borderId="14" xfId="4" applyNumberFormat="1" applyFont="1" applyFill="1" applyBorder="1" applyAlignment="1" applyProtection="1">
      <alignment horizontal="center"/>
    </xf>
    <xf numFmtId="1" fontId="13" fillId="4" borderId="14" xfId="0" applyNumberFormat="1" applyFont="1" applyFill="1" applyBorder="1" applyAlignment="1" applyProtection="1">
      <alignment horizontal="left"/>
    </xf>
    <xf numFmtId="0" fontId="13" fillId="4" borderId="14" xfId="0" quotePrefix="1" applyFont="1" applyFill="1" applyBorder="1" applyAlignment="1" applyProtection="1">
      <alignment horizontal="left"/>
    </xf>
    <xf numFmtId="3" fontId="13" fillId="4" borderId="14" xfId="0" applyNumberFormat="1" applyFont="1" applyFill="1" applyBorder="1" applyProtection="1"/>
    <xf numFmtId="0" fontId="22" fillId="4" borderId="14" xfId="0" applyFont="1" applyFill="1" applyBorder="1" applyAlignment="1" applyProtection="1">
      <alignment horizontal="right"/>
    </xf>
    <xf numFmtId="165" fontId="13" fillId="4" borderId="14" xfId="0" applyNumberFormat="1" applyFont="1" applyFill="1" applyBorder="1" applyAlignment="1" applyProtection="1">
      <alignment horizontal="center"/>
    </xf>
    <xf numFmtId="3" fontId="23" fillId="4" borderId="14" xfId="0" applyNumberFormat="1" applyFont="1" applyFill="1" applyBorder="1" applyProtection="1"/>
    <xf numFmtId="172" fontId="13" fillId="6" borderId="14" xfId="0" applyNumberFormat="1" applyFont="1" applyFill="1" applyBorder="1" applyAlignment="1" applyProtection="1">
      <alignment horizontal="left"/>
    </xf>
    <xf numFmtId="172" fontId="13" fillId="6" borderId="14" xfId="0" applyNumberFormat="1" applyFont="1" applyFill="1" applyBorder="1" applyAlignment="1" applyProtection="1">
      <alignment horizontal="center"/>
    </xf>
    <xf numFmtId="165" fontId="13" fillId="6" borderId="14" xfId="4" applyNumberFormat="1" applyFont="1" applyFill="1" applyBorder="1" applyAlignment="1" applyProtection="1">
      <alignment horizontal="center"/>
    </xf>
    <xf numFmtId="172" fontId="13" fillId="5" borderId="14" xfId="0" applyNumberFormat="1" applyFont="1" applyFill="1" applyBorder="1" applyAlignment="1" applyProtection="1">
      <alignment horizontal="center"/>
      <protection locked="0"/>
    </xf>
    <xf numFmtId="4" fontId="13" fillId="5" borderId="14" xfId="0" applyNumberFormat="1" applyFont="1" applyFill="1" applyBorder="1" applyAlignment="1" applyProtection="1">
      <alignment horizontal="center"/>
      <protection locked="0"/>
    </xf>
    <xf numFmtId="172" fontId="72" fillId="7" borderId="14" xfId="0" applyNumberFormat="1" applyFont="1" applyFill="1" applyBorder="1" applyAlignment="1" applyProtection="1">
      <alignment horizontal="left"/>
    </xf>
    <xf numFmtId="172" fontId="72" fillId="7" borderId="14" xfId="0" applyNumberFormat="1" applyFont="1" applyFill="1" applyBorder="1" applyAlignment="1" applyProtection="1">
      <alignment horizontal="center"/>
    </xf>
    <xf numFmtId="172" fontId="69" fillId="7" borderId="14" xfId="0" applyNumberFormat="1" applyFont="1" applyFill="1" applyBorder="1" applyAlignment="1" applyProtection="1">
      <alignment horizontal="center"/>
    </xf>
    <xf numFmtId="164" fontId="69" fillId="7" borderId="14" xfId="4" applyNumberFormat="1" applyFont="1" applyFill="1" applyBorder="1" applyAlignment="1" applyProtection="1">
      <alignment horizontal="left"/>
    </xf>
    <xf numFmtId="1" fontId="56" fillId="4" borderId="14" xfId="0" applyNumberFormat="1" applyFont="1" applyFill="1" applyBorder="1" applyProtection="1"/>
    <xf numFmtId="172" fontId="65" fillId="7" borderId="14" xfId="4" applyNumberFormat="1" applyFont="1" applyFill="1" applyBorder="1" applyAlignment="1" applyProtection="1">
      <alignment horizontal="center"/>
    </xf>
    <xf numFmtId="3" fontId="13" fillId="5" borderId="22" xfId="0" applyNumberFormat="1" applyFont="1" applyFill="1" applyBorder="1" applyProtection="1">
      <protection locked="0"/>
    </xf>
    <xf numFmtId="0" fontId="13" fillId="4" borderId="22" xfId="0" applyFont="1" applyFill="1" applyBorder="1" applyProtection="1">
      <protection locked="0"/>
    </xf>
    <xf numFmtId="0" fontId="13" fillId="4" borderId="13" xfId="0" applyFont="1" applyFill="1" applyBorder="1" applyProtection="1">
      <protection locked="0"/>
    </xf>
    <xf numFmtId="0" fontId="40" fillId="4" borderId="0" xfId="0" applyFont="1" applyFill="1" applyBorder="1" applyProtection="1"/>
    <xf numFmtId="0" fontId="13" fillId="4" borderId="0" xfId="0" applyFont="1" applyFill="1" applyBorder="1" applyAlignment="1" applyProtection="1">
      <alignment horizontal="left" indent="2"/>
    </xf>
    <xf numFmtId="0" fontId="17" fillId="4" borderId="0" xfId="0" applyFont="1" applyFill="1" applyBorder="1" applyAlignment="1" applyProtection="1">
      <alignment horizontal="left" indent="2"/>
    </xf>
    <xf numFmtId="0" fontId="37" fillId="5" borderId="4" xfId="0" applyFont="1" applyFill="1" applyBorder="1" applyProtection="1"/>
    <xf numFmtId="0" fontId="40" fillId="5" borderId="0" xfId="0" applyFont="1" applyFill="1" applyBorder="1" applyProtection="1"/>
    <xf numFmtId="0" fontId="35" fillId="5" borderId="0" xfId="0" applyFont="1" applyFill="1" applyBorder="1" applyProtection="1"/>
    <xf numFmtId="0" fontId="40" fillId="5" borderId="5" xfId="0" applyFont="1" applyFill="1" applyBorder="1" applyProtection="1"/>
    <xf numFmtId="0" fontId="12" fillId="5" borderId="4" xfId="0" applyFont="1" applyFill="1" applyBorder="1" applyProtection="1"/>
    <xf numFmtId="0" fontId="22" fillId="5" borderId="0" xfId="0" applyFont="1" applyFill="1" applyBorder="1" applyAlignment="1" applyProtection="1">
      <alignment horizontal="right"/>
    </xf>
    <xf numFmtId="0" fontId="27" fillId="5" borderId="5" xfId="0" applyFont="1" applyFill="1" applyBorder="1" applyProtection="1"/>
    <xf numFmtId="0" fontId="23" fillId="5" borderId="0" xfId="0" applyFont="1" applyFill="1" applyBorder="1" applyAlignment="1" applyProtection="1">
      <alignment horizontal="right"/>
    </xf>
    <xf numFmtId="0" fontId="12" fillId="5" borderId="0" xfId="0" applyFont="1" applyFill="1" applyBorder="1" applyProtection="1"/>
    <xf numFmtId="0" fontId="23" fillId="5" borderId="4" xfId="0" applyFont="1" applyFill="1" applyBorder="1" applyAlignment="1" applyProtection="1">
      <alignment horizontal="right"/>
    </xf>
    <xf numFmtId="0" fontId="42" fillId="5" borderId="4" xfId="0" applyFont="1" applyFill="1" applyBorder="1" applyProtection="1"/>
    <xf numFmtId="0" fontId="42" fillId="5" borderId="0" xfId="0" applyFont="1" applyFill="1" applyBorder="1" applyProtection="1"/>
    <xf numFmtId="0" fontId="46" fillId="5" borderId="0" xfId="0" applyNumberFormat="1" applyFont="1" applyFill="1" applyBorder="1" applyAlignment="1" applyProtection="1">
      <alignment horizontal="right"/>
    </xf>
    <xf numFmtId="0" fontId="35" fillId="5" borderId="5" xfId="0" applyFont="1" applyFill="1" applyBorder="1" applyProtection="1"/>
    <xf numFmtId="164" fontId="13" fillId="5" borderId="13" xfId="0" applyNumberFormat="1" applyFont="1" applyFill="1" applyBorder="1" applyProtection="1">
      <protection locked="0"/>
    </xf>
    <xf numFmtId="164" fontId="13" fillId="6" borderId="14" xfId="0" applyNumberFormat="1" applyFont="1" applyFill="1" applyBorder="1" applyAlignment="1" applyProtection="1"/>
    <xf numFmtId="164" fontId="65" fillId="7" borderId="13" xfId="0" applyNumberFormat="1" applyFont="1" applyFill="1" applyBorder="1" applyAlignment="1" applyProtection="1"/>
    <xf numFmtId="164" fontId="65" fillId="7" borderId="14" xfId="0" applyNumberFormat="1" applyFont="1" applyFill="1" applyBorder="1" applyAlignment="1" applyProtection="1"/>
    <xf numFmtId="0" fontId="46" fillId="5" borderId="4" xfId="0" applyFont="1" applyFill="1" applyBorder="1" applyAlignment="1" applyProtection="1">
      <alignment horizontal="right"/>
    </xf>
    <xf numFmtId="164" fontId="13" fillId="6" borderId="13" xfId="0" applyNumberFormat="1" applyFont="1" applyFill="1" applyBorder="1" applyProtection="1"/>
    <xf numFmtId="0" fontId="37" fillId="5" borderId="0" xfId="0" applyFont="1" applyFill="1" applyBorder="1" applyAlignment="1" applyProtection="1">
      <alignment horizontal="center"/>
    </xf>
    <xf numFmtId="0" fontId="18" fillId="5" borderId="0" xfId="0" applyFont="1" applyFill="1" applyBorder="1" applyProtection="1"/>
    <xf numFmtId="164" fontId="13" fillId="5" borderId="14" xfId="0" applyNumberFormat="1" applyFont="1" applyFill="1" applyBorder="1" applyAlignment="1" applyProtection="1">
      <alignment horizontal="center"/>
    </xf>
    <xf numFmtId="0" fontId="23" fillId="4" borderId="10" xfId="0" applyFont="1" applyFill="1" applyBorder="1" applyAlignment="1" applyProtection="1">
      <alignment horizontal="center"/>
    </xf>
    <xf numFmtId="0" fontId="23" fillId="4" borderId="11" xfId="0" applyFont="1" applyFill="1" applyBorder="1" applyAlignment="1" applyProtection="1">
      <alignment horizontal="left"/>
    </xf>
    <xf numFmtId="0" fontId="23" fillId="4" borderId="11" xfId="0" applyFont="1" applyFill="1" applyBorder="1" applyAlignment="1" applyProtection="1">
      <alignment horizontal="center"/>
    </xf>
    <xf numFmtId="0" fontId="23" fillId="4" borderId="11" xfId="0" applyNumberFormat="1" applyFont="1" applyFill="1" applyBorder="1" applyAlignment="1" applyProtection="1">
      <alignment horizontal="center"/>
    </xf>
    <xf numFmtId="0" fontId="23" fillId="4" borderId="12" xfId="0" applyFont="1" applyFill="1" applyBorder="1" applyAlignment="1" applyProtection="1">
      <alignment horizontal="center"/>
    </xf>
    <xf numFmtId="0" fontId="23" fillId="4" borderId="13" xfId="0" applyFont="1" applyFill="1" applyBorder="1" applyAlignment="1" applyProtection="1">
      <alignment horizontal="center"/>
    </xf>
    <xf numFmtId="0" fontId="23" fillId="4" borderId="14" xfId="0" applyNumberFormat="1" applyFont="1" applyFill="1" applyBorder="1" applyAlignment="1" applyProtection="1">
      <alignment horizontal="center"/>
    </xf>
    <xf numFmtId="0" fontId="23" fillId="4" borderId="15" xfId="0" applyFont="1" applyFill="1" applyBorder="1" applyAlignment="1" applyProtection="1">
      <alignment horizontal="center"/>
    </xf>
    <xf numFmtId="0" fontId="23" fillId="4" borderId="17" xfId="0" applyFont="1" applyFill="1" applyBorder="1" applyAlignment="1" applyProtection="1">
      <alignment horizontal="left"/>
    </xf>
    <xf numFmtId="1" fontId="63" fillId="5" borderId="0" xfId="0" quotePrefix="1" applyNumberFormat="1" applyFont="1" applyFill="1" applyBorder="1" applyAlignment="1" applyProtection="1">
      <alignment horizontal="center"/>
    </xf>
    <xf numFmtId="0" fontId="32" fillId="5" borderId="0" xfId="0" applyFont="1" applyFill="1" applyBorder="1" applyAlignment="1" applyProtection="1">
      <alignment horizontal="left"/>
    </xf>
    <xf numFmtId="0" fontId="57" fillId="5" borderId="0" xfId="0" applyFont="1" applyFill="1" applyBorder="1" applyProtection="1"/>
    <xf numFmtId="0" fontId="57" fillId="4" borderId="13" xfId="0" applyFont="1" applyFill="1" applyBorder="1" applyProtection="1"/>
    <xf numFmtId="0" fontId="57" fillId="4" borderId="14" xfId="0" applyFont="1" applyFill="1" applyBorder="1" applyAlignment="1" applyProtection="1">
      <alignment horizontal="left"/>
    </xf>
    <xf numFmtId="0" fontId="57" fillId="4" borderId="14" xfId="0" applyFont="1" applyFill="1" applyBorder="1" applyProtection="1"/>
    <xf numFmtId="0" fontId="57" fillId="4" borderId="15" xfId="0" applyFont="1" applyFill="1" applyBorder="1" applyProtection="1"/>
    <xf numFmtId="0" fontId="57" fillId="4" borderId="0" xfId="0" applyFont="1" applyFill="1" applyBorder="1" applyProtection="1"/>
    <xf numFmtId="0" fontId="13" fillId="6" borderId="14" xfId="0" applyNumberFormat="1" applyFont="1" applyFill="1" applyBorder="1" applyAlignment="1" applyProtection="1">
      <alignment horizontal="center"/>
    </xf>
    <xf numFmtId="0" fontId="35" fillId="5" borderId="4" xfId="0" applyFont="1" applyFill="1" applyBorder="1" applyAlignment="1" applyProtection="1">
      <alignment horizontal="right"/>
    </xf>
    <xf numFmtId="0" fontId="35" fillId="5" borderId="0" xfId="0" applyFont="1" applyFill="1" applyBorder="1" applyAlignment="1" applyProtection="1">
      <alignment horizontal="right"/>
    </xf>
    <xf numFmtId="0" fontId="42" fillId="5" borderId="0" xfId="0" applyFont="1" applyFill="1" applyBorder="1" applyAlignment="1" applyProtection="1">
      <alignment horizontal="right"/>
    </xf>
    <xf numFmtId="0" fontId="44" fillId="5" borderId="4" xfId="0" applyFont="1" applyFill="1" applyBorder="1" applyProtection="1"/>
    <xf numFmtId="0" fontId="44" fillId="5" borderId="0" xfId="0" applyFont="1" applyFill="1" applyBorder="1" applyProtection="1"/>
    <xf numFmtId="0" fontId="46" fillId="5" borderId="0" xfId="0" applyFont="1" applyFill="1" applyBorder="1" applyProtection="1"/>
    <xf numFmtId="0" fontId="46" fillId="5" borderId="5" xfId="0" applyFont="1" applyFill="1" applyBorder="1" applyProtection="1"/>
    <xf numFmtId="0" fontId="13" fillId="5" borderId="4" xfId="0" applyFont="1" applyFill="1" applyBorder="1" applyAlignment="1" applyProtection="1">
      <alignment horizontal="right"/>
    </xf>
    <xf numFmtId="0" fontId="13" fillId="4" borderId="10" xfId="0" applyFont="1" applyFill="1" applyBorder="1" applyAlignment="1" applyProtection="1">
      <alignment horizontal="right"/>
    </xf>
    <xf numFmtId="0" fontId="17" fillId="4" borderId="11" xfId="0" applyFont="1" applyFill="1" applyBorder="1" applyAlignment="1" applyProtection="1">
      <alignment horizontal="left"/>
    </xf>
    <xf numFmtId="0" fontId="13" fillId="4" borderId="13" xfId="0" applyFont="1" applyFill="1" applyBorder="1" applyAlignment="1" applyProtection="1">
      <alignment horizontal="right"/>
    </xf>
    <xf numFmtId="164" fontId="13" fillId="6" borderId="14" xfId="0" applyNumberFormat="1" applyFont="1" applyFill="1" applyBorder="1" applyProtection="1"/>
    <xf numFmtId="164" fontId="13" fillId="5" borderId="14" xfId="0" applyNumberFormat="1" applyFont="1" applyFill="1" applyBorder="1" applyAlignment="1" applyProtection="1">
      <protection locked="0"/>
    </xf>
    <xf numFmtId="0" fontId="13" fillId="4" borderId="16" xfId="0" applyFont="1" applyFill="1" applyBorder="1" applyAlignment="1" applyProtection="1">
      <alignment horizontal="right"/>
    </xf>
    <xf numFmtId="0" fontId="13" fillId="4" borderId="11" xfId="0" applyNumberFormat="1" applyFont="1" applyFill="1" applyBorder="1" applyProtection="1"/>
    <xf numFmtId="164" fontId="72" fillId="7" borderId="14" xfId="0" applyNumberFormat="1" applyFont="1" applyFill="1" applyBorder="1" applyAlignment="1" applyProtection="1">
      <alignment horizontal="center"/>
    </xf>
    <xf numFmtId="0" fontId="13" fillId="4" borderId="14" xfId="0" applyNumberFormat="1" applyFont="1" applyFill="1" applyBorder="1" applyProtection="1"/>
    <xf numFmtId="0" fontId="17" fillId="5" borderId="4" xfId="0" applyFont="1" applyFill="1" applyBorder="1" applyProtection="1"/>
    <xf numFmtId="0" fontId="17" fillId="4" borderId="13" xfId="0" applyFont="1" applyFill="1" applyBorder="1" applyProtection="1"/>
    <xf numFmtId="0" fontId="17" fillId="4" borderId="15" xfId="0" applyFont="1" applyFill="1" applyBorder="1" applyProtection="1"/>
    <xf numFmtId="0" fontId="17" fillId="5" borderId="4" xfId="0" applyFont="1" applyFill="1" applyBorder="1" applyAlignment="1" applyProtection="1">
      <alignment horizontal="right"/>
    </xf>
    <xf numFmtId="0" fontId="17" fillId="4" borderId="13" xfId="0" applyFont="1" applyFill="1" applyBorder="1" applyAlignment="1" applyProtection="1">
      <alignment horizontal="right"/>
    </xf>
    <xf numFmtId="0" fontId="53" fillId="5" borderId="4" xfId="0" applyFont="1" applyFill="1" applyBorder="1" applyProtection="1"/>
    <xf numFmtId="0" fontId="55" fillId="5" borderId="0" xfId="0" applyFont="1" applyFill="1" applyBorder="1" applyAlignment="1" applyProtection="1">
      <alignment horizontal="right"/>
    </xf>
    <xf numFmtId="0" fontId="63" fillId="5" borderId="0" xfId="0" applyNumberFormat="1" applyFont="1" applyFill="1" applyBorder="1" applyAlignment="1" applyProtection="1">
      <alignment horizontal="right"/>
    </xf>
    <xf numFmtId="0" fontId="54" fillId="5" borderId="0" xfId="0" applyFont="1" applyFill="1" applyBorder="1" applyAlignment="1" applyProtection="1">
      <alignment horizontal="right"/>
    </xf>
    <xf numFmtId="165" fontId="63" fillId="5" borderId="0" xfId="4" applyNumberFormat="1" applyFont="1" applyFill="1" applyBorder="1" applyProtection="1"/>
    <xf numFmtId="165" fontId="63" fillId="5" borderId="5" xfId="4" applyNumberFormat="1" applyFont="1" applyFill="1" applyBorder="1" applyProtection="1"/>
    <xf numFmtId="165" fontId="63" fillId="4" borderId="0" xfId="4" applyNumberFormat="1" applyFont="1" applyFill="1" applyBorder="1" applyProtection="1"/>
    <xf numFmtId="165" fontId="23" fillId="5" borderId="0" xfId="4" applyNumberFormat="1" applyFont="1" applyFill="1" applyBorder="1" applyProtection="1"/>
    <xf numFmtId="165" fontId="23" fillId="5" borderId="5" xfId="4" applyNumberFormat="1" applyFont="1" applyFill="1" applyBorder="1" applyProtection="1"/>
    <xf numFmtId="165" fontId="23" fillId="4" borderId="0" xfId="4" applyNumberFormat="1" applyFont="1" applyFill="1" applyBorder="1" applyProtection="1"/>
    <xf numFmtId="0" fontId="22" fillId="4" borderId="11" xfId="0" applyFont="1" applyFill="1" applyBorder="1" applyAlignment="1" applyProtection="1">
      <alignment horizontal="right"/>
    </xf>
    <xf numFmtId="165" fontId="23" fillId="4" borderId="12" xfId="4" applyNumberFormat="1" applyFont="1" applyFill="1" applyBorder="1" applyProtection="1"/>
    <xf numFmtId="165" fontId="23" fillId="4" borderId="15" xfId="4" applyNumberFormat="1" applyFont="1" applyFill="1" applyBorder="1" applyProtection="1"/>
    <xf numFmtId="164" fontId="13" fillId="6" borderId="14" xfId="0" applyNumberFormat="1" applyFont="1" applyFill="1" applyBorder="1" applyAlignment="1" applyProtection="1">
      <alignment horizontal="left"/>
    </xf>
    <xf numFmtId="164" fontId="13" fillId="6" borderId="14" xfId="4" applyNumberFormat="1" applyFont="1" applyFill="1" applyBorder="1" applyAlignment="1" applyProtection="1">
      <alignment horizontal="left"/>
    </xf>
    <xf numFmtId="164" fontId="72" fillId="7" borderId="14" xfId="0" applyNumberFormat="1" applyFont="1" applyFill="1" applyBorder="1" applyAlignment="1" applyProtection="1">
      <alignment horizontal="left"/>
    </xf>
    <xf numFmtId="0" fontId="17" fillId="5" borderId="4" xfId="0" applyFont="1" applyFill="1" applyBorder="1" applyAlignment="1" applyProtection="1">
      <alignment horizontal="left"/>
    </xf>
    <xf numFmtId="0" fontId="17" fillId="4" borderId="13" xfId="0" applyFont="1" applyFill="1" applyBorder="1" applyAlignment="1" applyProtection="1">
      <alignment horizontal="left"/>
    </xf>
    <xf numFmtId="164" fontId="17" fillId="4" borderId="14" xfId="0" applyNumberFormat="1" applyFont="1" applyFill="1" applyBorder="1" applyAlignment="1" applyProtection="1">
      <alignment horizontal="left"/>
    </xf>
    <xf numFmtId="164" fontId="23" fillId="4" borderId="14" xfId="4" applyNumberFormat="1" applyFont="1" applyFill="1" applyBorder="1" applyAlignment="1" applyProtection="1">
      <alignment horizontal="left"/>
    </xf>
    <xf numFmtId="164" fontId="23" fillId="4" borderId="14" xfId="0" applyNumberFormat="1" applyFont="1" applyFill="1" applyBorder="1" applyAlignment="1" applyProtection="1">
      <alignment horizontal="left"/>
    </xf>
    <xf numFmtId="164" fontId="65" fillId="7" borderId="14" xfId="0" applyNumberFormat="1" applyFont="1" applyFill="1" applyBorder="1" applyAlignment="1" applyProtection="1">
      <alignment horizontal="left"/>
    </xf>
    <xf numFmtId="0" fontId="23" fillId="4" borderId="17" xfId="0" applyFont="1" applyFill="1" applyBorder="1" applyProtection="1"/>
    <xf numFmtId="164" fontId="13" fillId="4" borderId="17" xfId="0" applyNumberFormat="1" applyFont="1" applyFill="1" applyBorder="1" applyAlignment="1" applyProtection="1">
      <alignment horizontal="left"/>
    </xf>
    <xf numFmtId="164" fontId="13" fillId="5" borderId="0" xfId="0" applyNumberFormat="1" applyFont="1" applyFill="1" applyBorder="1" applyAlignment="1" applyProtection="1">
      <alignment horizontal="left"/>
    </xf>
    <xf numFmtId="0" fontId="23" fillId="4" borderId="11" xfId="0" applyFont="1" applyFill="1" applyBorder="1" applyProtection="1"/>
    <xf numFmtId="164" fontId="13" fillId="4" borderId="11" xfId="0" applyNumberFormat="1" applyFont="1" applyFill="1" applyBorder="1" applyAlignment="1" applyProtection="1">
      <alignment horizontal="left"/>
    </xf>
    <xf numFmtId="164" fontId="13" fillId="4" borderId="14" xfId="0" applyNumberFormat="1" applyFont="1" applyFill="1" applyBorder="1" applyAlignment="1" applyProtection="1">
      <alignment horizontal="left"/>
    </xf>
    <xf numFmtId="0" fontId="13" fillId="4" borderId="15" xfId="0" applyFont="1" applyFill="1" applyBorder="1" applyAlignment="1" applyProtection="1">
      <alignment horizontal="right"/>
    </xf>
    <xf numFmtId="0" fontId="55" fillId="4" borderId="15" xfId="0" applyFont="1" applyFill="1" applyBorder="1" applyAlignment="1" applyProtection="1">
      <alignment horizontal="right"/>
    </xf>
    <xf numFmtId="0" fontId="13" fillId="4" borderId="17" xfId="0" applyFont="1" applyFill="1" applyBorder="1" applyAlignment="1" applyProtection="1">
      <alignment horizontal="right"/>
    </xf>
    <xf numFmtId="0" fontId="13" fillId="4" borderId="18" xfId="0" applyFont="1" applyFill="1" applyBorder="1" applyAlignment="1" applyProtection="1">
      <alignment horizontal="right"/>
    </xf>
    <xf numFmtId="164" fontId="17" fillId="5" borderId="0" xfId="0" applyNumberFormat="1" applyFont="1" applyFill="1" applyBorder="1" applyAlignment="1" applyProtection="1">
      <alignment horizontal="left"/>
    </xf>
    <xf numFmtId="0" fontId="41" fillId="5" borderId="4" xfId="0" applyFont="1" applyFill="1" applyBorder="1" applyProtection="1"/>
    <xf numFmtId="0" fontId="35" fillId="5" borderId="0" xfId="0" applyFont="1" applyFill="1" applyBorder="1" applyAlignment="1" applyProtection="1">
      <alignment horizontal="center"/>
    </xf>
    <xf numFmtId="164" fontId="35" fillId="4" borderId="0" xfId="0" applyNumberFormat="1" applyFont="1" applyFill="1" applyBorder="1" applyProtection="1"/>
    <xf numFmtId="0" fontId="17" fillId="4" borderId="10" xfId="0" applyFont="1" applyFill="1" applyBorder="1" applyProtection="1"/>
    <xf numFmtId="0" fontId="22" fillId="4" borderId="11" xfId="0" applyFont="1" applyFill="1" applyBorder="1" applyAlignment="1" applyProtection="1">
      <alignment horizontal="center"/>
    </xf>
    <xf numFmtId="0" fontId="22" fillId="4" borderId="12" xfId="0" applyFont="1" applyFill="1" applyBorder="1" applyAlignment="1" applyProtection="1">
      <alignment horizontal="center"/>
    </xf>
    <xf numFmtId="0" fontId="22" fillId="4" borderId="15" xfId="0" applyFont="1" applyFill="1" applyBorder="1" applyAlignment="1" applyProtection="1">
      <alignment horizontal="center"/>
    </xf>
    <xf numFmtId="164" fontId="13" fillId="4" borderId="15" xfId="0" applyNumberFormat="1" applyFont="1" applyFill="1" applyBorder="1" applyAlignment="1" applyProtection="1">
      <alignment horizontal="center"/>
    </xf>
    <xf numFmtId="164" fontId="17" fillId="4" borderId="15" xfId="0" applyNumberFormat="1" applyFont="1" applyFill="1" applyBorder="1" applyAlignment="1" applyProtection="1">
      <alignment horizontal="center"/>
    </xf>
    <xf numFmtId="0" fontId="13" fillId="4" borderId="18" xfId="0" applyFont="1" applyFill="1" applyBorder="1" applyAlignment="1" applyProtection="1">
      <alignment horizontal="center"/>
    </xf>
    <xf numFmtId="0" fontId="29" fillId="4" borderId="0" xfId="0" applyFont="1" applyFill="1" applyBorder="1" applyAlignment="1" applyProtection="1">
      <alignment horizontal="center"/>
    </xf>
    <xf numFmtId="0" fontId="13" fillId="4" borderId="11" xfId="0" applyFont="1" applyFill="1" applyBorder="1" applyAlignment="1" applyProtection="1">
      <alignment horizontal="right"/>
    </xf>
    <xf numFmtId="0" fontId="13" fillId="4" borderId="12" xfId="0" applyFont="1" applyFill="1" applyBorder="1" applyAlignment="1" applyProtection="1">
      <alignment horizontal="right"/>
    </xf>
    <xf numFmtId="0" fontId="22" fillId="5" borderId="4" xfId="0" applyFont="1" applyFill="1" applyBorder="1" applyProtection="1"/>
    <xf numFmtId="0" fontId="22" fillId="4" borderId="13" xfId="0" applyFont="1" applyFill="1" applyBorder="1" applyProtection="1"/>
    <xf numFmtId="164" fontId="13" fillId="6" borderId="14" xfId="0" applyNumberFormat="1" applyFont="1" applyFill="1" applyBorder="1" applyAlignment="1" applyProtection="1">
      <alignment horizontal="right"/>
    </xf>
    <xf numFmtId="0" fontId="23" fillId="4" borderId="14" xfId="0" applyFont="1" applyFill="1" applyBorder="1" applyProtection="1">
      <protection locked="0"/>
    </xf>
    <xf numFmtId="0" fontId="17" fillId="4" borderId="17" xfId="0" applyFont="1" applyFill="1" applyBorder="1" applyAlignment="1" applyProtection="1">
      <alignment horizontal="left"/>
    </xf>
    <xf numFmtId="164" fontId="17" fillId="4" borderId="17" xfId="0" applyNumberFormat="1" applyFont="1" applyFill="1" applyBorder="1" applyAlignment="1" applyProtection="1">
      <alignment horizontal="center"/>
    </xf>
    <xf numFmtId="164" fontId="17" fillId="4" borderId="18" xfId="0" applyNumberFormat="1" applyFont="1" applyFill="1" applyBorder="1" applyAlignment="1" applyProtection="1">
      <alignment horizontal="center"/>
    </xf>
    <xf numFmtId="170" fontId="17" fillId="5" borderId="7" xfId="0" applyNumberFormat="1" applyFont="1" applyFill="1" applyBorder="1" applyAlignment="1" applyProtection="1">
      <alignment horizontal="center"/>
    </xf>
    <xf numFmtId="0" fontId="3" fillId="4" borderId="0" xfId="0" applyFont="1" applyFill="1" applyBorder="1" applyProtection="1"/>
    <xf numFmtId="0" fontId="3" fillId="4" borderId="0" xfId="0" applyFont="1" applyFill="1" applyBorder="1" applyAlignment="1" applyProtection="1">
      <alignment horizontal="center"/>
    </xf>
    <xf numFmtId="164" fontId="3" fillId="4" borderId="0" xfId="0" applyNumberFormat="1" applyFont="1" applyFill="1" applyBorder="1" applyProtection="1"/>
    <xf numFmtId="0" fontId="47" fillId="4" borderId="0" xfId="0" applyFont="1" applyFill="1" applyBorder="1" applyProtection="1"/>
    <xf numFmtId="164" fontId="47" fillId="4" borderId="0" xfId="0" applyNumberFormat="1" applyFont="1" applyFill="1" applyBorder="1" applyProtection="1"/>
    <xf numFmtId="0" fontId="5" fillId="4" borderId="0" xfId="0" applyFont="1" applyFill="1" applyBorder="1" applyProtection="1"/>
    <xf numFmtId="0" fontId="26" fillId="5" borderId="4" xfId="0" applyFont="1" applyFill="1" applyBorder="1" applyProtection="1"/>
    <xf numFmtId="0" fontId="12" fillId="5" borderId="0" xfId="0" applyFont="1" applyFill="1" applyBorder="1" applyAlignment="1" applyProtection="1">
      <alignment horizontal="center"/>
    </xf>
    <xf numFmtId="0" fontId="12" fillId="5" borderId="5" xfId="0" applyFont="1" applyFill="1" applyBorder="1" applyProtection="1"/>
    <xf numFmtId="164" fontId="5" fillId="4" borderId="0" xfId="0" applyNumberFormat="1" applyFont="1" applyFill="1" applyBorder="1" applyProtection="1"/>
    <xf numFmtId="0" fontId="22" fillId="5" borderId="0" xfId="0" applyFont="1" applyFill="1" applyBorder="1" applyProtection="1"/>
    <xf numFmtId="0" fontId="13" fillId="4" borderId="12" xfId="0" applyFont="1" applyFill="1" applyBorder="1" applyAlignment="1" applyProtection="1">
      <alignment horizontal="center"/>
    </xf>
    <xf numFmtId="0" fontId="2" fillId="4" borderId="0" xfId="0" applyFont="1" applyFill="1" applyBorder="1" applyProtection="1"/>
    <xf numFmtId="0" fontId="17" fillId="4" borderId="15" xfId="0" applyFont="1" applyFill="1" applyBorder="1" applyAlignment="1" applyProtection="1">
      <alignment horizontal="center"/>
    </xf>
    <xf numFmtId="164" fontId="2" fillId="4" borderId="0" xfId="0" applyNumberFormat="1" applyFont="1" applyFill="1" applyBorder="1" applyProtection="1"/>
    <xf numFmtId="0" fontId="55" fillId="4" borderId="17" xfId="0" applyFont="1" applyFill="1" applyBorder="1" applyProtection="1"/>
    <xf numFmtId="0" fontId="74" fillId="4" borderId="14" xfId="0" applyFont="1" applyFill="1" applyBorder="1" applyProtection="1"/>
    <xf numFmtId="0" fontId="13" fillId="4" borderId="14" xfId="0" quotePrefix="1" applyFont="1" applyFill="1" applyBorder="1" applyProtection="1"/>
    <xf numFmtId="164" fontId="57" fillId="7" borderId="14" xfId="0" applyNumberFormat="1" applyFont="1" applyFill="1" applyBorder="1" applyAlignment="1" applyProtection="1">
      <alignment horizontal="center"/>
    </xf>
    <xf numFmtId="0" fontId="62" fillId="4" borderId="14" xfId="0" applyFont="1" applyFill="1" applyBorder="1" applyAlignment="1" applyProtection="1">
      <alignment horizontal="left"/>
    </xf>
    <xf numFmtId="0" fontId="60" fillId="4" borderId="14" xfId="0" applyFont="1" applyFill="1" applyBorder="1" applyAlignment="1" applyProtection="1">
      <alignment horizontal="center"/>
    </xf>
    <xf numFmtId="164" fontId="62" fillId="4" borderId="14" xfId="0" applyNumberFormat="1" applyFont="1" applyFill="1" applyBorder="1" applyAlignment="1" applyProtection="1">
      <alignment horizontal="center"/>
    </xf>
    <xf numFmtId="0" fontId="62" fillId="4" borderId="14" xfId="0" applyFont="1" applyFill="1" applyBorder="1" applyProtection="1"/>
    <xf numFmtId="0" fontId="59" fillId="4" borderId="14" xfId="0" applyFont="1" applyFill="1" applyBorder="1" applyAlignment="1" applyProtection="1">
      <alignment horizontal="center"/>
    </xf>
    <xf numFmtId="179" fontId="62" fillId="4" borderId="14" xfId="0" applyNumberFormat="1" applyFont="1" applyFill="1" applyBorder="1" applyAlignment="1" applyProtection="1">
      <alignment horizontal="center"/>
    </xf>
    <xf numFmtId="169" fontId="62" fillId="4" borderId="14" xfId="0" applyNumberFormat="1" applyFont="1" applyFill="1" applyBorder="1" applyAlignment="1" applyProtection="1">
      <alignment horizontal="center"/>
    </xf>
    <xf numFmtId="164" fontId="13" fillId="4" borderId="17" xfId="0" applyNumberFormat="1" applyFont="1" applyFill="1" applyBorder="1" applyAlignment="1" applyProtection="1">
      <alignment horizontal="center"/>
    </xf>
    <xf numFmtId="0" fontId="13" fillId="4" borderId="0" xfId="0" applyFont="1" applyFill="1" applyBorder="1"/>
    <xf numFmtId="0" fontId="38" fillId="4" borderId="0" xfId="0" applyFont="1" applyFill="1" applyBorder="1"/>
    <xf numFmtId="0" fontId="26" fillId="4" borderId="0" xfId="0" applyFont="1" applyFill="1" applyBorder="1"/>
    <xf numFmtId="0" fontId="13" fillId="5" borderId="1" xfId="0" applyFont="1" applyFill="1" applyBorder="1"/>
    <xf numFmtId="0" fontId="13" fillId="5" borderId="2" xfId="0" applyFont="1" applyFill="1" applyBorder="1"/>
    <xf numFmtId="0" fontId="13" fillId="5" borderId="3" xfId="0" applyFont="1" applyFill="1" applyBorder="1"/>
    <xf numFmtId="0" fontId="13" fillId="5" borderId="4" xfId="0" applyFont="1" applyFill="1" applyBorder="1"/>
    <xf numFmtId="0" fontId="13" fillId="5" borderId="0" xfId="0" applyFont="1" applyFill="1" applyBorder="1"/>
    <xf numFmtId="0" fontId="13" fillId="5" borderId="5" xfId="0" applyFont="1" applyFill="1" applyBorder="1"/>
    <xf numFmtId="0" fontId="37" fillId="5" borderId="4" xfId="0" applyFont="1" applyFill="1" applyBorder="1"/>
    <xf numFmtId="0" fontId="38" fillId="5" borderId="0" xfId="0" applyFont="1" applyFill="1" applyBorder="1"/>
    <xf numFmtId="0" fontId="38" fillId="5" borderId="5" xfId="0" applyFont="1" applyFill="1" applyBorder="1"/>
    <xf numFmtId="0" fontId="27" fillId="5" borderId="0" xfId="0" applyFont="1" applyFill="1" applyBorder="1"/>
    <xf numFmtId="0" fontId="13" fillId="5" borderId="6" xfId="0" applyFont="1" applyFill="1" applyBorder="1"/>
    <xf numFmtId="0" fontId="13" fillId="5" borderId="7" xfId="0" applyFont="1" applyFill="1" applyBorder="1"/>
    <xf numFmtId="0" fontId="13" fillId="5" borderId="8" xfId="0" applyFont="1" applyFill="1" applyBorder="1"/>
    <xf numFmtId="0" fontId="53" fillId="5" borderId="0" xfId="0" applyFont="1" applyFill="1" applyBorder="1"/>
    <xf numFmtId="0" fontId="56" fillId="5" borderId="0" xfId="0" applyFont="1" applyFill="1" applyBorder="1" applyProtection="1"/>
    <xf numFmtId="0" fontId="63" fillId="5" borderId="0" xfId="0" applyFont="1" applyFill="1" applyBorder="1" applyProtection="1"/>
    <xf numFmtId="0" fontId="55" fillId="5" borderId="0" xfId="0" quotePrefix="1" applyFont="1" applyFill="1" applyBorder="1" applyProtection="1"/>
    <xf numFmtId="0" fontId="23" fillId="5" borderId="0" xfId="0" applyFont="1" applyFill="1" applyBorder="1" applyAlignment="1" applyProtection="1"/>
    <xf numFmtId="0" fontId="13" fillId="5" borderId="0" xfId="0" quotePrefix="1" applyFont="1" applyFill="1" applyBorder="1" applyProtection="1"/>
    <xf numFmtId="0" fontId="44" fillId="5" borderId="0" xfId="0" applyFont="1" applyFill="1" applyBorder="1" applyAlignment="1" applyProtection="1">
      <alignment horizontal="right"/>
    </xf>
    <xf numFmtId="165" fontId="46" fillId="5" borderId="0" xfId="4" applyNumberFormat="1" applyFont="1" applyFill="1" applyBorder="1" applyProtection="1"/>
    <xf numFmtId="165" fontId="46" fillId="5" borderId="5" xfId="4" applyNumberFormat="1" applyFont="1" applyFill="1" applyBorder="1" applyProtection="1"/>
    <xf numFmtId="0" fontId="13" fillId="8" borderId="14" xfId="0" applyFont="1" applyFill="1" applyBorder="1" applyAlignment="1" applyProtection="1">
      <alignment horizontal="left"/>
    </xf>
    <xf numFmtId="164" fontId="13" fillId="8" borderId="14" xfId="0" applyNumberFormat="1" applyFont="1" applyFill="1" applyBorder="1" applyProtection="1"/>
    <xf numFmtId="0" fontId="13" fillId="8" borderId="14" xfId="0" applyFont="1" applyFill="1" applyBorder="1" applyProtection="1"/>
    <xf numFmtId="174" fontId="13" fillId="8" borderId="14" xfId="0" applyNumberFormat="1" applyFont="1" applyFill="1" applyBorder="1" applyAlignment="1" applyProtection="1">
      <alignment horizontal="left"/>
    </xf>
    <xf numFmtId="0" fontId="23" fillId="8" borderId="14" xfId="0" applyFont="1" applyFill="1" applyBorder="1" applyAlignment="1" applyProtection="1">
      <alignment horizontal="center"/>
    </xf>
    <xf numFmtId="164" fontId="13" fillId="8" borderId="14" xfId="0" applyNumberFormat="1" applyFont="1" applyFill="1" applyBorder="1" applyAlignment="1" applyProtection="1"/>
    <xf numFmtId="0" fontId="22" fillId="4" borderId="15" xfId="0" applyFont="1" applyFill="1" applyBorder="1" applyProtection="1"/>
    <xf numFmtId="0" fontId="22" fillId="5" borderId="5" xfId="0" applyFont="1" applyFill="1" applyBorder="1" applyProtection="1"/>
    <xf numFmtId="0" fontId="13" fillId="8" borderId="14" xfId="0" applyFont="1" applyFill="1" applyBorder="1" applyAlignment="1" applyProtection="1">
      <alignment horizontal="center"/>
    </xf>
    <xf numFmtId="173" fontId="13" fillId="8" borderId="14" xfId="0" applyNumberFormat="1" applyFont="1" applyFill="1" applyBorder="1" applyAlignment="1" applyProtection="1">
      <alignment horizontal="center"/>
    </xf>
    <xf numFmtId="1" fontId="13" fillId="8" borderId="14" xfId="0" applyNumberFormat="1" applyFont="1" applyFill="1" applyBorder="1" applyAlignment="1" applyProtection="1">
      <alignment horizontal="center"/>
    </xf>
    <xf numFmtId="164" fontId="13" fillId="8" borderId="14" xfId="0" applyNumberFormat="1" applyFont="1" applyFill="1" applyBorder="1" applyAlignment="1" applyProtection="1">
      <alignment horizontal="left"/>
    </xf>
    <xf numFmtId="168" fontId="13" fillId="8" borderId="14" xfId="0" applyNumberFormat="1" applyFont="1" applyFill="1" applyBorder="1" applyAlignment="1" applyProtection="1">
      <alignment horizontal="center"/>
    </xf>
    <xf numFmtId="164" fontId="13" fillId="8" borderId="14" xfId="0" applyNumberFormat="1" applyFont="1" applyFill="1" applyBorder="1" applyAlignment="1" applyProtection="1">
      <alignment horizontal="center"/>
    </xf>
    <xf numFmtId="173" fontId="13" fillId="4" borderId="17" xfId="0" applyNumberFormat="1" applyFont="1" applyFill="1" applyBorder="1" applyProtection="1"/>
    <xf numFmtId="173" fontId="13" fillId="5" borderId="0" xfId="0" applyNumberFormat="1" applyFont="1" applyFill="1" applyBorder="1" applyProtection="1"/>
    <xf numFmtId="173" fontId="13" fillId="5" borderId="7" xfId="0" applyNumberFormat="1" applyFont="1" applyFill="1" applyBorder="1" applyProtection="1"/>
    <xf numFmtId="0" fontId="64" fillId="4" borderId="0" xfId="0" applyFont="1" applyFill="1" applyBorder="1" applyProtection="1"/>
    <xf numFmtId="0" fontId="64" fillId="5" borderId="4" xfId="0" applyFont="1" applyFill="1" applyBorder="1" applyProtection="1"/>
    <xf numFmtId="0" fontId="64" fillId="4" borderId="13" xfId="0" applyFont="1" applyFill="1" applyBorder="1" applyProtection="1"/>
    <xf numFmtId="0" fontId="64" fillId="4" borderId="15" xfId="0" applyFont="1" applyFill="1" applyBorder="1" applyProtection="1"/>
    <xf numFmtId="0" fontId="64" fillId="5" borderId="5" xfId="0" applyFont="1" applyFill="1" applyBorder="1" applyProtection="1"/>
    <xf numFmtId="0" fontId="13" fillId="5" borderId="2" xfId="0" applyFont="1" applyFill="1" applyBorder="1" applyAlignment="1" applyProtection="1"/>
    <xf numFmtId="0" fontId="40" fillId="5" borderId="0" xfId="0" applyFont="1" applyFill="1" applyBorder="1" applyAlignment="1" applyProtection="1"/>
    <xf numFmtId="164" fontId="40" fillId="5" borderId="0" xfId="0" applyNumberFormat="1" applyFont="1" applyFill="1" applyBorder="1" applyAlignment="1" applyProtection="1">
      <alignment horizontal="center"/>
    </xf>
    <xf numFmtId="0" fontId="22" fillId="5" borderId="6" xfId="0" applyFont="1" applyFill="1" applyBorder="1" applyProtection="1"/>
    <xf numFmtId="0" fontId="22" fillId="5" borderId="7" xfId="0" applyFont="1" applyFill="1" applyBorder="1" applyProtection="1"/>
    <xf numFmtId="0" fontId="13" fillId="5" borderId="7" xfId="0" applyFont="1" applyFill="1" applyBorder="1" applyAlignment="1" applyProtection="1"/>
    <xf numFmtId="0" fontId="22" fillId="5" borderId="1" xfId="0" applyFont="1" applyFill="1" applyBorder="1" applyProtection="1"/>
    <xf numFmtId="164" fontId="13" fillId="5" borderId="0" xfId="0" applyNumberFormat="1" applyFont="1" applyFill="1" applyBorder="1" applyAlignment="1" applyProtection="1"/>
    <xf numFmtId="164" fontId="13" fillId="5" borderId="4" xfId="0" applyNumberFormat="1" applyFont="1" applyFill="1" applyBorder="1" applyProtection="1"/>
    <xf numFmtId="164" fontId="13" fillId="5" borderId="5" xfId="0" applyNumberFormat="1" applyFont="1" applyFill="1" applyBorder="1" applyProtection="1"/>
    <xf numFmtId="164" fontId="13" fillId="5" borderId="1" xfId="0" applyNumberFormat="1" applyFont="1" applyFill="1" applyBorder="1" applyProtection="1"/>
    <xf numFmtId="164" fontId="13" fillId="5" borderId="2" xfId="0" applyNumberFormat="1" applyFont="1" applyFill="1" applyBorder="1" applyAlignment="1" applyProtection="1"/>
    <xf numFmtId="164" fontId="13" fillId="5" borderId="3" xfId="0" applyNumberFormat="1" applyFont="1" applyFill="1" applyBorder="1" applyProtection="1"/>
    <xf numFmtId="164" fontId="13" fillId="5" borderId="7" xfId="0" applyNumberFormat="1" applyFont="1" applyFill="1" applyBorder="1" applyProtection="1"/>
    <xf numFmtId="0" fontId="13" fillId="4" borderId="14" xfId="0" applyFont="1" applyFill="1" applyBorder="1" applyAlignment="1" applyProtection="1"/>
    <xf numFmtId="0" fontId="22" fillId="4" borderId="14" xfId="0" applyFont="1" applyFill="1" applyBorder="1" applyAlignment="1" applyProtection="1"/>
    <xf numFmtId="9" fontId="13" fillId="4" borderId="14" xfId="0" applyNumberFormat="1" applyFont="1" applyFill="1" applyBorder="1" applyAlignment="1" applyProtection="1">
      <alignment horizontal="center"/>
    </xf>
    <xf numFmtId="0" fontId="23" fillId="4" borderId="14" xfId="0" applyFont="1" applyFill="1" applyBorder="1" applyAlignment="1" applyProtection="1"/>
    <xf numFmtId="164" fontId="28" fillId="4" borderId="14" xfId="0" applyNumberFormat="1" applyFont="1" applyFill="1" applyBorder="1" applyAlignment="1" applyProtection="1">
      <alignment horizontal="center"/>
    </xf>
    <xf numFmtId="165" fontId="13" fillId="4" borderId="13" xfId="0" applyNumberFormat="1" applyFont="1" applyFill="1" applyBorder="1" applyProtection="1"/>
    <xf numFmtId="0" fontId="13" fillId="4" borderId="14" xfId="0" applyNumberFormat="1" applyFont="1" applyFill="1" applyBorder="1" applyAlignment="1" applyProtection="1"/>
    <xf numFmtId="0" fontId="17" fillId="4" borderId="14" xfId="0" applyNumberFormat="1" applyFont="1" applyFill="1" applyBorder="1" applyAlignment="1" applyProtection="1">
      <alignment horizontal="left"/>
    </xf>
    <xf numFmtId="164" fontId="13" fillId="4" borderId="13" xfId="0" applyNumberFormat="1" applyFont="1" applyFill="1" applyBorder="1" applyProtection="1"/>
    <xf numFmtId="164" fontId="13" fillId="4" borderId="14" xfId="0" applyNumberFormat="1" applyFont="1" applyFill="1" applyBorder="1" applyAlignment="1" applyProtection="1"/>
    <xf numFmtId="0" fontId="13" fillId="4" borderId="17" xfId="0" applyFont="1" applyFill="1" applyBorder="1" applyAlignment="1" applyProtection="1"/>
    <xf numFmtId="164" fontId="13" fillId="4" borderId="17" xfId="0" applyNumberFormat="1" applyFont="1" applyFill="1" applyBorder="1" applyProtection="1"/>
    <xf numFmtId="164" fontId="13" fillId="4" borderId="10" xfId="0" applyNumberFormat="1" applyFont="1" applyFill="1" applyBorder="1" applyProtection="1"/>
    <xf numFmtId="164" fontId="13" fillId="4" borderId="11" xfId="0" applyNumberFormat="1" applyFont="1" applyFill="1" applyBorder="1" applyAlignment="1" applyProtection="1"/>
    <xf numFmtId="164" fontId="13" fillId="4" borderId="11" xfId="0" applyNumberFormat="1" applyFont="1" applyFill="1" applyBorder="1" applyAlignment="1" applyProtection="1">
      <alignment horizontal="center"/>
    </xf>
    <xf numFmtId="0" fontId="54" fillId="4" borderId="14" xfId="0" applyFont="1" applyFill="1" applyBorder="1" applyAlignment="1" applyProtection="1"/>
    <xf numFmtId="49" fontId="54" fillId="4" borderId="14" xfId="0" applyNumberFormat="1" applyFont="1" applyFill="1" applyBorder="1" applyAlignment="1" applyProtection="1">
      <alignment horizontal="center"/>
    </xf>
    <xf numFmtId="164" fontId="13" fillId="4" borderId="16" xfId="0" applyNumberFormat="1" applyFont="1" applyFill="1" applyBorder="1" applyProtection="1"/>
    <xf numFmtId="164" fontId="13" fillId="4" borderId="17" xfId="0" applyNumberFormat="1" applyFont="1" applyFill="1" applyBorder="1" applyAlignment="1" applyProtection="1"/>
    <xf numFmtId="0" fontId="22" fillId="4" borderId="10" xfId="0" applyFont="1" applyFill="1" applyBorder="1" applyProtection="1"/>
    <xf numFmtId="0" fontId="60" fillId="4" borderId="14" xfId="0" applyFont="1" applyFill="1" applyBorder="1" applyProtection="1"/>
    <xf numFmtId="164" fontId="27" fillId="5" borderId="0" xfId="0" applyNumberFormat="1" applyFont="1" applyFill="1" applyBorder="1" applyProtection="1"/>
    <xf numFmtId="9" fontId="13" fillId="6" borderId="14" xfId="0" applyNumberFormat="1" applyFont="1" applyFill="1" applyBorder="1" applyAlignment="1" applyProtection="1">
      <alignment horizontal="center"/>
    </xf>
    <xf numFmtId="9" fontId="65" fillId="7" borderId="14" xfId="3" applyFont="1" applyFill="1" applyBorder="1" applyAlignment="1" applyProtection="1">
      <alignment horizontal="center"/>
    </xf>
    <xf numFmtId="10" fontId="65" fillId="7" borderId="14" xfId="0" applyNumberFormat="1" applyFont="1" applyFill="1" applyBorder="1" applyAlignment="1" applyProtection="1">
      <alignment horizontal="center"/>
    </xf>
    <xf numFmtId="178" fontId="65" fillId="7" borderId="14" xfId="0" applyNumberFormat="1" applyFont="1" applyFill="1" applyBorder="1" applyAlignment="1" applyProtection="1">
      <alignment horizontal="center"/>
    </xf>
    <xf numFmtId="2" fontId="65" fillId="7" borderId="14" xfId="0" applyNumberFormat="1" applyFont="1" applyFill="1" applyBorder="1" applyAlignment="1" applyProtection="1">
      <alignment horizontal="center"/>
    </xf>
    <xf numFmtId="0" fontId="63" fillId="4" borderId="14" xfId="0" applyFont="1" applyFill="1" applyBorder="1" applyAlignment="1" applyProtection="1"/>
    <xf numFmtId="0" fontId="63" fillId="4" borderId="14" xfId="0" applyNumberFormat="1" applyFont="1" applyFill="1" applyBorder="1" applyAlignment="1" applyProtection="1"/>
    <xf numFmtId="164" fontId="63" fillId="4" borderId="14" xfId="0" applyNumberFormat="1" applyFont="1" applyFill="1" applyBorder="1" applyAlignment="1" applyProtection="1"/>
    <xf numFmtId="169" fontId="13" fillId="6" borderId="14" xfId="0" applyNumberFormat="1" applyFont="1" applyFill="1" applyBorder="1" applyAlignment="1" applyProtection="1">
      <alignment horizontal="center"/>
    </xf>
    <xf numFmtId="9" fontId="13" fillId="6" borderId="14" xfId="3" applyFont="1" applyFill="1" applyBorder="1" applyAlignment="1" applyProtection="1">
      <alignment horizontal="center"/>
    </xf>
    <xf numFmtId="0" fontId="54" fillId="5" borderId="0" xfId="4" applyNumberFormat="1" applyFont="1" applyFill="1" applyBorder="1" applyAlignment="1" applyProtection="1">
      <alignment horizontal="center"/>
    </xf>
    <xf numFmtId="2" fontId="66" fillId="4" borderId="14" xfId="0" applyNumberFormat="1" applyFont="1" applyFill="1" applyBorder="1" applyAlignment="1" applyProtection="1">
      <alignment horizontal="center"/>
    </xf>
    <xf numFmtId="2" fontId="67" fillId="4" borderId="14" xfId="0" applyNumberFormat="1" applyFont="1" applyFill="1" applyBorder="1" applyAlignment="1" applyProtection="1">
      <alignment horizontal="center"/>
    </xf>
    <xf numFmtId="180" fontId="65" fillId="7" borderId="14" xfId="0" applyNumberFormat="1" applyFont="1" applyFill="1" applyBorder="1" applyAlignment="1" applyProtection="1">
      <alignment horizontal="center"/>
    </xf>
    <xf numFmtId="3" fontId="13" fillId="9" borderId="0" xfId="0" applyNumberFormat="1" applyFont="1" applyFill="1" applyBorder="1" applyAlignment="1" applyProtection="1">
      <alignment horizontal="left" vertical="center" wrapText="1"/>
      <protection locked="0"/>
    </xf>
    <xf numFmtId="165" fontId="13" fillId="9" borderId="0" xfId="0" applyNumberFormat="1" applyFont="1" applyFill="1" applyBorder="1" applyAlignment="1" applyProtection="1">
      <alignment horizontal="left" vertical="top" wrapText="1"/>
      <protection locked="0"/>
    </xf>
    <xf numFmtId="3" fontId="13" fillId="9" borderId="0" xfId="0" applyNumberFormat="1" applyFont="1" applyFill="1" applyBorder="1" applyAlignment="1" applyProtection="1">
      <alignment horizontal="left" vertical="center" wrapText="1"/>
    </xf>
    <xf numFmtId="0" fontId="60" fillId="0" borderId="0" xfId="0" applyFont="1" applyFill="1" applyBorder="1" applyAlignment="1" applyProtection="1">
      <alignment horizontal="left" vertical="center"/>
    </xf>
    <xf numFmtId="16" fontId="60" fillId="0" borderId="0" xfId="0" quotePrefix="1" applyNumberFormat="1" applyFont="1" applyFill="1" applyAlignment="1" applyProtection="1">
      <alignment horizontal="left" vertical="center"/>
    </xf>
    <xf numFmtId="49" fontId="61" fillId="4" borderId="0" xfId="0" applyNumberFormat="1" applyFont="1" applyFill="1" applyBorder="1" applyAlignment="1" applyProtection="1">
      <alignment horizontal="center"/>
    </xf>
    <xf numFmtId="165" fontId="64" fillId="3" borderId="0" xfId="0" applyNumberFormat="1" applyFont="1" applyFill="1" applyBorder="1" applyAlignment="1" applyProtection="1">
      <alignment horizontal="left" vertical="center"/>
      <protection locked="0"/>
    </xf>
    <xf numFmtId="0" fontId="23" fillId="0" borderId="0" xfId="0" applyFont="1" applyFill="1" applyAlignment="1" applyProtection="1">
      <alignment horizontal="left" vertical="center"/>
    </xf>
    <xf numFmtId="167" fontId="13" fillId="0" borderId="0" xfId="0" applyNumberFormat="1" applyFont="1" applyFill="1" applyAlignment="1" applyProtection="1">
      <alignment horizontal="left" vertical="center"/>
    </xf>
    <xf numFmtId="0" fontId="56" fillId="0" borderId="0" xfId="0" applyFont="1" applyFill="1" applyAlignment="1" applyProtection="1">
      <alignment horizontal="left" vertical="center"/>
    </xf>
    <xf numFmtId="0" fontId="55" fillId="0" borderId="0" xfId="0" applyFont="1" applyFill="1" applyAlignment="1" applyProtection="1">
      <alignment horizontal="left" vertical="center"/>
    </xf>
    <xf numFmtId="0" fontId="55" fillId="0" borderId="0" xfId="0" applyFont="1" applyFill="1" applyBorder="1" applyAlignment="1" applyProtection="1">
      <alignment horizontal="left" vertical="center"/>
    </xf>
    <xf numFmtId="0" fontId="56" fillId="0" borderId="0" xfId="0" applyFont="1" applyFill="1" applyBorder="1" applyAlignment="1" applyProtection="1">
      <alignment horizontal="left" vertical="center"/>
    </xf>
    <xf numFmtId="10" fontId="55" fillId="0" borderId="0" xfId="0" applyNumberFormat="1" applyFont="1" applyFill="1" applyBorder="1" applyAlignment="1" applyProtection="1">
      <alignment horizontal="left" vertical="center"/>
    </xf>
    <xf numFmtId="0" fontId="76" fillId="0" borderId="0" xfId="0" applyFont="1" applyAlignment="1">
      <alignment horizontal="left"/>
    </xf>
    <xf numFmtId="0" fontId="76" fillId="0" borderId="0" xfId="0" applyFont="1" applyFill="1" applyBorder="1" applyAlignment="1" applyProtection="1">
      <alignment horizontal="left" vertical="center"/>
    </xf>
    <xf numFmtId="49" fontId="76" fillId="3" borderId="0" xfId="0" applyNumberFormat="1" applyFont="1" applyFill="1" applyBorder="1" applyAlignment="1" applyProtection="1">
      <alignment horizontal="left" vertical="center"/>
      <protection locked="0"/>
    </xf>
    <xf numFmtId="14" fontId="76" fillId="3" borderId="0" xfId="0" applyNumberFormat="1" applyFont="1" applyFill="1" applyBorder="1" applyAlignment="1" applyProtection="1">
      <alignment horizontal="left" vertical="center"/>
      <protection locked="0"/>
    </xf>
    <xf numFmtId="0" fontId="76" fillId="3" borderId="0" xfId="0" applyFont="1" applyFill="1" applyBorder="1" applyAlignment="1" applyProtection="1">
      <alignment horizontal="left" vertical="center"/>
      <protection locked="0"/>
    </xf>
    <xf numFmtId="0" fontId="77" fillId="0" borderId="0" xfId="0" applyFont="1" applyAlignment="1">
      <alignment horizontal="left"/>
    </xf>
    <xf numFmtId="165" fontId="76" fillId="0" borderId="0" xfId="4" applyFont="1" applyFill="1" applyBorder="1" applyAlignment="1">
      <alignment horizontal="left"/>
    </xf>
    <xf numFmtId="165" fontId="76" fillId="0" borderId="0" xfId="4" applyFont="1" applyAlignment="1">
      <alignment horizontal="left"/>
    </xf>
    <xf numFmtId="0" fontId="76" fillId="0" borderId="0" xfId="0" quotePrefix="1" applyFont="1" applyFill="1" applyBorder="1" applyAlignment="1" applyProtection="1">
      <alignment horizontal="left" vertical="center"/>
    </xf>
    <xf numFmtId="0" fontId="78" fillId="0" borderId="0" xfId="0" applyFont="1" applyAlignment="1">
      <alignment horizontal="left"/>
    </xf>
    <xf numFmtId="0" fontId="79" fillId="0" borderId="0" xfId="0" applyFont="1" applyAlignment="1">
      <alignment horizontal="left"/>
    </xf>
    <xf numFmtId="0" fontId="76" fillId="5" borderId="1" xfId="0" applyFont="1" applyFill="1" applyBorder="1"/>
    <xf numFmtId="0" fontId="76" fillId="5" borderId="2" xfId="0" applyFont="1" applyFill="1" applyBorder="1"/>
    <xf numFmtId="0" fontId="76" fillId="5" borderId="2" xfId="0" applyFont="1" applyFill="1" applyBorder="1" applyAlignment="1">
      <alignment horizontal="center"/>
    </xf>
    <xf numFmtId="0" fontId="76" fillId="5" borderId="3" xfId="0" applyFont="1" applyFill="1" applyBorder="1"/>
    <xf numFmtId="0" fontId="76" fillId="4" borderId="0" xfId="0" applyFont="1" applyFill="1"/>
    <xf numFmtId="0" fontId="76" fillId="5" borderId="4" xfId="0" applyFont="1" applyFill="1" applyBorder="1"/>
    <xf numFmtId="0" fontId="76" fillId="5" borderId="0" xfId="0" applyFont="1" applyFill="1" applyBorder="1"/>
    <xf numFmtId="0" fontId="76" fillId="5" borderId="0" xfId="0" applyFont="1" applyFill="1" applyBorder="1" applyAlignment="1">
      <alignment horizontal="center"/>
    </xf>
    <xf numFmtId="0" fontId="76" fillId="5" borderId="5" xfId="0" applyFont="1" applyFill="1" applyBorder="1"/>
    <xf numFmtId="0" fontId="80" fillId="5" borderId="4" xfId="0" applyFont="1" applyFill="1" applyBorder="1"/>
    <xf numFmtId="0" fontId="80" fillId="5" borderId="0" xfId="0" applyFont="1" applyFill="1" applyBorder="1"/>
    <xf numFmtId="0" fontId="80" fillId="5" borderId="0" xfId="0" applyFont="1" applyFill="1" applyBorder="1" applyAlignment="1">
      <alignment horizontal="center"/>
    </xf>
    <xf numFmtId="0" fontId="80" fillId="5" borderId="5" xfId="0" applyFont="1" applyFill="1" applyBorder="1"/>
    <xf numFmtId="0" fontId="80" fillId="4" borderId="0" xfId="0" applyFont="1" applyFill="1"/>
    <xf numFmtId="0" fontId="81" fillId="5" borderId="0" xfId="0" applyFont="1" applyFill="1" applyBorder="1"/>
    <xf numFmtId="49" fontId="82" fillId="5" borderId="0" xfId="0" applyNumberFormat="1" applyFont="1" applyFill="1" applyBorder="1" applyAlignment="1">
      <alignment horizontal="center"/>
    </xf>
    <xf numFmtId="0" fontId="76" fillId="4" borderId="14" xfId="0" applyFont="1" applyFill="1" applyBorder="1"/>
    <xf numFmtId="0" fontId="76" fillId="4" borderId="14" xfId="0" applyFont="1" applyFill="1" applyBorder="1" applyAlignment="1">
      <alignment horizontal="center"/>
    </xf>
    <xf numFmtId="0" fontId="76" fillId="6" borderId="14" xfId="0" applyFont="1" applyFill="1" applyBorder="1" applyAlignment="1">
      <alignment horizontal="center"/>
    </xf>
    <xf numFmtId="0" fontId="77" fillId="4" borderId="14" xfId="0" applyFont="1" applyFill="1" applyBorder="1"/>
    <xf numFmtId="0" fontId="76" fillId="5" borderId="6" xfId="0" applyFont="1" applyFill="1" applyBorder="1"/>
    <xf numFmtId="0" fontId="76" fillId="5" borderId="7" xfId="0" applyFont="1" applyFill="1" applyBorder="1"/>
    <xf numFmtId="0" fontId="76" fillId="5" borderId="7" xfId="0" applyFont="1" applyFill="1" applyBorder="1" applyAlignment="1">
      <alignment horizontal="center"/>
    </xf>
    <xf numFmtId="0" fontId="76" fillId="5" borderId="8" xfId="0" applyFont="1" applyFill="1" applyBorder="1"/>
    <xf numFmtId="0" fontId="76" fillId="4" borderId="0" xfId="0" applyFont="1" applyFill="1" applyAlignment="1">
      <alignment horizontal="center"/>
    </xf>
    <xf numFmtId="0" fontId="84" fillId="7" borderId="14" xfId="0" applyFont="1" applyFill="1" applyBorder="1" applyAlignment="1">
      <alignment horizontal="center"/>
    </xf>
    <xf numFmtId="183" fontId="76" fillId="6" borderId="14" xfId="4" applyNumberFormat="1" applyFont="1" applyFill="1" applyBorder="1" applyAlignment="1">
      <alignment horizontal="center"/>
    </xf>
    <xf numFmtId="183" fontId="84" fillId="7" borderId="14" xfId="4" applyNumberFormat="1" applyFont="1" applyFill="1" applyBorder="1" applyAlignment="1">
      <alignment horizontal="center"/>
    </xf>
    <xf numFmtId="183" fontId="76" fillId="4" borderId="14" xfId="4" applyNumberFormat="1" applyFont="1" applyFill="1" applyBorder="1" applyAlignment="1">
      <alignment horizontal="center"/>
    </xf>
    <xf numFmtId="183" fontId="76" fillId="0" borderId="0" xfId="0" applyNumberFormat="1" applyFont="1" applyAlignment="1">
      <alignment horizontal="left"/>
    </xf>
    <xf numFmtId="165" fontId="76" fillId="0" borderId="0" xfId="4" applyNumberFormat="1" applyFont="1" applyFill="1" applyBorder="1" applyAlignment="1">
      <alignment horizontal="left"/>
    </xf>
    <xf numFmtId="0" fontId="76" fillId="4" borderId="0" xfId="0" applyFont="1" applyFill="1" applyBorder="1"/>
    <xf numFmtId="0" fontId="76" fillId="4" borderId="11" xfId="0" applyFont="1" applyFill="1" applyBorder="1"/>
    <xf numFmtId="0" fontId="76" fillId="4" borderId="11" xfId="0" applyFont="1" applyFill="1" applyBorder="1" applyAlignment="1">
      <alignment horizontal="center"/>
    </xf>
    <xf numFmtId="0" fontId="77" fillId="4" borderId="14" xfId="0" applyFont="1" applyFill="1" applyBorder="1" applyAlignment="1">
      <alignment horizontal="left"/>
    </xf>
    <xf numFmtId="0" fontId="76" fillId="5" borderId="14" xfId="0" applyFont="1" applyFill="1" applyBorder="1" applyAlignment="1">
      <alignment horizontal="center"/>
    </xf>
    <xf numFmtId="0" fontId="78" fillId="4" borderId="14" xfId="0" applyFont="1" applyFill="1" applyBorder="1" applyAlignment="1">
      <alignment horizontal="left"/>
    </xf>
    <xf numFmtId="0" fontId="85" fillId="4" borderId="14" xfId="0" applyFont="1" applyFill="1" applyBorder="1" applyAlignment="1">
      <alignment horizontal="left"/>
    </xf>
    <xf numFmtId="0" fontId="76" fillId="4" borderId="14" xfId="0" applyFont="1" applyFill="1" applyBorder="1" applyAlignment="1">
      <alignment horizontal="left"/>
    </xf>
    <xf numFmtId="165" fontId="76" fillId="0" borderId="0" xfId="0" applyNumberFormat="1" applyFont="1" applyAlignment="1">
      <alignment horizontal="left"/>
    </xf>
    <xf numFmtId="165" fontId="76" fillId="9" borderId="0" xfId="4" applyFont="1" applyFill="1" applyAlignment="1">
      <alignment horizontal="left"/>
    </xf>
    <xf numFmtId="0" fontId="83" fillId="0" borderId="0" xfId="0" applyFont="1" applyAlignment="1">
      <alignment horizontal="left"/>
    </xf>
    <xf numFmtId="0" fontId="76" fillId="9" borderId="0" xfId="0" applyFont="1" applyFill="1" applyAlignment="1">
      <alignment horizontal="left"/>
    </xf>
    <xf numFmtId="0" fontId="76" fillId="4" borderId="17" xfId="0" applyFont="1" applyFill="1" applyBorder="1"/>
    <xf numFmtId="183" fontId="76" fillId="4" borderId="11" xfId="4" applyNumberFormat="1" applyFont="1" applyFill="1" applyBorder="1" applyAlignment="1">
      <alignment horizontal="center"/>
    </xf>
    <xf numFmtId="183" fontId="76" fillId="5" borderId="0" xfId="4" applyNumberFormat="1" applyFont="1" applyFill="1" applyBorder="1" applyAlignment="1">
      <alignment horizontal="center"/>
    </xf>
    <xf numFmtId="2" fontId="60" fillId="4" borderId="0" xfId="0" applyNumberFormat="1" applyFont="1" applyFill="1" applyBorder="1" applyProtection="1"/>
    <xf numFmtId="0" fontId="62" fillId="4" borderId="0" xfId="0" applyFont="1" applyFill="1" applyProtection="1"/>
    <xf numFmtId="0" fontId="62" fillId="4" borderId="0" xfId="0" applyFont="1" applyFill="1" applyBorder="1" applyProtection="1"/>
    <xf numFmtId="49" fontId="62" fillId="4" borderId="0" xfId="0" applyNumberFormat="1" applyFont="1" applyFill="1" applyAlignment="1" applyProtection="1">
      <alignment horizontal="center"/>
    </xf>
    <xf numFmtId="165" fontId="76" fillId="4" borderId="14" xfId="4" applyFont="1" applyFill="1" applyBorder="1" applyAlignment="1">
      <alignment horizontal="left"/>
    </xf>
    <xf numFmtId="0" fontId="76" fillId="4" borderId="20" xfId="0" applyFont="1" applyFill="1" applyBorder="1"/>
    <xf numFmtId="183" fontId="76" fillId="4" borderId="20" xfId="4" applyNumberFormat="1" applyFont="1" applyFill="1" applyBorder="1" applyAlignment="1">
      <alignment horizontal="center"/>
    </xf>
    <xf numFmtId="183" fontId="76" fillId="4" borderId="0" xfId="4" applyNumberFormat="1" applyFont="1" applyFill="1" applyBorder="1" applyAlignment="1">
      <alignment horizontal="center"/>
    </xf>
    <xf numFmtId="183" fontId="86" fillId="7" borderId="0" xfId="4" applyNumberFormat="1" applyFont="1" applyFill="1" applyBorder="1" applyAlignment="1">
      <alignment horizontal="center"/>
    </xf>
    <xf numFmtId="183" fontId="86" fillId="7" borderId="14" xfId="4" applyNumberFormat="1" applyFont="1" applyFill="1" applyBorder="1" applyAlignment="1">
      <alignment horizontal="center"/>
    </xf>
    <xf numFmtId="0" fontId="83" fillId="4" borderId="0" xfId="0" applyFont="1" applyFill="1" applyBorder="1"/>
    <xf numFmtId="0" fontId="83" fillId="4" borderId="14" xfId="0" applyFont="1" applyFill="1" applyBorder="1"/>
    <xf numFmtId="0" fontId="82" fillId="5" borderId="0" xfId="4" applyNumberFormat="1" applyFont="1" applyFill="1" applyBorder="1" applyAlignment="1">
      <alignment horizontal="center"/>
    </xf>
    <xf numFmtId="0" fontId="78" fillId="4" borderId="11" xfId="0" applyFont="1" applyFill="1" applyBorder="1"/>
    <xf numFmtId="0" fontId="76" fillId="5" borderId="11" xfId="0" applyFont="1" applyFill="1" applyBorder="1" applyAlignment="1">
      <alignment horizontal="center"/>
    </xf>
    <xf numFmtId="49" fontId="54" fillId="5" borderId="0" xfId="0" applyNumberFormat="1" applyFont="1" applyFill="1" applyBorder="1" applyAlignment="1" applyProtection="1">
      <alignment horizontal="center"/>
    </xf>
    <xf numFmtId="164" fontId="69" fillId="4" borderId="11" xfId="0" applyNumberFormat="1" applyFont="1" applyFill="1" applyBorder="1" applyProtection="1"/>
    <xf numFmtId="164" fontId="68" fillId="4" borderId="11" xfId="0" applyNumberFormat="1" applyFont="1" applyFill="1" applyBorder="1" applyProtection="1"/>
    <xf numFmtId="0" fontId="23" fillId="4" borderId="20" xfId="0" applyFont="1" applyFill="1" applyBorder="1" applyProtection="1"/>
    <xf numFmtId="164" fontId="69" fillId="4" borderId="20" xfId="0" applyNumberFormat="1" applyFont="1" applyFill="1" applyBorder="1" applyProtection="1"/>
    <xf numFmtId="164" fontId="68" fillId="4" borderId="20" xfId="0" applyNumberFormat="1" applyFont="1" applyFill="1" applyBorder="1" applyProtection="1"/>
    <xf numFmtId="14" fontId="76" fillId="4" borderId="14" xfId="0" applyNumberFormat="1" applyFont="1" applyFill="1" applyBorder="1" applyAlignment="1">
      <alignment horizontal="center"/>
    </xf>
    <xf numFmtId="14" fontId="82" fillId="5" borderId="0" xfId="0" applyNumberFormat="1" applyFont="1" applyFill="1" applyBorder="1" applyAlignment="1">
      <alignment horizontal="center"/>
    </xf>
    <xf numFmtId="184" fontId="60" fillId="4" borderId="0" xfId="0" applyNumberFormat="1" applyFont="1" applyFill="1" applyProtection="1"/>
    <xf numFmtId="184" fontId="60" fillId="4" borderId="0" xfId="0" applyNumberFormat="1" applyFont="1" applyFill="1" applyBorder="1" applyProtection="1"/>
    <xf numFmtId="184" fontId="59" fillId="4" borderId="0" xfId="0" applyNumberFormat="1" applyFont="1" applyFill="1" applyProtection="1"/>
    <xf numFmtId="184" fontId="59" fillId="4" borderId="0" xfId="0" applyNumberFormat="1" applyFont="1" applyFill="1" applyBorder="1" applyProtection="1"/>
    <xf numFmtId="184" fontId="61" fillId="4" borderId="0" xfId="0" applyNumberFormat="1" applyFont="1" applyFill="1" applyBorder="1" applyProtection="1"/>
    <xf numFmtId="49" fontId="54" fillId="5" borderId="0" xfId="0" applyNumberFormat="1" applyFont="1" applyFill="1" applyBorder="1" applyAlignment="1" applyProtection="1">
      <alignment horizontal="center"/>
    </xf>
    <xf numFmtId="0" fontId="55" fillId="5" borderId="0" xfId="0" applyFont="1" applyFill="1" applyBorder="1" applyAlignment="1" applyProtection="1">
      <alignment horizontal="center"/>
    </xf>
    <xf numFmtId="0" fontId="54" fillId="5" borderId="0" xfId="0" applyFont="1" applyFill="1" applyBorder="1" applyAlignment="1" applyProtection="1">
      <alignment horizontal="center"/>
    </xf>
    <xf numFmtId="49" fontId="61" fillId="4" borderId="0" xfId="0" applyNumberFormat="1" applyFont="1" applyFill="1" applyBorder="1" applyAlignment="1" applyProtection="1">
      <alignment horizontal="center"/>
    </xf>
    <xf numFmtId="0" fontId="13" fillId="4" borderId="22" xfId="0" applyFont="1" applyFill="1" applyBorder="1" applyProtection="1"/>
    <xf numFmtId="0" fontId="48" fillId="0" borderId="0" xfId="0" applyFont="1" applyFill="1" applyAlignment="1" applyProtection="1">
      <alignment horizontal="left"/>
    </xf>
    <xf numFmtId="0" fontId="87" fillId="0" borderId="0" xfId="0" applyFont="1" applyFill="1" applyAlignment="1" applyProtection="1">
      <alignment horizontal="left" indent="1"/>
    </xf>
    <xf numFmtId="0" fontId="88" fillId="0" borderId="0" xfId="0" applyFont="1" applyFill="1" applyBorder="1" applyAlignment="1" applyProtection="1">
      <alignment horizontal="left"/>
    </xf>
    <xf numFmtId="0" fontId="21" fillId="0" borderId="0" xfId="0" applyFont="1" applyFill="1" applyAlignment="1" applyProtection="1">
      <alignment horizontal="left"/>
    </xf>
    <xf numFmtId="0" fontId="89" fillId="0" borderId="0" xfId="0" applyFont="1" applyFill="1" applyAlignment="1" applyProtection="1">
      <alignment horizontal="left" indent="1"/>
    </xf>
    <xf numFmtId="0" fontId="90" fillId="0" borderId="0" xfId="0" applyFont="1" applyFill="1" applyBorder="1" applyAlignment="1" applyProtection="1">
      <alignment horizontal="left"/>
    </xf>
    <xf numFmtId="44" fontId="21" fillId="0" borderId="0" xfId="0" applyNumberFormat="1" applyFont="1" applyFill="1" applyAlignment="1" applyProtection="1">
      <alignment horizontal="left"/>
    </xf>
    <xf numFmtId="0" fontId="87" fillId="0" borderId="0" xfId="0" applyFont="1" applyFill="1" applyBorder="1" applyAlignment="1" applyProtection="1">
      <alignment horizontal="left" indent="1"/>
    </xf>
    <xf numFmtId="0" fontId="48" fillId="0" borderId="0" xfId="0" applyFont="1" applyFill="1" applyBorder="1" applyAlignment="1" applyProtection="1">
      <alignment horizontal="left"/>
    </xf>
    <xf numFmtId="44" fontId="64" fillId="0" borderId="0" xfId="0" applyNumberFormat="1" applyFont="1" applyFill="1" applyAlignment="1" applyProtection="1">
      <alignment horizontal="left"/>
    </xf>
    <xf numFmtId="0" fontId="55" fillId="5" borderId="0" xfId="0" applyFont="1" applyFill="1" applyBorder="1" applyAlignment="1" applyProtection="1">
      <alignment horizontal="center"/>
    </xf>
    <xf numFmtId="0" fontId="54" fillId="5" borderId="0" xfId="0" applyFont="1" applyFill="1" applyBorder="1" applyAlignment="1" applyProtection="1">
      <alignment horizontal="center"/>
    </xf>
    <xf numFmtId="0" fontId="56" fillId="4" borderId="14" xfId="0" applyFont="1" applyFill="1" applyBorder="1" applyAlignment="1" applyProtection="1">
      <alignment horizontal="left"/>
    </xf>
    <xf numFmtId="183" fontId="91" fillId="7" borderId="14" xfId="4" applyNumberFormat="1" applyFont="1" applyFill="1" applyBorder="1" applyAlignment="1">
      <alignment horizontal="center"/>
    </xf>
    <xf numFmtId="3" fontId="21" fillId="3" borderId="0" xfId="0" applyNumberFormat="1" applyFont="1" applyFill="1" applyBorder="1" applyAlignment="1" applyProtection="1">
      <alignment horizontal="left"/>
      <protection locked="0"/>
    </xf>
    <xf numFmtId="3" fontId="21" fillId="2" borderId="0" xfId="0" applyNumberFormat="1" applyFont="1" applyFill="1" applyBorder="1" applyAlignment="1" applyProtection="1">
      <alignment horizontal="left"/>
      <protection locked="0"/>
    </xf>
    <xf numFmtId="3" fontId="90" fillId="3" borderId="0" xfId="0" applyNumberFormat="1" applyFont="1" applyFill="1" applyBorder="1" applyAlignment="1" applyProtection="1">
      <alignment horizontal="left"/>
      <protection locked="0"/>
    </xf>
    <xf numFmtId="44" fontId="13" fillId="3" borderId="0" xfId="0" applyNumberFormat="1" applyFont="1" applyFill="1" applyAlignment="1" applyProtection="1">
      <alignment horizontal="left"/>
      <protection locked="0"/>
    </xf>
    <xf numFmtId="0" fontId="93" fillId="4" borderId="14" xfId="0" applyFont="1" applyFill="1" applyBorder="1" applyProtection="1"/>
    <xf numFmtId="0" fontId="64" fillId="0" borderId="0" xfId="0" applyFont="1" applyFill="1" applyAlignment="1" applyProtection="1">
      <alignment horizontal="left" vertical="center"/>
    </xf>
    <xf numFmtId="0" fontId="94" fillId="0" borderId="0" xfId="0" applyFont="1" applyFill="1" applyAlignment="1" applyProtection="1">
      <alignment horizontal="left" vertical="center"/>
    </xf>
    <xf numFmtId="9" fontId="64" fillId="3" borderId="0" xfId="0" applyNumberFormat="1" applyFont="1" applyFill="1" applyAlignment="1" applyProtection="1">
      <alignment horizontal="left" vertical="center"/>
      <protection locked="0"/>
    </xf>
    <xf numFmtId="183" fontId="13" fillId="6" borderId="14" xfId="0" applyNumberFormat="1" applyFont="1" applyFill="1" applyBorder="1" applyProtection="1"/>
    <xf numFmtId="0" fontId="29" fillId="5" borderId="7" xfId="0" applyFont="1" applyFill="1" applyBorder="1" applyProtection="1"/>
    <xf numFmtId="0" fontId="60" fillId="4" borderId="0" xfId="0" applyNumberFormat="1" applyFont="1" applyFill="1" applyBorder="1" applyAlignment="1" applyProtection="1">
      <alignment horizontal="right"/>
    </xf>
    <xf numFmtId="0" fontId="60" fillId="4" borderId="0" xfId="0" applyFont="1" applyFill="1" applyBorder="1" applyAlignment="1" applyProtection="1">
      <alignment horizontal="right"/>
    </xf>
    <xf numFmtId="3" fontId="13" fillId="4" borderId="11" xfId="0" applyNumberFormat="1" applyFont="1" applyFill="1" applyBorder="1" applyProtection="1"/>
    <xf numFmtId="3" fontId="13" fillId="4" borderId="20" xfId="0" applyNumberFormat="1" applyFont="1" applyFill="1" applyBorder="1" applyProtection="1"/>
    <xf numFmtId="44" fontId="23" fillId="5" borderId="0" xfId="4" applyNumberFormat="1" applyFont="1" applyFill="1" applyBorder="1" applyProtection="1"/>
    <xf numFmtId="44" fontId="23" fillId="5" borderId="5" xfId="4" applyNumberFormat="1" applyFont="1" applyFill="1" applyBorder="1" applyProtection="1"/>
    <xf numFmtId="44" fontId="23" fillId="4" borderId="0" xfId="4" applyNumberFormat="1" applyFont="1" applyFill="1" applyBorder="1" applyProtection="1"/>
    <xf numFmtId="44" fontId="23" fillId="4" borderId="12" xfId="4" applyNumberFormat="1" applyFont="1" applyFill="1" applyBorder="1" applyProtection="1"/>
    <xf numFmtId="0" fontId="13" fillId="5" borderId="14" xfId="0" applyFont="1" applyFill="1" applyBorder="1" applyAlignment="1" applyProtection="1">
      <alignment horizontal="left" vertical="top" wrapText="1"/>
      <protection locked="0"/>
    </xf>
    <xf numFmtId="0" fontId="63" fillId="4" borderId="0" xfId="0" applyNumberFormat="1" applyFont="1" applyFill="1" applyBorder="1" applyAlignment="1" applyProtection="1">
      <alignment horizontal="left"/>
    </xf>
    <xf numFmtId="0" fontId="13" fillId="5" borderId="15" xfId="0" applyFont="1" applyFill="1" applyBorder="1" applyAlignment="1" applyProtection="1">
      <alignment horizontal="left" vertical="top" wrapText="1"/>
      <protection locked="0"/>
    </xf>
    <xf numFmtId="0" fontId="13" fillId="5" borderId="18" xfId="0" applyFont="1" applyFill="1" applyBorder="1" applyAlignment="1" applyProtection="1">
      <alignment horizontal="left" vertical="top" wrapText="1"/>
      <protection locked="0"/>
    </xf>
    <xf numFmtId="0" fontId="13" fillId="4" borderId="0" xfId="0" applyFont="1" applyFill="1" applyBorder="1" applyProtection="1">
      <protection locked="0"/>
    </xf>
    <xf numFmtId="0" fontId="13" fillId="4" borderId="0" xfId="0" applyFont="1" applyFill="1" applyBorder="1" applyAlignment="1" applyProtection="1">
      <alignment horizontal="left" vertical="top" wrapText="1"/>
      <protection locked="0"/>
    </xf>
    <xf numFmtId="44" fontId="57" fillId="7" borderId="0" xfId="4" applyNumberFormat="1" applyFont="1" applyFill="1" applyBorder="1" applyAlignment="1" applyProtection="1">
      <alignment horizontal="left" vertical="top" wrapText="1"/>
      <protection locked="0"/>
    </xf>
    <xf numFmtId="0" fontId="13" fillId="4" borderId="0" xfId="0" applyFont="1" applyFill="1" applyBorder="1" applyAlignment="1" applyProtection="1">
      <alignment horizontal="right"/>
      <protection locked="0"/>
    </xf>
    <xf numFmtId="42" fontId="17" fillId="5" borderId="0" xfId="0" applyNumberFormat="1" applyFont="1" applyFill="1" applyBorder="1" applyAlignment="1" applyProtection="1">
      <alignment horizontal="left"/>
    </xf>
    <xf numFmtId="0" fontId="92" fillId="5" borderId="0" xfId="0" applyFont="1" applyFill="1" applyAlignment="1">
      <alignment horizontal="left" wrapText="1"/>
    </xf>
    <xf numFmtId="0" fontId="95" fillId="5" borderId="0" xfId="0" applyFont="1" applyFill="1"/>
    <xf numFmtId="0" fontId="39" fillId="5" borderId="0" xfId="0" applyFont="1" applyFill="1" applyAlignment="1">
      <alignment horizontal="left"/>
    </xf>
    <xf numFmtId="0" fontId="15" fillId="5" borderId="0" xfId="0" applyFont="1" applyFill="1" applyAlignment="1">
      <alignment horizontal="left" wrapText="1"/>
    </xf>
    <xf numFmtId="0" fontId="16" fillId="5" borderId="0" xfId="0" applyFont="1" applyFill="1"/>
    <xf numFmtId="0" fontId="14" fillId="5" borderId="0" xfId="0" applyFont="1" applyFill="1"/>
    <xf numFmtId="0" fontId="16" fillId="5" borderId="0" xfId="0" applyFont="1" applyFill="1" applyAlignment="1">
      <alignment wrapText="1"/>
    </xf>
    <xf numFmtId="0" fontId="96" fillId="5" borderId="0" xfId="0" applyFont="1" applyFill="1"/>
    <xf numFmtId="0" fontId="14" fillId="5" borderId="0" xfId="0" applyFont="1" applyFill="1" applyAlignment="1">
      <alignment wrapText="1"/>
    </xf>
    <xf numFmtId="0" fontId="18" fillId="5" borderId="0" xfId="0" applyFont="1" applyFill="1" applyAlignment="1">
      <alignment wrapText="1"/>
    </xf>
    <xf numFmtId="0" fontId="16" fillId="5" borderId="0" xfId="0" applyFont="1" applyFill="1" applyAlignment="1"/>
    <xf numFmtId="0" fontId="16" fillId="5" borderId="0" xfId="0" applyFont="1" applyFill="1" applyAlignment="1">
      <alignment horizontal="left" wrapText="1" indent="3"/>
    </xf>
    <xf numFmtId="0" fontId="16" fillId="5" borderId="0" xfId="0" applyFont="1" applyFill="1" applyBorder="1" applyAlignment="1">
      <alignment wrapText="1"/>
    </xf>
    <xf numFmtId="0" fontId="14" fillId="5" borderId="0" xfId="0" applyFont="1" applyFill="1" applyBorder="1"/>
    <xf numFmtId="0" fontId="16" fillId="5" borderId="0" xfId="0" applyFont="1" applyFill="1" applyBorder="1"/>
    <xf numFmtId="0" fontId="14" fillId="5" borderId="0" xfId="0" applyFont="1" applyFill="1" applyBorder="1" applyAlignment="1">
      <alignment wrapText="1"/>
    </xf>
    <xf numFmtId="0" fontId="97" fillId="5" borderId="0" xfId="2" applyFont="1" applyFill="1" applyAlignment="1" applyProtection="1">
      <alignment wrapText="1"/>
    </xf>
    <xf numFmtId="164" fontId="13" fillId="6" borderId="14" xfId="0" applyNumberFormat="1" applyFont="1" applyFill="1" applyBorder="1" applyAlignment="1" applyProtection="1">
      <alignment horizontal="center"/>
      <protection locked="0"/>
    </xf>
    <xf numFmtId="44" fontId="13" fillId="4" borderId="0" xfId="4" applyNumberFormat="1" applyFont="1" applyFill="1" applyBorder="1" applyProtection="1"/>
    <xf numFmtId="44" fontId="13" fillId="5" borderId="2" xfId="4" applyNumberFormat="1" applyFont="1" applyFill="1" applyBorder="1" applyProtection="1"/>
    <xf numFmtId="44" fontId="13" fillId="5" borderId="0" xfId="4" applyNumberFormat="1" applyFont="1" applyFill="1" applyBorder="1" applyProtection="1"/>
    <xf numFmtId="172" fontId="55" fillId="5" borderId="0" xfId="4" applyNumberFormat="1" applyFont="1" applyFill="1" applyBorder="1" applyProtection="1"/>
    <xf numFmtId="44" fontId="55" fillId="5" borderId="0" xfId="4" applyNumberFormat="1" applyFont="1" applyFill="1" applyBorder="1" applyProtection="1"/>
    <xf numFmtId="172" fontId="13" fillId="4" borderId="11" xfId="4" applyNumberFormat="1" applyFont="1" applyFill="1" applyBorder="1" applyProtection="1"/>
    <xf numFmtId="44" fontId="13" fillId="4" borderId="11" xfId="4" applyNumberFormat="1" applyFont="1" applyFill="1" applyBorder="1" applyProtection="1"/>
    <xf numFmtId="172" fontId="54" fillId="4" borderId="0" xfId="4" applyNumberFormat="1" applyFont="1" applyFill="1" applyBorder="1" applyAlignment="1" applyProtection="1">
      <alignment horizontal="left"/>
    </xf>
    <xf numFmtId="172" fontId="17" fillId="4" borderId="0" xfId="4" applyNumberFormat="1" applyFont="1" applyFill="1" applyBorder="1" applyAlignment="1" applyProtection="1">
      <alignment horizontal="left"/>
    </xf>
    <xf numFmtId="44" fontId="22" fillId="4" borderId="12" xfId="4" applyNumberFormat="1" applyFont="1" applyFill="1" applyBorder="1" applyAlignment="1" applyProtection="1">
      <alignment horizontal="left"/>
    </xf>
    <xf numFmtId="44" fontId="54" fillId="4" borderId="0" xfId="4" applyNumberFormat="1" applyFont="1" applyFill="1" applyBorder="1" applyAlignment="1" applyProtection="1">
      <alignment horizontal="left"/>
    </xf>
    <xf numFmtId="44" fontId="13" fillId="4" borderId="0" xfId="4" applyNumberFormat="1" applyFont="1" applyFill="1" applyBorder="1" applyAlignment="1" applyProtection="1">
      <alignment horizontal="left"/>
    </xf>
    <xf numFmtId="0" fontId="54" fillId="4" borderId="0" xfId="0" applyFont="1" applyFill="1" applyBorder="1" applyAlignment="1" applyProtection="1">
      <alignment horizontal="left"/>
    </xf>
    <xf numFmtId="0" fontId="54" fillId="4" borderId="0" xfId="0" applyFont="1" applyFill="1" applyBorder="1" applyProtection="1"/>
    <xf numFmtId="0" fontId="63" fillId="4" borderId="14" xfId="0" applyNumberFormat="1" applyFont="1" applyFill="1" applyBorder="1" applyAlignment="1" applyProtection="1">
      <alignment horizontal="center"/>
    </xf>
    <xf numFmtId="172" fontId="63" fillId="4" borderId="0" xfId="4" applyNumberFormat="1" applyFont="1" applyFill="1" applyBorder="1" applyAlignment="1" applyProtection="1">
      <alignment horizontal="center"/>
    </xf>
    <xf numFmtId="44" fontId="23" fillId="4" borderId="12" xfId="4" applyNumberFormat="1" applyFont="1" applyFill="1" applyBorder="1" applyAlignment="1" applyProtection="1">
      <alignment horizontal="center"/>
    </xf>
    <xf numFmtId="44" fontId="63" fillId="4" borderId="0" xfId="4" applyNumberFormat="1" applyFont="1" applyFill="1" applyBorder="1" applyAlignment="1" applyProtection="1">
      <alignment horizontal="center"/>
    </xf>
    <xf numFmtId="0" fontId="13" fillId="5" borderId="15" xfId="0" applyFont="1" applyFill="1" applyBorder="1" applyProtection="1"/>
    <xf numFmtId="172" fontId="13" fillId="6" borderId="14" xfId="4" applyNumberFormat="1" applyFont="1" applyFill="1" applyBorder="1" applyAlignment="1" applyProtection="1">
      <alignment horizontal="left" vertical="top" wrapText="1"/>
      <protection locked="0"/>
    </xf>
    <xf numFmtId="172" fontId="13" fillId="5" borderId="14" xfId="4" applyNumberFormat="1" applyFont="1" applyFill="1" applyBorder="1" applyAlignment="1" applyProtection="1">
      <alignment horizontal="left" vertical="top" wrapText="1"/>
      <protection locked="0"/>
    </xf>
    <xf numFmtId="172" fontId="17" fillId="8" borderId="15" xfId="4" applyNumberFormat="1" applyFont="1" applyFill="1" applyBorder="1" applyAlignment="1" applyProtection="1">
      <alignment horizontal="left" vertical="top" wrapText="1"/>
      <protection locked="0"/>
    </xf>
    <xf numFmtId="0" fontId="13" fillId="5" borderId="18" xfId="0" applyFont="1" applyFill="1" applyBorder="1" applyProtection="1"/>
    <xf numFmtId="172" fontId="57" fillId="7" borderId="0" xfId="4" applyNumberFormat="1" applyFont="1" applyFill="1" applyBorder="1" applyAlignment="1" applyProtection="1">
      <alignment horizontal="left" vertical="top" wrapText="1"/>
      <protection locked="0"/>
    </xf>
    <xf numFmtId="172" fontId="65" fillId="7" borderId="15" xfId="4" applyNumberFormat="1" applyFont="1" applyFill="1" applyBorder="1" applyAlignment="1" applyProtection="1">
      <alignment horizontal="left" vertical="top" wrapText="1"/>
      <protection locked="0"/>
    </xf>
    <xf numFmtId="172" fontId="13" fillId="4" borderId="0" xfId="4" applyNumberFormat="1" applyFont="1" applyFill="1" applyBorder="1" applyAlignment="1" applyProtection="1">
      <alignment horizontal="right"/>
    </xf>
    <xf numFmtId="44" fontId="13" fillId="4" borderId="0" xfId="4" applyNumberFormat="1" applyFont="1" applyFill="1" applyBorder="1" applyAlignment="1" applyProtection="1">
      <alignment horizontal="right"/>
    </xf>
    <xf numFmtId="172" fontId="13" fillId="5" borderId="0" xfId="4" applyNumberFormat="1" applyFont="1" applyFill="1" applyBorder="1" applyAlignment="1" applyProtection="1">
      <alignment horizontal="right"/>
    </xf>
    <xf numFmtId="44" fontId="13" fillId="5" borderId="0" xfId="4" applyNumberFormat="1" applyFont="1" applyFill="1" applyBorder="1" applyAlignment="1" applyProtection="1">
      <alignment horizontal="right"/>
    </xf>
    <xf numFmtId="172" fontId="17" fillId="5" borderId="0" xfId="4" applyNumberFormat="1" applyFont="1" applyFill="1" applyBorder="1" applyAlignment="1" applyProtection="1">
      <alignment horizontal="left"/>
    </xf>
    <xf numFmtId="44" fontId="17" fillId="5" borderId="0" xfId="4" applyNumberFormat="1" applyFont="1" applyFill="1" applyBorder="1" applyAlignment="1" applyProtection="1">
      <alignment horizontal="left"/>
    </xf>
    <xf numFmtId="172" fontId="17" fillId="5" borderId="7" xfId="4" applyNumberFormat="1" applyFont="1" applyFill="1" applyBorder="1" applyProtection="1"/>
    <xf numFmtId="44" fontId="17" fillId="5" borderId="7" xfId="4" applyNumberFormat="1" applyFont="1" applyFill="1" applyBorder="1" applyProtection="1"/>
    <xf numFmtId="172" fontId="17" fillId="4" borderId="0" xfId="4" applyNumberFormat="1" applyFont="1" applyFill="1" applyBorder="1" applyProtection="1"/>
    <xf numFmtId="44" fontId="17" fillId="4" borderId="0" xfId="4" applyNumberFormat="1" applyFont="1" applyFill="1" applyBorder="1" applyProtection="1"/>
    <xf numFmtId="49" fontId="60" fillId="4" borderId="0" xfId="0" applyNumberFormat="1" applyFont="1" applyFill="1" applyBorder="1" applyAlignment="1" applyProtection="1">
      <alignment horizontal="left"/>
    </xf>
    <xf numFmtId="49" fontId="61" fillId="4" borderId="0" xfId="0" applyNumberFormat="1" applyFont="1" applyFill="1" applyBorder="1" applyAlignment="1" applyProtection="1">
      <alignment horizontal="center"/>
    </xf>
    <xf numFmtId="0" fontId="61" fillId="4" borderId="0" xfId="0" applyFont="1" applyFill="1" applyBorder="1" applyAlignment="1" applyProtection="1">
      <alignment horizontal="center"/>
    </xf>
    <xf numFmtId="49" fontId="54" fillId="5" borderId="0" xfId="0" applyNumberFormat="1" applyFont="1" applyFill="1" applyBorder="1" applyAlignment="1" applyProtection="1">
      <alignment horizontal="center"/>
    </xf>
    <xf numFmtId="0" fontId="55" fillId="5" borderId="0" xfId="0" applyFont="1" applyFill="1" applyBorder="1" applyAlignment="1" applyProtection="1">
      <alignment horizontal="center"/>
    </xf>
    <xf numFmtId="49" fontId="54" fillId="5" borderId="0" xfId="0" applyNumberFormat="1" applyFont="1" applyFill="1" applyBorder="1" applyAlignment="1" applyProtection="1">
      <alignment horizontal="center" wrapText="1"/>
    </xf>
    <xf numFmtId="0" fontId="55" fillId="5" borderId="0" xfId="0" applyFont="1" applyFill="1" applyBorder="1" applyAlignment="1" applyProtection="1">
      <alignment horizontal="center" wrapText="1"/>
    </xf>
    <xf numFmtId="0" fontId="54" fillId="5" borderId="0" xfId="0" applyFont="1" applyFill="1" applyBorder="1" applyAlignment="1" applyProtection="1">
      <alignment horizontal="center"/>
    </xf>
    <xf numFmtId="2" fontId="54" fillId="5" borderId="0" xfId="0" applyNumberFormat="1" applyFont="1" applyFill="1" applyBorder="1" applyAlignment="1" applyProtection="1">
      <alignment horizontal="center"/>
    </xf>
    <xf numFmtId="2" fontId="55" fillId="5" borderId="0" xfId="0" applyNumberFormat="1" applyFont="1" applyFill="1" applyBorder="1" applyAlignment="1" applyProtection="1">
      <alignment horizontal="center"/>
    </xf>
    <xf numFmtId="0" fontId="56" fillId="4" borderId="14" xfId="0" applyFont="1" applyFill="1" applyBorder="1" applyAlignment="1" applyProtection="1">
      <alignment horizontal="left"/>
    </xf>
    <xf numFmtId="0" fontId="55" fillId="4" borderId="14" xfId="0" applyFont="1" applyFill="1" applyBorder="1" applyAlignment="1" applyProtection="1">
      <alignment horizontal="left"/>
    </xf>
    <xf numFmtId="0" fontId="70" fillId="4" borderId="14" xfId="0" applyFont="1" applyFill="1" applyBorder="1" applyAlignment="1" applyProtection="1">
      <alignment horizontal="left"/>
    </xf>
    <xf numFmtId="0" fontId="23" fillId="5" borderId="0" xfId="0" applyFont="1" applyFill="1" applyBorder="1" applyAlignment="1" applyProtection="1">
      <alignment horizontal="right"/>
    </xf>
    <xf numFmtId="185" fontId="17" fillId="3" borderId="0" xfId="0" applyNumberFormat="1" applyFont="1" applyFill="1" applyBorder="1" applyAlignment="1" applyProtection="1">
      <alignment horizontal="left" vertical="center"/>
    </xf>
  </cellXfs>
  <cellStyles count="5">
    <cellStyle name="Euro" xfId="1"/>
    <cellStyle name="Hyperlink" xfId="2" builtinId="8"/>
    <cellStyle name="Procent" xfId="3" builtinId="5"/>
    <cellStyle name="Standaard" xfId="0" builtinId="0"/>
    <cellStyle name="Valuta" xfId="4" builtinId="4"/>
  </cellStyles>
  <dxfs count="0"/>
  <tableStyles count="0" defaultTableStyle="TableStyleMedium9" defaultPivotStyle="PivotStyleLight16"/>
  <colors>
    <mruColors>
      <color rgb="FFFFFF99"/>
    </mruColors>
  </colors>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225" b="1" i="0" u="none" strike="noStrike" baseline="0">
                <a:solidFill>
                  <a:srgbClr val="000000"/>
                </a:solidFill>
                <a:latin typeface="Arial"/>
                <a:ea typeface="Arial"/>
                <a:cs typeface="Arial"/>
              </a:defRPr>
            </a:pPr>
            <a:r>
              <a:rPr lang="nl-NL"/>
              <a:t>Liquide Middelen</a:t>
            </a:r>
          </a:p>
        </c:rich>
      </c:tx>
      <c:spPr>
        <a:noFill/>
        <a:ln w="25400">
          <a:noFill/>
        </a:ln>
      </c:spPr>
    </c:title>
    <c:plotArea>
      <c:layout/>
      <c:barChart>
        <c:barDir val="col"/>
        <c:grouping val="clustered"/>
        <c:ser>
          <c:idx val="0"/>
          <c:order val="0"/>
          <c:spPr>
            <a:solidFill>
              <a:srgbClr val="CC99FF"/>
            </a:solidFill>
            <a:ln w="12700">
              <a:solidFill>
                <a:srgbClr val="000000"/>
              </a:solidFill>
              <a:prstDash val="solid"/>
            </a:ln>
          </c:spPr>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Val val="1"/>
          </c:dLbls>
          <c:cat>
            <c:numRef>
              <c:f>bal!$G$8:$J$8</c:f>
              <c:numCache>
                <c:formatCode>General</c:formatCode>
                <c:ptCount val="4"/>
                <c:pt idx="0">
                  <c:v>2013</c:v>
                </c:pt>
                <c:pt idx="1">
                  <c:v>2014</c:v>
                </c:pt>
                <c:pt idx="2">
                  <c:v>2015</c:v>
                </c:pt>
                <c:pt idx="3">
                  <c:v>2016</c:v>
                </c:pt>
              </c:numCache>
            </c:numRef>
          </c:cat>
          <c:val>
            <c:numRef>
              <c:f>bal!$G$22:$J$22</c:f>
              <c:numCache>
                <c:formatCode>_-"€"\ * #,##0_-;_-"€"\ * #,##0\-;_-"€"\ * "-"_-;_-@_-</c:formatCode>
                <c:ptCount val="4"/>
                <c:pt idx="0">
                  <c:v>3741185.7600000007</c:v>
                </c:pt>
                <c:pt idx="1">
                  <c:v>7482371.5200000014</c:v>
                </c:pt>
                <c:pt idx="2">
                  <c:v>11223557.280000001</c:v>
                </c:pt>
                <c:pt idx="3">
                  <c:v>14964743.040000003</c:v>
                </c:pt>
              </c:numCache>
            </c:numRef>
          </c:val>
        </c:ser>
        <c:dLbls>
          <c:showVal val="1"/>
        </c:dLbls>
        <c:axId val="94466816"/>
        <c:axId val="94468352"/>
      </c:barChart>
      <c:catAx>
        <c:axId val="94466816"/>
        <c:scaling>
          <c:orientation val="minMax"/>
        </c:scaling>
        <c:axPos val="b"/>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4468352"/>
        <c:crosses val="autoZero"/>
        <c:auto val="1"/>
        <c:lblAlgn val="ctr"/>
        <c:lblOffset val="100"/>
        <c:tickLblSkip val="1"/>
        <c:tickMarkSkip val="1"/>
      </c:catAx>
      <c:valAx>
        <c:axId val="94468352"/>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44668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00" b="1" i="0" u="none" strike="noStrike" baseline="0">
                <a:solidFill>
                  <a:srgbClr val="000000"/>
                </a:solidFill>
                <a:latin typeface="Arial"/>
                <a:ea typeface="Arial"/>
                <a:cs typeface="Arial"/>
              </a:defRPr>
            </a:pPr>
            <a:r>
              <a:rPr lang="nl-NL"/>
              <a:t>Rentabiliteit</a:t>
            </a:r>
          </a:p>
        </c:rich>
      </c:tx>
      <c:layout>
        <c:manualLayout>
          <c:xMode val="edge"/>
          <c:yMode val="edge"/>
          <c:x val="0.3991031440218909"/>
          <c:y val="3.5190615835777136E-2"/>
        </c:manualLayout>
      </c:layout>
      <c:spPr>
        <a:noFill/>
        <a:ln w="25400">
          <a:noFill/>
        </a:ln>
      </c:spPr>
    </c:title>
    <c:plotArea>
      <c:layout>
        <c:manualLayout>
          <c:layoutTarget val="inner"/>
          <c:xMode val="edge"/>
          <c:yMode val="edge"/>
          <c:x val="0.15919282511210794"/>
          <c:y val="0.19648093841642436"/>
          <c:w val="0.8094170403587444"/>
          <c:h val="0.67155425219942222"/>
        </c:manualLayout>
      </c:layout>
      <c:barChart>
        <c:barDir val="col"/>
        <c:grouping val="clustered"/>
        <c:ser>
          <c:idx val="0"/>
          <c:order val="0"/>
          <c:spPr>
            <a:solidFill>
              <a:srgbClr val="FF99CC"/>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bal!$G$8:$J$8</c:f>
              <c:numCache>
                <c:formatCode>General</c:formatCode>
                <c:ptCount val="4"/>
                <c:pt idx="0">
                  <c:v>2013</c:v>
                </c:pt>
                <c:pt idx="1">
                  <c:v>2014</c:v>
                </c:pt>
                <c:pt idx="2">
                  <c:v>2015</c:v>
                </c:pt>
                <c:pt idx="3">
                  <c:v>2016</c:v>
                </c:pt>
              </c:numCache>
            </c:numRef>
          </c:cat>
          <c:val>
            <c:numRef>
              <c:f>ken!$F$126:$I$126</c:f>
              <c:numCache>
                <c:formatCode>0.00%</c:formatCode>
                <c:ptCount val="4"/>
                <c:pt idx="0">
                  <c:v>0.98187456640619442</c:v>
                </c:pt>
                <c:pt idx="1">
                  <c:v>0.98187456640619442</c:v>
                </c:pt>
                <c:pt idx="2">
                  <c:v>0.98187456640619442</c:v>
                </c:pt>
                <c:pt idx="3">
                  <c:v>0.98187456640619442</c:v>
                </c:pt>
              </c:numCache>
            </c:numRef>
          </c:val>
        </c:ser>
        <c:dLbls>
          <c:showVal val="1"/>
        </c:dLbls>
        <c:axId val="95191808"/>
        <c:axId val="95193344"/>
      </c:barChart>
      <c:catAx>
        <c:axId val="95191808"/>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193344"/>
        <c:crosses val="autoZero"/>
        <c:auto val="1"/>
        <c:lblAlgn val="ctr"/>
        <c:lblOffset val="100"/>
        <c:tickLblSkip val="1"/>
        <c:tickMarkSkip val="1"/>
      </c:catAx>
      <c:valAx>
        <c:axId val="95193344"/>
        <c:scaling>
          <c:orientation val="minMax"/>
        </c:scaling>
        <c:axPos val="l"/>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191808"/>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25" b="1" i="0" u="none" strike="noStrike" baseline="0">
                <a:solidFill>
                  <a:srgbClr val="000000"/>
                </a:solidFill>
                <a:latin typeface="Arial"/>
                <a:ea typeface="Arial"/>
                <a:cs typeface="Arial"/>
              </a:defRPr>
            </a:pPr>
            <a:r>
              <a:rPr lang="nl-NL"/>
              <a:t>Weerstandsvermogen</a:t>
            </a:r>
          </a:p>
        </c:rich>
      </c:tx>
      <c:layout>
        <c:manualLayout>
          <c:xMode val="edge"/>
          <c:yMode val="edge"/>
          <c:x val="0.32142902519350858"/>
          <c:y val="3.5502958579881658E-2"/>
        </c:manualLayout>
      </c:layout>
      <c:spPr>
        <a:noFill/>
        <a:ln w="25400">
          <a:noFill/>
        </a:ln>
      </c:spPr>
    </c:title>
    <c:plotArea>
      <c:layout>
        <c:manualLayout>
          <c:layoutTarget val="inner"/>
          <c:xMode val="edge"/>
          <c:yMode val="edge"/>
          <c:x val="0.1584823155891604"/>
          <c:y val="0.19822485207100593"/>
          <c:w val="0.81026874026569939"/>
          <c:h val="0.66863905325444839"/>
        </c:manualLayout>
      </c:layout>
      <c:barChart>
        <c:barDir val="col"/>
        <c:grouping val="clustered"/>
        <c:ser>
          <c:idx val="0"/>
          <c:order val="0"/>
          <c:spPr>
            <a:solidFill>
              <a:srgbClr val="FF99CC"/>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bal!$G$8:$J$8</c:f>
              <c:numCache>
                <c:formatCode>General</c:formatCode>
                <c:ptCount val="4"/>
                <c:pt idx="0">
                  <c:v>2013</c:v>
                </c:pt>
                <c:pt idx="1">
                  <c:v>2014</c:v>
                </c:pt>
                <c:pt idx="2">
                  <c:v>2015</c:v>
                </c:pt>
                <c:pt idx="3">
                  <c:v>2016</c:v>
                </c:pt>
              </c:numCache>
            </c:numRef>
          </c:cat>
          <c:val>
            <c:numRef>
              <c:f>ken!$F$131:$I$131</c:f>
              <c:numCache>
                <c:formatCode>0.00%</c:formatCode>
                <c:ptCount val="4"/>
                <c:pt idx="0">
                  <c:v>0.98187456640619442</c:v>
                </c:pt>
                <c:pt idx="1">
                  <c:v>1.9637491328123888</c:v>
                </c:pt>
                <c:pt idx="2">
                  <c:v>2.9456236992185829</c:v>
                </c:pt>
                <c:pt idx="3">
                  <c:v>3.9274982656247777</c:v>
                </c:pt>
              </c:numCache>
            </c:numRef>
          </c:val>
        </c:ser>
        <c:dLbls>
          <c:showVal val="1"/>
        </c:dLbls>
        <c:axId val="95213440"/>
        <c:axId val="95214976"/>
      </c:barChart>
      <c:catAx>
        <c:axId val="95213440"/>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214976"/>
        <c:crosses val="autoZero"/>
        <c:auto val="1"/>
        <c:lblAlgn val="ctr"/>
        <c:lblOffset val="100"/>
        <c:tickLblSkip val="1"/>
        <c:tickMarkSkip val="1"/>
      </c:catAx>
      <c:valAx>
        <c:axId val="95214976"/>
        <c:scaling>
          <c:orientation val="minMax"/>
        </c:scaling>
        <c:axPos val="l"/>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2134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225" b="1" i="0" u="none" strike="noStrike" baseline="0">
                <a:solidFill>
                  <a:srgbClr val="000000"/>
                </a:solidFill>
                <a:latin typeface="Arial"/>
                <a:ea typeface="Arial"/>
                <a:cs typeface="Arial"/>
              </a:defRPr>
            </a:pPr>
            <a:r>
              <a:rPr lang="nl-NL"/>
              <a:t>Rijksbijdragen OCW</a:t>
            </a:r>
          </a:p>
        </c:rich>
      </c:tx>
      <c:spPr>
        <a:noFill/>
        <a:ln w="25400">
          <a:noFill/>
        </a:ln>
      </c:spPr>
    </c:title>
    <c:plotArea>
      <c:layout/>
      <c:barChart>
        <c:barDir val="col"/>
        <c:grouping val="clustered"/>
        <c:ser>
          <c:idx val="0"/>
          <c:order val="0"/>
          <c:spPr>
            <a:solidFill>
              <a:srgbClr val="9999FF"/>
            </a:solidFill>
            <a:ln w="12700">
              <a:solidFill>
                <a:srgbClr val="000000"/>
              </a:solidFill>
              <a:prstDash val="solid"/>
            </a:ln>
          </c:spPr>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begr!$F$14:$I$14</c:f>
              <c:numCache>
                <c:formatCode>_-"€"\ * #,##0_-;_-"€"\ * #,##0\-;_-"€"\ * "-"_-;_-@_-</c:formatCode>
                <c:ptCount val="4"/>
                <c:pt idx="0">
                  <c:v>3810248.1600000006</c:v>
                </c:pt>
                <c:pt idx="1">
                  <c:v>3810248.1600000006</c:v>
                </c:pt>
                <c:pt idx="2">
                  <c:v>3810248.1600000006</c:v>
                </c:pt>
                <c:pt idx="3">
                  <c:v>3810248.1600000006</c:v>
                </c:pt>
              </c:numCache>
            </c:numRef>
          </c:val>
        </c:ser>
        <c:dLbls>
          <c:showVal val="1"/>
        </c:dLbls>
        <c:axId val="95271936"/>
        <c:axId val="95273728"/>
      </c:barChart>
      <c:catAx>
        <c:axId val="95271936"/>
        <c:scaling>
          <c:orientation val="minMax"/>
        </c:scaling>
        <c:axPos val="b"/>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273728"/>
        <c:crosses val="autoZero"/>
        <c:auto val="1"/>
        <c:lblAlgn val="ctr"/>
        <c:lblOffset val="100"/>
        <c:tickLblSkip val="1"/>
        <c:tickMarkSkip val="1"/>
      </c:catAx>
      <c:valAx>
        <c:axId val="95273728"/>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27193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225" b="1" i="0" u="none" strike="noStrike" baseline="0">
                <a:solidFill>
                  <a:srgbClr val="000000"/>
                </a:solidFill>
                <a:latin typeface="Arial"/>
                <a:ea typeface="Arial"/>
                <a:cs typeface="Arial"/>
              </a:defRPr>
            </a:pPr>
            <a:r>
              <a:rPr lang="nl-NL"/>
              <a:t>Personele lasten</a:t>
            </a:r>
          </a:p>
        </c:rich>
      </c:tx>
      <c:spPr>
        <a:noFill/>
        <a:ln w="25400">
          <a:noFill/>
        </a:ln>
      </c:spPr>
    </c:title>
    <c:plotArea>
      <c:layout/>
      <c:barChart>
        <c:barDir val="col"/>
        <c:grouping val="clustered"/>
        <c:ser>
          <c:idx val="0"/>
          <c:order val="0"/>
          <c:spPr>
            <a:solidFill>
              <a:srgbClr val="FF0000"/>
            </a:solidFill>
            <a:ln w="12700">
              <a:solidFill>
                <a:srgbClr val="000000"/>
              </a:solidFill>
              <a:prstDash val="solid"/>
            </a:ln>
          </c:spPr>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begr!$F$21:$I$21</c:f>
            </c:numRef>
          </c:val>
        </c:ser>
        <c:dLbls>
          <c:showVal val="1"/>
        </c:dLbls>
        <c:axId val="95379840"/>
        <c:axId val="95381376"/>
      </c:barChart>
      <c:catAx>
        <c:axId val="95379840"/>
        <c:scaling>
          <c:orientation val="minMax"/>
        </c:scaling>
        <c:axPos val="b"/>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381376"/>
        <c:crosses val="autoZero"/>
        <c:auto val="1"/>
        <c:lblAlgn val="ctr"/>
        <c:lblOffset val="100"/>
        <c:tickLblSkip val="1"/>
        <c:tickMarkSkip val="1"/>
      </c:catAx>
      <c:valAx>
        <c:axId val="95381376"/>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3798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225" b="1" i="0" u="none" strike="noStrike" baseline="0">
                <a:solidFill>
                  <a:srgbClr val="000000"/>
                </a:solidFill>
                <a:latin typeface="Arial"/>
                <a:ea typeface="Arial"/>
                <a:cs typeface="Arial"/>
              </a:defRPr>
            </a:pPr>
            <a:r>
              <a:rPr lang="nl-NL"/>
              <a:t>Afschrijvingen</a:t>
            </a:r>
          </a:p>
        </c:rich>
      </c:tx>
      <c:spPr>
        <a:noFill/>
        <a:ln w="25400">
          <a:noFill/>
        </a:ln>
      </c:spPr>
    </c:title>
    <c:plotArea>
      <c:layout/>
      <c:barChart>
        <c:barDir val="col"/>
        <c:grouping val="clustered"/>
        <c:ser>
          <c:idx val="0"/>
          <c:order val="0"/>
          <c:spPr>
            <a:solidFill>
              <a:srgbClr val="FF0000"/>
            </a:solidFill>
            <a:ln w="12700">
              <a:solidFill>
                <a:srgbClr val="000000"/>
              </a:solidFill>
              <a:prstDash val="solid"/>
            </a:ln>
          </c:spPr>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begr!$F$24:$I$24</c:f>
              <c:numCache>
                <c:formatCode>_-"€"\ * #,##0_-;_-"€"\ * #,##0\-;_-"€"\ * "-"_-;_-@_-</c:formatCode>
                <c:ptCount val="4"/>
                <c:pt idx="0">
                  <c:v>0</c:v>
                </c:pt>
                <c:pt idx="1">
                  <c:v>0</c:v>
                </c:pt>
                <c:pt idx="2">
                  <c:v>0</c:v>
                </c:pt>
                <c:pt idx="3">
                  <c:v>0</c:v>
                </c:pt>
              </c:numCache>
            </c:numRef>
          </c:val>
        </c:ser>
        <c:dLbls>
          <c:showVal val="1"/>
        </c:dLbls>
        <c:axId val="95421952"/>
        <c:axId val="95423488"/>
      </c:barChart>
      <c:catAx>
        <c:axId val="95421952"/>
        <c:scaling>
          <c:orientation val="minMax"/>
        </c:scaling>
        <c:axPos val="b"/>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423488"/>
        <c:crosses val="autoZero"/>
        <c:auto val="1"/>
        <c:lblAlgn val="ctr"/>
        <c:lblOffset val="100"/>
        <c:tickLblSkip val="1"/>
        <c:tickMarkSkip val="1"/>
      </c:catAx>
      <c:valAx>
        <c:axId val="95423488"/>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42195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225" b="1" i="0" u="none" strike="noStrike" baseline="0">
                <a:solidFill>
                  <a:srgbClr val="000000"/>
                </a:solidFill>
                <a:latin typeface="Arial"/>
                <a:ea typeface="Arial"/>
                <a:cs typeface="Arial"/>
              </a:defRPr>
            </a:pPr>
            <a:r>
              <a:rPr lang="nl-NL"/>
              <a:t>Huisvestingslasten</a:t>
            </a:r>
          </a:p>
        </c:rich>
      </c:tx>
      <c:spPr>
        <a:noFill/>
        <a:ln w="25400">
          <a:noFill/>
        </a:ln>
      </c:spPr>
    </c:title>
    <c:plotArea>
      <c:layout/>
      <c:barChart>
        <c:barDir val="col"/>
        <c:grouping val="clustered"/>
        <c:ser>
          <c:idx val="0"/>
          <c:order val="0"/>
          <c:spPr>
            <a:solidFill>
              <a:srgbClr val="FF0000"/>
            </a:solidFill>
            <a:ln w="12700">
              <a:solidFill>
                <a:srgbClr val="000000"/>
              </a:solidFill>
              <a:prstDash val="solid"/>
            </a:ln>
          </c:spPr>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begr!$F$25:$I$25</c:f>
              <c:numCache>
                <c:formatCode>_-"€"\ * #,##0_-;_-"€"\ * #,##0\-;_-"€"\ * "-"_-;_-@_-</c:formatCode>
                <c:ptCount val="4"/>
                <c:pt idx="0">
                  <c:v>0</c:v>
                </c:pt>
                <c:pt idx="1">
                  <c:v>0</c:v>
                </c:pt>
                <c:pt idx="2">
                  <c:v>0</c:v>
                </c:pt>
                <c:pt idx="3">
                  <c:v>0</c:v>
                </c:pt>
              </c:numCache>
            </c:numRef>
          </c:val>
        </c:ser>
        <c:dLbls>
          <c:showVal val="1"/>
        </c:dLbls>
        <c:axId val="95447680"/>
        <c:axId val="95461760"/>
      </c:barChart>
      <c:catAx>
        <c:axId val="95447680"/>
        <c:scaling>
          <c:orientation val="minMax"/>
        </c:scaling>
        <c:axPos val="b"/>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461760"/>
        <c:crosses val="autoZero"/>
        <c:auto val="1"/>
        <c:lblAlgn val="ctr"/>
        <c:lblOffset val="100"/>
        <c:tickLblSkip val="1"/>
        <c:tickMarkSkip val="1"/>
      </c:catAx>
      <c:valAx>
        <c:axId val="95461760"/>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44768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225" b="1" i="0" u="none" strike="noStrike" baseline="0">
                <a:solidFill>
                  <a:srgbClr val="000000"/>
                </a:solidFill>
                <a:latin typeface="Arial"/>
                <a:ea typeface="Arial"/>
                <a:cs typeface="Arial"/>
              </a:defRPr>
            </a:pPr>
            <a:r>
              <a:rPr lang="nl-NL"/>
              <a:t>Overige instellingslasten</a:t>
            </a:r>
          </a:p>
        </c:rich>
      </c:tx>
      <c:spPr>
        <a:noFill/>
        <a:ln w="25400">
          <a:noFill/>
        </a:ln>
      </c:spPr>
    </c:title>
    <c:plotArea>
      <c:layout/>
      <c:barChart>
        <c:barDir val="col"/>
        <c:grouping val="clustered"/>
        <c:ser>
          <c:idx val="0"/>
          <c:order val="0"/>
          <c:spPr>
            <a:solidFill>
              <a:srgbClr val="FF0000"/>
            </a:solidFill>
            <a:ln w="12700">
              <a:solidFill>
                <a:srgbClr val="000000"/>
              </a:solidFill>
              <a:prstDash val="solid"/>
            </a:ln>
          </c:spPr>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Lit>
              <c:formatCode>General</c:formatCode>
              <c:ptCount val="1"/>
              <c:pt idx="0">
                <c:v>0</c:v>
              </c:pt>
            </c:numLit>
          </c:val>
        </c:ser>
        <c:dLbls>
          <c:showVal val="1"/>
        </c:dLbls>
        <c:axId val="95629696"/>
        <c:axId val="95631232"/>
      </c:barChart>
      <c:catAx>
        <c:axId val="95629696"/>
        <c:scaling>
          <c:orientation val="minMax"/>
        </c:scaling>
        <c:axPos val="b"/>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631232"/>
        <c:crosses val="autoZero"/>
        <c:auto val="1"/>
        <c:lblAlgn val="ctr"/>
        <c:lblOffset val="100"/>
        <c:tickLblSkip val="1"/>
        <c:tickMarkSkip val="1"/>
      </c:catAx>
      <c:valAx>
        <c:axId val="95631232"/>
        <c:scaling>
          <c:orientation val="minMax"/>
        </c:scaling>
        <c:axPos val="l"/>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6296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225" b="1" i="0" u="none" strike="noStrike" baseline="0">
                <a:solidFill>
                  <a:srgbClr val="000000"/>
                </a:solidFill>
                <a:latin typeface="Arial"/>
                <a:ea typeface="Arial"/>
                <a:cs typeface="Arial"/>
              </a:defRPr>
            </a:pPr>
            <a:r>
              <a:rPr lang="nl-NL"/>
              <a:t>Onderwijsleermiddelen</a:t>
            </a:r>
          </a:p>
        </c:rich>
      </c:tx>
      <c:spPr>
        <a:noFill/>
        <a:ln w="25400">
          <a:noFill/>
        </a:ln>
      </c:spPr>
    </c:title>
    <c:plotArea>
      <c:layout/>
      <c:barChart>
        <c:barDir val="col"/>
        <c:grouping val="clustered"/>
        <c:ser>
          <c:idx val="0"/>
          <c:order val="0"/>
          <c:spPr>
            <a:solidFill>
              <a:srgbClr val="FF0000"/>
            </a:solidFill>
            <a:ln w="12700">
              <a:solidFill>
                <a:srgbClr val="000000"/>
              </a:solidFill>
              <a:prstDash val="solid"/>
            </a:ln>
          </c:spPr>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begr!$F$26:$I$26</c:f>
              <c:numCache>
                <c:formatCode>_-"€"\ * #,##0_-;_-"€"\ * #,##0\-;_-"€"\ * "-"_-;_-@_-</c:formatCode>
                <c:ptCount val="4"/>
                <c:pt idx="0">
                  <c:v>0</c:v>
                </c:pt>
                <c:pt idx="1">
                  <c:v>0</c:v>
                </c:pt>
                <c:pt idx="2">
                  <c:v>0</c:v>
                </c:pt>
                <c:pt idx="3">
                  <c:v>0</c:v>
                </c:pt>
              </c:numCache>
            </c:numRef>
          </c:val>
        </c:ser>
        <c:dLbls>
          <c:showVal val="1"/>
        </c:dLbls>
        <c:axId val="95663616"/>
        <c:axId val="95665152"/>
      </c:barChart>
      <c:catAx>
        <c:axId val="95663616"/>
        <c:scaling>
          <c:orientation val="minMax"/>
        </c:scaling>
        <c:axPos val="b"/>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665152"/>
        <c:crosses val="autoZero"/>
        <c:auto val="1"/>
        <c:lblAlgn val="ctr"/>
        <c:lblOffset val="100"/>
        <c:tickLblSkip val="1"/>
        <c:tickMarkSkip val="1"/>
      </c:catAx>
      <c:valAx>
        <c:axId val="95665152"/>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6636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25" b="1" i="0" u="none" strike="noStrike" baseline="0">
                <a:solidFill>
                  <a:srgbClr val="000000"/>
                </a:solidFill>
                <a:latin typeface="Arial"/>
                <a:ea typeface="Arial"/>
                <a:cs typeface="Arial"/>
              </a:defRPr>
            </a:pPr>
            <a:r>
              <a:rPr lang="nl-NL"/>
              <a:t>Resultaat </a:t>
            </a:r>
          </a:p>
        </c:rich>
      </c:tx>
      <c:layout>
        <c:manualLayout>
          <c:xMode val="edge"/>
          <c:yMode val="edge"/>
          <c:x val="0.42187542733629058"/>
          <c:y val="3.5502958579881658E-2"/>
        </c:manualLayout>
      </c:layout>
      <c:spPr>
        <a:noFill/>
        <a:ln w="25400">
          <a:noFill/>
        </a:ln>
      </c:spPr>
    </c:title>
    <c:plotArea>
      <c:layout>
        <c:manualLayout>
          <c:layoutTarget val="inner"/>
          <c:xMode val="edge"/>
          <c:yMode val="edge"/>
          <c:x val="0.19642878551895743"/>
          <c:y val="0.19822485207100593"/>
          <c:w val="0.77232227033590084"/>
          <c:h val="0.66863905325444839"/>
        </c:manualLayout>
      </c:layout>
      <c:barChart>
        <c:barDir val="col"/>
        <c:grouping val="clustered"/>
        <c:ser>
          <c:idx val="0"/>
          <c:order val="0"/>
          <c:spPr>
            <a:solidFill>
              <a:srgbClr val="9999FF"/>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begr!$F$42:$I$42</c:f>
              <c:numCache>
                <c:formatCode>_-"€"\ * #,##0_-;_-"€"\ * #,##0\-;_-"€"\ * "-"_-;_-@_-</c:formatCode>
                <c:ptCount val="4"/>
                <c:pt idx="0">
                  <c:v>3741185.7600000007</c:v>
                </c:pt>
                <c:pt idx="1">
                  <c:v>3741185.7600000007</c:v>
                </c:pt>
                <c:pt idx="2">
                  <c:v>3741185.7600000007</c:v>
                </c:pt>
                <c:pt idx="3">
                  <c:v>3741185.7600000007</c:v>
                </c:pt>
              </c:numCache>
            </c:numRef>
          </c:val>
        </c:ser>
        <c:dLbls>
          <c:showVal val="1"/>
        </c:dLbls>
        <c:axId val="95558272"/>
        <c:axId val="95592832"/>
      </c:barChart>
      <c:catAx>
        <c:axId val="95558272"/>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592832"/>
        <c:crosses val="autoZero"/>
        <c:auto val="1"/>
        <c:lblAlgn val="ctr"/>
        <c:lblOffset val="100"/>
        <c:tickLblSkip val="1"/>
        <c:tickMarkSkip val="1"/>
      </c:catAx>
      <c:valAx>
        <c:axId val="95592832"/>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55827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00" b="1" i="0" u="none" strike="noStrike" baseline="0">
                <a:solidFill>
                  <a:srgbClr val="000000"/>
                </a:solidFill>
                <a:latin typeface="Arial"/>
                <a:ea typeface="Arial"/>
                <a:cs typeface="Arial"/>
              </a:defRPr>
            </a:pPr>
            <a:r>
              <a:rPr lang="nl-NL"/>
              <a:t>Leerlingenverloop</a:t>
            </a:r>
          </a:p>
        </c:rich>
      </c:tx>
      <c:layout>
        <c:manualLayout>
          <c:xMode val="edge"/>
          <c:yMode val="edge"/>
          <c:x val="0.34821456141511731"/>
          <c:y val="3.5294117647058851E-2"/>
        </c:manualLayout>
      </c:layout>
      <c:spPr>
        <a:noFill/>
        <a:ln w="25400">
          <a:noFill/>
        </a:ln>
      </c:spPr>
    </c:title>
    <c:plotArea>
      <c:layout>
        <c:manualLayout>
          <c:layoutTarget val="inner"/>
          <c:xMode val="edge"/>
          <c:yMode val="edge"/>
          <c:x val="9.1517956889514251E-2"/>
          <c:y val="0.19705910653019787"/>
          <c:w val="0.87723309896534396"/>
          <c:h val="0.58823613889610327"/>
        </c:manualLayout>
      </c:layout>
      <c:barChart>
        <c:barDir val="col"/>
        <c:grouping val="clustered"/>
        <c:ser>
          <c:idx val="0"/>
          <c:order val="0"/>
          <c:tx>
            <c:v>totaal</c:v>
          </c:tx>
          <c:spPr>
            <a:solidFill>
              <a:srgbClr val="99CC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som!$F$16:$I$16</c:f>
              <c:numCache>
                <c:formatCode>General</c:formatCode>
                <c:ptCount val="4"/>
                <c:pt idx="0">
                  <c:v>2013</c:v>
                </c:pt>
                <c:pt idx="1">
                  <c:v>2014</c:v>
                </c:pt>
                <c:pt idx="2">
                  <c:v>2015</c:v>
                </c:pt>
                <c:pt idx="3">
                  <c:v>2016</c:v>
                </c:pt>
              </c:numCache>
            </c:numRef>
          </c:cat>
          <c:val>
            <c:numRef>
              <c:f>som!$F$52:$I$52</c:f>
              <c:numCache>
                <c:formatCode>0</c:formatCode>
                <c:ptCount val="4"/>
                <c:pt idx="0">
                  <c:v>213</c:v>
                </c:pt>
                <c:pt idx="1">
                  <c:v>213</c:v>
                </c:pt>
                <c:pt idx="2">
                  <c:v>213</c:v>
                </c:pt>
                <c:pt idx="3">
                  <c:v>213</c:v>
                </c:pt>
              </c:numCache>
            </c:numRef>
          </c:val>
        </c:ser>
        <c:ser>
          <c:idx val="1"/>
          <c:order val="1"/>
          <c:tx>
            <c:v>ouder/ gelijk aan 8 jaar</c:v>
          </c:tx>
          <c:spPr>
            <a:solidFill>
              <a:srgbClr val="993366"/>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som!$F$16:$I$16</c:f>
              <c:numCache>
                <c:formatCode>General</c:formatCode>
                <c:ptCount val="4"/>
                <c:pt idx="0">
                  <c:v>2013</c:v>
                </c:pt>
                <c:pt idx="1">
                  <c:v>2014</c:v>
                </c:pt>
                <c:pt idx="2">
                  <c:v>2015</c:v>
                </c:pt>
                <c:pt idx="3">
                  <c:v>2016</c:v>
                </c:pt>
              </c:numCache>
            </c:numRef>
          </c:cat>
          <c:val>
            <c:numRef>
              <c:f>som!$F$51:$I$51</c:f>
              <c:numCache>
                <c:formatCode>0</c:formatCode>
                <c:ptCount val="4"/>
                <c:pt idx="0">
                  <c:v>213</c:v>
                </c:pt>
                <c:pt idx="1">
                  <c:v>213</c:v>
                </c:pt>
                <c:pt idx="2">
                  <c:v>213</c:v>
                </c:pt>
                <c:pt idx="3">
                  <c:v>213</c:v>
                </c:pt>
              </c:numCache>
            </c:numRef>
          </c:val>
        </c:ser>
        <c:ser>
          <c:idx val="2"/>
          <c:order val="2"/>
          <c:tx>
            <c:v>jonger dan 8 jaar</c:v>
          </c:tx>
          <c:spPr>
            <a:solidFill>
              <a:srgbClr val="FFFFCC"/>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som!$F$16:$I$16</c:f>
              <c:numCache>
                <c:formatCode>General</c:formatCode>
                <c:ptCount val="4"/>
                <c:pt idx="0">
                  <c:v>2013</c:v>
                </c:pt>
                <c:pt idx="1">
                  <c:v>2014</c:v>
                </c:pt>
                <c:pt idx="2">
                  <c:v>2015</c:v>
                </c:pt>
                <c:pt idx="3">
                  <c:v>2016</c:v>
                </c:pt>
              </c:numCache>
            </c:numRef>
          </c:cat>
          <c:val>
            <c:numRef>
              <c:f>som!$F$50:$I$50</c:f>
              <c:numCache>
                <c:formatCode>0</c:formatCode>
                <c:ptCount val="4"/>
                <c:pt idx="0">
                  <c:v>0</c:v>
                </c:pt>
                <c:pt idx="1">
                  <c:v>0</c:v>
                </c:pt>
                <c:pt idx="2">
                  <c:v>0</c:v>
                </c:pt>
                <c:pt idx="3">
                  <c:v>0</c:v>
                </c:pt>
              </c:numCache>
            </c:numRef>
          </c:val>
        </c:ser>
        <c:dLbls>
          <c:showVal val="1"/>
        </c:dLbls>
        <c:axId val="95615232"/>
        <c:axId val="95698944"/>
      </c:barChart>
      <c:catAx>
        <c:axId val="95615232"/>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698944"/>
        <c:crosses val="autoZero"/>
        <c:auto val="1"/>
        <c:lblAlgn val="ctr"/>
        <c:lblOffset val="100"/>
        <c:tickLblSkip val="1"/>
        <c:tickMarkSkip val="1"/>
      </c:catAx>
      <c:valAx>
        <c:axId val="95698944"/>
        <c:scaling>
          <c:orientation val="minMax"/>
        </c:scaling>
        <c:axPos val="l"/>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6152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18487394957983194"/>
          <c:y val="0.90882483459449537"/>
          <c:w val="0.7037815126050464"/>
          <c:h val="7.0588336667533128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paperSize="9" orientation="landscape" verticalDpi="0"/>
  </c:printSettings>
</c:chartSpace>
</file>

<file path=xl/charts/chart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00" b="1" i="0" u="none" strike="noStrike" baseline="0">
                <a:solidFill>
                  <a:srgbClr val="000000"/>
                </a:solidFill>
                <a:latin typeface="Arial"/>
                <a:ea typeface="Arial"/>
                <a:cs typeface="Arial"/>
              </a:defRPr>
            </a:pPr>
            <a:r>
              <a:rPr lang="nl-NL"/>
              <a:t>Budget Personeel</a:t>
            </a:r>
          </a:p>
        </c:rich>
      </c:tx>
      <c:layout>
        <c:manualLayout>
          <c:xMode val="edge"/>
          <c:yMode val="edge"/>
          <c:x val="0.35346833251839233"/>
          <c:y val="3.5190615835777136E-2"/>
        </c:manualLayout>
      </c:layout>
      <c:spPr>
        <a:noFill/>
        <a:ln w="25400">
          <a:noFill/>
        </a:ln>
      </c:spPr>
    </c:title>
    <c:plotArea>
      <c:layout>
        <c:manualLayout>
          <c:layoutTarget val="inner"/>
          <c:xMode val="edge"/>
          <c:yMode val="edge"/>
          <c:x val="0.22147699392869538"/>
          <c:y val="0.19648093841642436"/>
          <c:w val="0.74720521184024535"/>
          <c:h val="0.58944281524926656"/>
        </c:manualLayout>
      </c:layout>
      <c:barChart>
        <c:barDir val="col"/>
        <c:grouping val="clustered"/>
        <c:ser>
          <c:idx val="0"/>
          <c:order val="0"/>
          <c:tx>
            <c:v>baten</c:v>
          </c:tx>
          <c:spPr>
            <a:solidFill>
              <a:srgbClr val="CCCCFF"/>
            </a:solidFill>
            <a:ln w="12700">
              <a:solidFill>
                <a:srgbClr val="000000"/>
              </a:solidFill>
              <a:prstDash val="solid"/>
            </a:ln>
          </c:spPr>
          <c:cat>
            <c:numRef>
              <c:f>begr!$F$8:$I$8</c:f>
              <c:numCache>
                <c:formatCode>General</c:formatCode>
                <c:ptCount val="4"/>
                <c:pt idx="0">
                  <c:v>2013</c:v>
                </c:pt>
                <c:pt idx="1">
                  <c:v>2014</c:v>
                </c:pt>
                <c:pt idx="2">
                  <c:v>2015</c:v>
                </c:pt>
                <c:pt idx="3">
                  <c:v>2016</c:v>
                </c:pt>
              </c:numCache>
            </c:numRef>
          </c:cat>
          <c:val>
            <c:numRef>
              <c:f>pers!$J$259:$M$259</c:f>
              <c:numCache>
                <c:formatCode>_-"€"\ * #,##0_-;_-"€"\ * #,##0\-;_-"€"\ * "-"_-;_-@_-</c:formatCode>
                <c:ptCount val="4"/>
                <c:pt idx="0">
                  <c:v>3490143.3400000008</c:v>
                </c:pt>
                <c:pt idx="1">
                  <c:v>3490143.3400000008</c:v>
                </c:pt>
                <c:pt idx="2">
                  <c:v>3490143.3400000008</c:v>
                </c:pt>
                <c:pt idx="3">
                  <c:v>3490143.3400000008</c:v>
                </c:pt>
              </c:numCache>
            </c:numRef>
          </c:val>
        </c:ser>
        <c:ser>
          <c:idx val="1"/>
          <c:order val="1"/>
          <c:tx>
            <c:v>lasten</c:v>
          </c:tx>
          <c:spPr>
            <a:solidFill>
              <a:srgbClr val="FFCC99"/>
            </a:solidFill>
            <a:ln w="12700">
              <a:solidFill>
                <a:srgbClr val="000000"/>
              </a:solidFill>
              <a:prstDash val="solid"/>
            </a:ln>
          </c:spPr>
          <c:cat>
            <c:numRef>
              <c:f>begr!$F$8:$I$8</c:f>
              <c:numCache>
                <c:formatCode>General</c:formatCode>
                <c:ptCount val="4"/>
                <c:pt idx="0">
                  <c:v>2013</c:v>
                </c:pt>
                <c:pt idx="1">
                  <c:v>2014</c:v>
                </c:pt>
                <c:pt idx="2">
                  <c:v>2015</c:v>
                </c:pt>
                <c:pt idx="3">
                  <c:v>2016</c:v>
                </c:pt>
              </c:numCache>
            </c:numRef>
          </c:cat>
          <c:val>
            <c:numRef>
              <c:f>pers!$J$260:$M$260</c:f>
              <c:numCache>
                <c:formatCode>_-"€"\ * #,##0_-;_-"€"\ * #,##0\-;_-"€"\ * "-"??_-;_-@_-</c:formatCode>
                <c:ptCount val="4"/>
                <c:pt idx="0">
                  <c:v>69062.399999999994</c:v>
                </c:pt>
                <c:pt idx="1">
                  <c:v>69062.399999999994</c:v>
                </c:pt>
                <c:pt idx="2">
                  <c:v>69062.399999999994</c:v>
                </c:pt>
                <c:pt idx="3">
                  <c:v>69062.399999999994</c:v>
                </c:pt>
              </c:numCache>
            </c:numRef>
          </c:val>
        </c:ser>
        <c:axId val="94845184"/>
        <c:axId val="94855168"/>
      </c:barChart>
      <c:catAx>
        <c:axId val="94845184"/>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855168"/>
        <c:crosses val="autoZero"/>
        <c:auto val="1"/>
        <c:lblAlgn val="ctr"/>
        <c:lblOffset val="100"/>
        <c:tickLblSkip val="1"/>
        <c:tickMarkSkip val="1"/>
      </c:catAx>
      <c:valAx>
        <c:axId val="94855168"/>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8451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8179871520342632"/>
          <c:y val="0.90909090909090906"/>
          <c:w val="0.23768736616702468"/>
          <c:h val="7.0381231671554273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paperSize="9" orientation="landscape"/>
  </c:printSettings>
</c:chartSpace>
</file>

<file path=xl/charts/chart20.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00" b="1" i="0" u="none" strike="noStrike" baseline="0">
                <a:solidFill>
                  <a:srgbClr val="000000"/>
                </a:solidFill>
                <a:latin typeface="Arial"/>
                <a:ea typeface="Arial"/>
                <a:cs typeface="Arial"/>
              </a:defRPr>
            </a:pPr>
            <a:r>
              <a:rPr lang="nl-NL"/>
              <a:t>Verloop Gem. Gewogen Leeftijd</a:t>
            </a:r>
          </a:p>
        </c:rich>
      </c:tx>
      <c:layout>
        <c:manualLayout>
          <c:xMode val="edge"/>
          <c:yMode val="edge"/>
          <c:x val="0.24330375016682332"/>
          <c:y val="3.5190615835777136E-2"/>
        </c:manualLayout>
      </c:layout>
      <c:spPr>
        <a:noFill/>
        <a:ln w="25400">
          <a:noFill/>
        </a:ln>
      </c:spPr>
    </c:title>
    <c:plotArea>
      <c:layout>
        <c:manualLayout>
          <c:layoutTarget val="inner"/>
          <c:xMode val="edge"/>
          <c:yMode val="edge"/>
          <c:x val="0.131696572109301"/>
          <c:y val="0.19648093841642436"/>
          <c:w val="0.83705448374555724"/>
          <c:h val="0.67155425219942222"/>
        </c:manualLayout>
      </c:layout>
      <c:barChart>
        <c:barDir val="col"/>
        <c:grouping val="clustered"/>
        <c:ser>
          <c:idx val="0"/>
          <c:order val="0"/>
          <c:spPr>
            <a:solidFill>
              <a:srgbClr val="99CC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strRef>
              <c:f>pers!$J$8:$M$8</c:f>
              <c:strCache>
                <c:ptCount val="4"/>
                <c:pt idx="0">
                  <c:v>2013/14</c:v>
                </c:pt>
                <c:pt idx="1">
                  <c:v>2014/15</c:v>
                </c:pt>
                <c:pt idx="2">
                  <c:v>2015/16</c:v>
                </c:pt>
                <c:pt idx="3">
                  <c:v>2016/17</c:v>
                </c:pt>
              </c:strCache>
            </c:strRef>
          </c:cat>
          <c:val>
            <c:numRef>
              <c:f>pers!$J$12:$M$12</c:f>
              <c:numCache>
                <c:formatCode>0.00</c:formatCode>
                <c:ptCount val="4"/>
                <c:pt idx="0">
                  <c:v>50</c:v>
                </c:pt>
                <c:pt idx="1">
                  <c:v>50</c:v>
                </c:pt>
                <c:pt idx="2">
                  <c:v>50</c:v>
                </c:pt>
                <c:pt idx="3">
                  <c:v>50</c:v>
                </c:pt>
              </c:numCache>
            </c:numRef>
          </c:val>
        </c:ser>
        <c:dLbls>
          <c:showVal val="1"/>
        </c:dLbls>
        <c:axId val="95748096"/>
        <c:axId val="95749632"/>
      </c:barChart>
      <c:catAx>
        <c:axId val="95748096"/>
        <c:scaling>
          <c:orientation val="minMax"/>
        </c:scaling>
        <c:axPos val="b"/>
        <c:numFmt formatCode="@"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749632"/>
        <c:crosses val="autoZero"/>
        <c:auto val="1"/>
        <c:lblAlgn val="ctr"/>
        <c:lblOffset val="100"/>
        <c:tickLblSkip val="1"/>
        <c:tickMarkSkip val="1"/>
      </c:catAx>
      <c:valAx>
        <c:axId val="95749632"/>
        <c:scaling>
          <c:orientation val="minMax"/>
        </c:scaling>
        <c:axPos val="l"/>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74809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paperSize="9" orientation="landscape"/>
  </c:printSettings>
</c:chartSpace>
</file>

<file path=xl/charts/chart21.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225" b="1" i="0" u="none" strike="noStrike" baseline="0">
                <a:solidFill>
                  <a:srgbClr val="000000"/>
                </a:solidFill>
                <a:latin typeface="Arial"/>
                <a:ea typeface="Arial"/>
                <a:cs typeface="Arial"/>
              </a:defRPr>
            </a:pPr>
            <a:r>
              <a:rPr lang="nl-NL"/>
              <a:t>Overige Overheidsbijdragen</a:t>
            </a:r>
          </a:p>
        </c:rich>
      </c:tx>
      <c:spPr>
        <a:noFill/>
        <a:ln w="25400">
          <a:noFill/>
        </a:ln>
      </c:spPr>
    </c:title>
    <c:plotArea>
      <c:layout/>
      <c:barChart>
        <c:barDir val="col"/>
        <c:grouping val="clustered"/>
        <c:ser>
          <c:idx val="0"/>
          <c:order val="0"/>
          <c:spPr>
            <a:solidFill>
              <a:srgbClr val="9999FF"/>
            </a:solidFill>
            <a:ln w="12700">
              <a:solidFill>
                <a:srgbClr val="000000"/>
              </a:solidFill>
              <a:prstDash val="solid"/>
            </a:ln>
          </c:spPr>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begr!$F$15:$I$15</c:f>
              <c:numCache>
                <c:formatCode>_-"€"\ * #,##0_-;_-"€"\ * #,##0\-;_-"€"\ * "-"_-;_-@_-</c:formatCode>
                <c:ptCount val="4"/>
                <c:pt idx="0">
                  <c:v>0</c:v>
                </c:pt>
                <c:pt idx="1">
                  <c:v>0</c:v>
                </c:pt>
                <c:pt idx="2">
                  <c:v>0</c:v>
                </c:pt>
                <c:pt idx="3">
                  <c:v>0</c:v>
                </c:pt>
              </c:numCache>
            </c:numRef>
          </c:val>
        </c:ser>
        <c:dLbls>
          <c:showVal val="1"/>
        </c:dLbls>
        <c:axId val="95786112"/>
        <c:axId val="95787648"/>
      </c:barChart>
      <c:catAx>
        <c:axId val="95786112"/>
        <c:scaling>
          <c:orientation val="minMax"/>
        </c:scaling>
        <c:axPos val="b"/>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787648"/>
        <c:crosses val="autoZero"/>
        <c:auto val="1"/>
        <c:lblAlgn val="ctr"/>
        <c:lblOffset val="100"/>
        <c:tickLblSkip val="1"/>
        <c:tickMarkSkip val="1"/>
      </c:catAx>
      <c:valAx>
        <c:axId val="95787648"/>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78611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paperSize="9" orientation="landscape" verticalDpi="0"/>
  </c:printSettings>
</c:chartSpace>
</file>

<file path=xl/charts/chart22.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225" b="1" i="0" u="none" strike="noStrike" baseline="0">
                <a:solidFill>
                  <a:srgbClr val="000000"/>
                </a:solidFill>
                <a:latin typeface="Arial"/>
                <a:ea typeface="Arial"/>
                <a:cs typeface="Arial"/>
              </a:defRPr>
            </a:pPr>
            <a:r>
              <a:rPr lang="nl-NL"/>
              <a:t>Eigen Vermogen</a:t>
            </a:r>
          </a:p>
        </c:rich>
      </c:tx>
      <c:spPr>
        <a:noFill/>
        <a:ln w="25400">
          <a:noFill/>
        </a:ln>
      </c:spPr>
    </c:title>
    <c:plotArea>
      <c:layout/>
      <c:barChart>
        <c:barDir val="col"/>
        <c:grouping val="clustered"/>
        <c:ser>
          <c:idx val="0"/>
          <c:order val="0"/>
          <c:spPr>
            <a:solidFill>
              <a:srgbClr val="CC99FF"/>
            </a:solidFill>
            <a:ln w="12700">
              <a:solidFill>
                <a:srgbClr val="000000"/>
              </a:solidFill>
              <a:prstDash val="solid"/>
            </a:ln>
          </c:spPr>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Val val="1"/>
          </c:dLbls>
          <c:cat>
            <c:numRef>
              <c:f>bal!$G$8:$J$8</c:f>
              <c:numCache>
                <c:formatCode>General</c:formatCode>
                <c:ptCount val="4"/>
                <c:pt idx="0">
                  <c:v>2013</c:v>
                </c:pt>
                <c:pt idx="1">
                  <c:v>2014</c:v>
                </c:pt>
                <c:pt idx="2">
                  <c:v>2015</c:v>
                </c:pt>
                <c:pt idx="3">
                  <c:v>2016</c:v>
                </c:pt>
              </c:numCache>
            </c:numRef>
          </c:cat>
          <c:val>
            <c:numRef>
              <c:f>bal!$G$36:$J$36</c:f>
              <c:numCache>
                <c:formatCode>_-"€"\ * #,##0_-;_-"€"\ * #,##0\-;_-"€"\ * "-"_-;_-@_-</c:formatCode>
                <c:ptCount val="4"/>
                <c:pt idx="0">
                  <c:v>3741185.7600000007</c:v>
                </c:pt>
                <c:pt idx="1">
                  <c:v>7482371.5200000014</c:v>
                </c:pt>
                <c:pt idx="2">
                  <c:v>11223557.280000001</c:v>
                </c:pt>
                <c:pt idx="3">
                  <c:v>14964743.040000003</c:v>
                </c:pt>
              </c:numCache>
            </c:numRef>
          </c:val>
        </c:ser>
        <c:dLbls>
          <c:showVal val="1"/>
        </c:dLbls>
        <c:axId val="95889664"/>
        <c:axId val="95891456"/>
      </c:barChart>
      <c:catAx>
        <c:axId val="95889664"/>
        <c:scaling>
          <c:orientation val="minMax"/>
        </c:scaling>
        <c:axPos val="b"/>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891456"/>
        <c:crosses val="autoZero"/>
        <c:auto val="1"/>
        <c:lblAlgn val="ctr"/>
        <c:lblOffset val="100"/>
        <c:tickLblSkip val="1"/>
        <c:tickMarkSkip val="1"/>
      </c:catAx>
      <c:valAx>
        <c:axId val="95891456"/>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88966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00" b="1" i="0" u="none" strike="noStrike" baseline="0">
                <a:solidFill>
                  <a:srgbClr val="000000"/>
                </a:solidFill>
                <a:latin typeface="Arial"/>
                <a:ea typeface="Arial"/>
                <a:cs typeface="Arial"/>
              </a:defRPr>
            </a:pPr>
            <a:r>
              <a:rPr lang="nl-NL"/>
              <a:t>Totale baten per leerling</a:t>
            </a:r>
          </a:p>
        </c:rich>
      </c:tx>
      <c:layout>
        <c:manualLayout>
          <c:xMode val="edge"/>
          <c:yMode val="edge"/>
          <c:x val="0.30133968548049289"/>
          <c:y val="3.5502958579881658E-2"/>
        </c:manualLayout>
      </c:layout>
      <c:spPr>
        <a:noFill/>
        <a:ln w="25400">
          <a:noFill/>
        </a:ln>
      </c:spPr>
    </c:title>
    <c:plotArea>
      <c:layout>
        <c:manualLayout>
          <c:layoutTarget val="inner"/>
          <c:xMode val="edge"/>
          <c:yMode val="edge"/>
          <c:x val="0.1808037684890404"/>
          <c:y val="0.19822485207100593"/>
          <c:w val="0.78794728736581865"/>
          <c:h val="0.66863905325444839"/>
        </c:manualLayout>
      </c:layout>
      <c:barChart>
        <c:barDir val="col"/>
        <c:grouping val="clustered"/>
        <c:ser>
          <c:idx val="0"/>
          <c:order val="0"/>
          <c:spPr>
            <a:solidFill>
              <a:srgbClr val="9999FF"/>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ken!$F$16:$I$16</c:f>
              <c:numCache>
                <c:formatCode>_-"€"\ * #,##0_-;_-"€"\ * #,##0\-;_-"€"\ * "-"_-;_-@_-</c:formatCode>
                <c:ptCount val="4"/>
                <c:pt idx="0">
                  <c:v>17888.489014084509</c:v>
                </c:pt>
                <c:pt idx="1">
                  <c:v>17888.489014084509</c:v>
                </c:pt>
                <c:pt idx="2">
                  <c:v>17888.489014084509</c:v>
                </c:pt>
                <c:pt idx="3">
                  <c:v>17888.489014084509</c:v>
                </c:pt>
              </c:numCache>
            </c:numRef>
          </c:val>
        </c:ser>
        <c:dLbls>
          <c:showVal val="1"/>
        </c:dLbls>
        <c:axId val="95903104"/>
        <c:axId val="95925376"/>
      </c:barChart>
      <c:catAx>
        <c:axId val="95903104"/>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925376"/>
        <c:crosses val="autoZero"/>
        <c:auto val="1"/>
        <c:lblAlgn val="ctr"/>
        <c:lblOffset val="100"/>
        <c:tickLblSkip val="1"/>
        <c:tickMarkSkip val="1"/>
      </c:catAx>
      <c:valAx>
        <c:axId val="95925376"/>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90310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24.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00" b="1" i="0" u="none" strike="noStrike" baseline="0">
                <a:solidFill>
                  <a:srgbClr val="000000"/>
                </a:solidFill>
                <a:latin typeface="Arial"/>
                <a:ea typeface="Arial"/>
                <a:cs typeface="Arial"/>
              </a:defRPr>
            </a:pPr>
            <a:r>
              <a:rPr lang="nl-NL"/>
              <a:t>Totale lasten per leerling
</a:t>
            </a:r>
          </a:p>
        </c:rich>
      </c:tx>
      <c:layout>
        <c:manualLayout>
          <c:xMode val="edge"/>
          <c:yMode val="edge"/>
          <c:x val="0.29596406218453664"/>
          <c:y val="3.5714285714285712E-2"/>
        </c:manualLayout>
      </c:layout>
      <c:spPr>
        <a:noFill/>
        <a:ln w="25400">
          <a:noFill/>
        </a:ln>
      </c:spPr>
    </c:title>
    <c:plotArea>
      <c:layout>
        <c:manualLayout>
          <c:layoutTarget val="inner"/>
          <c:xMode val="edge"/>
          <c:yMode val="edge"/>
          <c:x val="0.18161434977578494"/>
          <c:y val="0.25892932399008556"/>
          <c:w val="0.78699551569506765"/>
          <c:h val="0.60714462176985062"/>
        </c:manualLayout>
      </c:layout>
      <c:barChart>
        <c:barDir val="col"/>
        <c:grouping val="clustered"/>
        <c:ser>
          <c:idx val="0"/>
          <c:order val="0"/>
          <c:spPr>
            <a:solidFill>
              <a:srgbClr val="FF0000"/>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ken!$F$28:$I$28</c:f>
              <c:numCache>
                <c:formatCode>_-"€"\ * #,##0_-;_-"€"\ * #,##0\-;_-"€"\ * "-"_-;_-@_-</c:formatCode>
                <c:ptCount val="4"/>
                <c:pt idx="0">
                  <c:v>324.23661971830984</c:v>
                </c:pt>
                <c:pt idx="1">
                  <c:v>324.23661971830984</c:v>
                </c:pt>
                <c:pt idx="2">
                  <c:v>324.23661971830984</c:v>
                </c:pt>
                <c:pt idx="3">
                  <c:v>324.23661971830984</c:v>
                </c:pt>
              </c:numCache>
            </c:numRef>
          </c:val>
        </c:ser>
        <c:dLbls>
          <c:showVal val="1"/>
        </c:dLbls>
        <c:axId val="95830784"/>
        <c:axId val="95832320"/>
      </c:barChart>
      <c:catAx>
        <c:axId val="95830784"/>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832320"/>
        <c:crosses val="autoZero"/>
        <c:auto val="1"/>
        <c:lblAlgn val="ctr"/>
        <c:lblOffset val="100"/>
        <c:tickLblSkip val="1"/>
        <c:tickMarkSkip val="1"/>
      </c:catAx>
      <c:valAx>
        <c:axId val="95832320"/>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8307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paperSize="9" orientation="landscape" verticalDpi="0"/>
  </c:printSettings>
</c:chartSpace>
</file>

<file path=xl/charts/chart2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00" b="1" i="0" u="none" strike="noStrike" baseline="0">
                <a:solidFill>
                  <a:srgbClr val="000000"/>
                </a:solidFill>
                <a:latin typeface="Arial"/>
                <a:ea typeface="Arial"/>
                <a:cs typeface="Arial"/>
              </a:defRPr>
            </a:pPr>
            <a:r>
              <a:rPr lang="nl-NL"/>
              <a:t>Investeringen </a:t>
            </a:r>
          </a:p>
        </c:rich>
      </c:tx>
      <c:layout>
        <c:manualLayout>
          <c:xMode val="edge"/>
          <c:yMode val="edge"/>
          <c:x val="0.38702539024727489"/>
          <c:y val="3.5608308605341282E-2"/>
        </c:manualLayout>
      </c:layout>
      <c:spPr>
        <a:noFill/>
        <a:ln w="25400">
          <a:noFill/>
        </a:ln>
      </c:spPr>
    </c:title>
    <c:plotArea>
      <c:layout>
        <c:manualLayout>
          <c:layoutTarget val="inner"/>
          <c:xMode val="edge"/>
          <c:yMode val="edge"/>
          <c:x val="0.10961992628794019"/>
          <c:y val="0.19881334444162868"/>
          <c:w val="0.85906227948100067"/>
          <c:h val="0.66765675372188749"/>
        </c:manualLayout>
      </c:layout>
      <c:barChart>
        <c:barDir val="col"/>
        <c:grouping val="clustered"/>
        <c:ser>
          <c:idx val="0"/>
          <c:order val="0"/>
          <c:spPr>
            <a:solidFill>
              <a:srgbClr val="9999FF"/>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act!$G$29:$J$29</c:f>
              <c:numCache>
                <c:formatCode>_-"€"\ * #,##0_-;_-"€"\ * #,##0\-;_-"€"\ * "-"_-;_-@_-</c:formatCode>
                <c:ptCount val="4"/>
                <c:pt idx="0">
                  <c:v>0</c:v>
                </c:pt>
                <c:pt idx="1">
                  <c:v>0</c:v>
                </c:pt>
                <c:pt idx="2">
                  <c:v>0</c:v>
                </c:pt>
                <c:pt idx="3">
                  <c:v>0</c:v>
                </c:pt>
              </c:numCache>
            </c:numRef>
          </c:val>
        </c:ser>
        <c:dLbls>
          <c:showVal val="1"/>
        </c:dLbls>
        <c:axId val="95876992"/>
        <c:axId val="95878528"/>
      </c:barChart>
      <c:catAx>
        <c:axId val="95876992"/>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878528"/>
        <c:crosses val="autoZero"/>
        <c:auto val="1"/>
        <c:lblAlgn val="ctr"/>
        <c:lblOffset val="100"/>
        <c:tickLblSkip val="1"/>
        <c:tickMarkSkip val="2"/>
      </c:catAx>
      <c:valAx>
        <c:axId val="95878528"/>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87699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175"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25" b="1" i="0" u="none" strike="noStrike" baseline="0">
                <a:solidFill>
                  <a:srgbClr val="000000"/>
                </a:solidFill>
                <a:latin typeface="Arial"/>
                <a:ea typeface="Arial"/>
                <a:cs typeface="Arial"/>
              </a:defRPr>
            </a:pPr>
            <a:r>
              <a:rPr lang="nl-NL"/>
              <a:t>Kapitalisatiefactor</a:t>
            </a:r>
          </a:p>
        </c:rich>
      </c:tx>
      <c:layout>
        <c:manualLayout>
          <c:xMode val="edge"/>
          <c:yMode val="edge"/>
          <c:x val="0.32142902519350858"/>
          <c:y val="3.5502958579881658E-2"/>
        </c:manualLayout>
      </c:layout>
      <c:spPr>
        <a:noFill/>
        <a:ln w="25400">
          <a:noFill/>
        </a:ln>
      </c:spPr>
    </c:title>
    <c:plotArea>
      <c:layout>
        <c:manualLayout>
          <c:layoutTarget val="inner"/>
          <c:xMode val="edge"/>
          <c:yMode val="edge"/>
          <c:x val="0.15848231558916051"/>
          <c:y val="0.19822485207100593"/>
          <c:w val="0.81026874026569939"/>
          <c:h val="0.66863905325444895"/>
        </c:manualLayout>
      </c:layout>
      <c:barChart>
        <c:barDir val="col"/>
        <c:grouping val="clustered"/>
        <c:ser>
          <c:idx val="0"/>
          <c:order val="0"/>
          <c:dLbls>
            <c:spPr>
              <a:noFill/>
              <a:ln w="25400">
                <a:noFill/>
              </a:ln>
            </c:spPr>
            <c:txPr>
              <a:bodyPr/>
              <a:lstStyle/>
              <a:p>
                <a:pPr>
                  <a:defRPr sz="1000"/>
                </a:pPr>
                <a:endParaRPr lang="nl-NL"/>
              </a:p>
            </c:txPr>
            <c:showVal val="1"/>
          </c:dLbls>
          <c:cat>
            <c:numRef>
              <c:f>ken!$F$7:$I$7</c:f>
              <c:numCache>
                <c:formatCode>General</c:formatCode>
                <c:ptCount val="4"/>
                <c:pt idx="0">
                  <c:v>2013</c:v>
                </c:pt>
                <c:pt idx="1">
                  <c:v>2014</c:v>
                </c:pt>
                <c:pt idx="2">
                  <c:v>2015</c:v>
                </c:pt>
                <c:pt idx="3">
                  <c:v>2016</c:v>
                </c:pt>
              </c:numCache>
            </c:numRef>
          </c:cat>
          <c:val>
            <c:numRef>
              <c:f>ken!$F$135:$I$135</c:f>
              <c:numCache>
                <c:formatCode>0%</c:formatCode>
                <c:ptCount val="4"/>
                <c:pt idx="0">
                  <c:v>0.98187456640619442</c:v>
                </c:pt>
                <c:pt idx="1">
                  <c:v>1.9637491328123888</c:v>
                </c:pt>
                <c:pt idx="2">
                  <c:v>2.9456236992185829</c:v>
                </c:pt>
                <c:pt idx="3">
                  <c:v>3.9274982656247777</c:v>
                </c:pt>
              </c:numCache>
            </c:numRef>
          </c:val>
        </c:ser>
        <c:dLbls>
          <c:showVal val="1"/>
        </c:dLbls>
        <c:axId val="95968256"/>
        <c:axId val="95990528"/>
      </c:barChart>
      <c:catAx>
        <c:axId val="95968256"/>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990528"/>
        <c:crosses val="autoZero"/>
        <c:auto val="1"/>
        <c:lblAlgn val="ctr"/>
        <c:lblOffset val="100"/>
        <c:tickLblSkip val="1"/>
        <c:tickMarkSkip val="1"/>
      </c:catAx>
      <c:valAx>
        <c:axId val="95990528"/>
        <c:scaling>
          <c:orientation val="minMax"/>
        </c:scaling>
        <c:axPos val="l"/>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96825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44" r="0.75000000000000444" t="1" header="0.5" footer="0.5"/>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00" b="1" i="0" u="none" strike="noStrike" baseline="0">
                <a:solidFill>
                  <a:srgbClr val="000000"/>
                </a:solidFill>
                <a:latin typeface="Arial"/>
                <a:ea typeface="Arial"/>
                <a:cs typeface="Arial"/>
              </a:defRPr>
            </a:pPr>
            <a:r>
              <a:rPr lang="nl-NL"/>
              <a:t>Budget Materieel</a:t>
            </a:r>
          </a:p>
        </c:rich>
      </c:tx>
      <c:layout>
        <c:manualLayout>
          <c:xMode val="edge"/>
          <c:yMode val="edge"/>
          <c:x val="0.36017969332781086"/>
          <c:y val="3.5294117647058851E-2"/>
        </c:manualLayout>
      </c:layout>
      <c:spPr>
        <a:noFill/>
        <a:ln w="25400">
          <a:noFill/>
        </a:ln>
      </c:spPr>
    </c:title>
    <c:plotArea>
      <c:layout>
        <c:manualLayout>
          <c:layoutTarget val="inner"/>
          <c:xMode val="edge"/>
          <c:yMode val="edge"/>
          <c:x val="0.20581700445898976"/>
          <c:y val="0.19705910653019787"/>
          <c:w val="0.76286520130995161"/>
          <c:h val="0.58823613889610327"/>
        </c:manualLayout>
      </c:layout>
      <c:barChart>
        <c:barDir val="col"/>
        <c:grouping val="clustered"/>
        <c:ser>
          <c:idx val="0"/>
          <c:order val="0"/>
          <c:tx>
            <c:v>baten</c:v>
          </c:tx>
          <c:spPr>
            <a:solidFill>
              <a:srgbClr val="CCCCFF"/>
            </a:solidFill>
            <a:ln w="12700">
              <a:solidFill>
                <a:srgbClr val="000000"/>
              </a:solidFill>
              <a:prstDash val="solid"/>
            </a:ln>
          </c:spPr>
          <c:cat>
            <c:numRef>
              <c:f>begr!$F$8:$I$8</c:f>
              <c:numCache>
                <c:formatCode>General</c:formatCode>
                <c:ptCount val="4"/>
                <c:pt idx="0">
                  <c:v>2013</c:v>
                </c:pt>
                <c:pt idx="1">
                  <c:v>2014</c:v>
                </c:pt>
                <c:pt idx="2">
                  <c:v>2015</c:v>
                </c:pt>
                <c:pt idx="3">
                  <c:v>2016</c:v>
                </c:pt>
              </c:numCache>
            </c:numRef>
          </c:cat>
          <c:val>
            <c:numRef>
              <c:f>mat!$K$172:$N$172</c:f>
              <c:numCache>
                <c:formatCode>_-"€"\ * #,##0_-;_-"€"\ * #,##0\-;_-"€"\ * "-"??_-;_-@_-</c:formatCode>
                <c:ptCount val="4"/>
                <c:pt idx="0">
                  <c:v>320104.82</c:v>
                </c:pt>
                <c:pt idx="1">
                  <c:v>320104.82</c:v>
                </c:pt>
                <c:pt idx="2">
                  <c:v>320104.82</c:v>
                </c:pt>
                <c:pt idx="3">
                  <c:v>320104.82</c:v>
                </c:pt>
              </c:numCache>
            </c:numRef>
          </c:val>
        </c:ser>
        <c:ser>
          <c:idx val="1"/>
          <c:order val="1"/>
          <c:tx>
            <c:v>lasten</c:v>
          </c:tx>
          <c:spPr>
            <a:solidFill>
              <a:srgbClr val="FFCC99"/>
            </a:solidFill>
            <a:ln w="12700">
              <a:solidFill>
                <a:srgbClr val="000000"/>
              </a:solidFill>
              <a:prstDash val="solid"/>
            </a:ln>
          </c:spPr>
          <c:cat>
            <c:numRef>
              <c:f>begr!$F$8:$I$8</c:f>
              <c:numCache>
                <c:formatCode>General</c:formatCode>
                <c:ptCount val="4"/>
                <c:pt idx="0">
                  <c:v>2013</c:v>
                </c:pt>
                <c:pt idx="1">
                  <c:v>2014</c:v>
                </c:pt>
                <c:pt idx="2">
                  <c:v>2015</c:v>
                </c:pt>
                <c:pt idx="3">
                  <c:v>2016</c:v>
                </c:pt>
              </c:numCache>
            </c:numRef>
          </c:cat>
          <c:val>
            <c:numRef>
              <c:f>mat!$K$253:$N$253</c:f>
              <c:numCache>
                <c:formatCode>_-"€"\ * #,##0_-;_-"€"\ * #,##0\-;_-"€"\ * "-"??_-;_-@_-</c:formatCode>
                <c:ptCount val="4"/>
                <c:pt idx="0">
                  <c:v>0</c:v>
                </c:pt>
                <c:pt idx="1">
                  <c:v>0</c:v>
                </c:pt>
                <c:pt idx="2">
                  <c:v>0</c:v>
                </c:pt>
                <c:pt idx="3">
                  <c:v>0</c:v>
                </c:pt>
              </c:numCache>
            </c:numRef>
          </c:val>
        </c:ser>
        <c:axId val="94765440"/>
        <c:axId val="94766976"/>
      </c:barChart>
      <c:catAx>
        <c:axId val="94765440"/>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766976"/>
        <c:crosses val="autoZero"/>
        <c:auto val="1"/>
        <c:lblAlgn val="ctr"/>
        <c:lblOffset val="100"/>
        <c:tickLblSkip val="1"/>
        <c:tickMarkSkip val="1"/>
      </c:catAx>
      <c:valAx>
        <c:axId val="94766976"/>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76544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9684261599775847"/>
          <c:y val="0.90882483459449537"/>
          <c:w val="0.23578971606673121"/>
          <c:h val="7.0588336667533128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00" b="1" i="0" u="none" strike="noStrike" baseline="0">
                <a:solidFill>
                  <a:srgbClr val="000000"/>
                </a:solidFill>
                <a:latin typeface="Arial"/>
                <a:ea typeface="Arial"/>
                <a:cs typeface="Arial"/>
              </a:defRPr>
            </a:pPr>
            <a:r>
              <a:rPr lang="nl-NL"/>
              <a:t>Totale baten / lasten</a:t>
            </a:r>
          </a:p>
        </c:rich>
      </c:tx>
      <c:layout>
        <c:manualLayout>
          <c:xMode val="edge"/>
          <c:yMode val="edge"/>
          <c:x val="0.33482183371146718"/>
          <c:y val="3.5294117647058851E-2"/>
        </c:manualLayout>
      </c:layout>
      <c:spPr>
        <a:noFill/>
        <a:ln w="25400">
          <a:noFill/>
        </a:ln>
      </c:spPr>
    </c:title>
    <c:plotArea>
      <c:layout>
        <c:manualLayout>
          <c:layoutTarget val="inner"/>
          <c:xMode val="edge"/>
          <c:yMode val="edge"/>
          <c:x val="0.22098238370882822"/>
          <c:y val="0.19705910653019787"/>
          <c:w val="0.74776867214603648"/>
          <c:h val="0.58823613889610327"/>
        </c:manualLayout>
      </c:layout>
      <c:barChart>
        <c:barDir val="col"/>
        <c:grouping val="clustered"/>
        <c:ser>
          <c:idx val="0"/>
          <c:order val="0"/>
          <c:tx>
            <c:v>baten</c:v>
          </c:tx>
          <c:spPr>
            <a:solidFill>
              <a:srgbClr val="CCCCFF"/>
            </a:solidFill>
            <a:ln w="12700">
              <a:solidFill>
                <a:srgbClr val="000000"/>
              </a:solidFill>
              <a:prstDash val="solid"/>
            </a:ln>
          </c:spPr>
          <c:cat>
            <c:numRef>
              <c:f>begr!$F$8:$I$8</c:f>
              <c:numCache>
                <c:formatCode>General</c:formatCode>
                <c:ptCount val="4"/>
                <c:pt idx="0">
                  <c:v>2013</c:v>
                </c:pt>
                <c:pt idx="1">
                  <c:v>2014</c:v>
                </c:pt>
                <c:pt idx="2">
                  <c:v>2015</c:v>
                </c:pt>
                <c:pt idx="3">
                  <c:v>2016</c:v>
                </c:pt>
              </c:numCache>
            </c:numRef>
          </c:cat>
          <c:val>
            <c:numRef>
              <c:f>ken!$F$15:$I$15</c:f>
              <c:numCache>
                <c:formatCode>_-"€"\ * #,##0_-;_-"€"\ * #,##0\-;_-"€"\ * "-"_-;_-@_-</c:formatCode>
                <c:ptCount val="4"/>
                <c:pt idx="0">
                  <c:v>3810248.1600000006</c:v>
                </c:pt>
                <c:pt idx="1">
                  <c:v>3810248.1600000006</c:v>
                </c:pt>
                <c:pt idx="2">
                  <c:v>3810248.1600000006</c:v>
                </c:pt>
                <c:pt idx="3">
                  <c:v>3810248.1600000006</c:v>
                </c:pt>
              </c:numCache>
            </c:numRef>
          </c:val>
        </c:ser>
        <c:ser>
          <c:idx val="1"/>
          <c:order val="1"/>
          <c:tx>
            <c:v>lasten</c:v>
          </c:tx>
          <c:spPr>
            <a:solidFill>
              <a:srgbClr val="FFCC99"/>
            </a:solidFill>
            <a:ln w="12700">
              <a:solidFill>
                <a:srgbClr val="000000"/>
              </a:solidFill>
              <a:prstDash val="solid"/>
            </a:ln>
          </c:spPr>
          <c:cat>
            <c:numRef>
              <c:f>begr!$F$8:$I$8</c:f>
              <c:numCache>
                <c:formatCode>General</c:formatCode>
                <c:ptCount val="4"/>
                <c:pt idx="0">
                  <c:v>2013</c:v>
                </c:pt>
                <c:pt idx="1">
                  <c:v>2014</c:v>
                </c:pt>
                <c:pt idx="2">
                  <c:v>2015</c:v>
                </c:pt>
                <c:pt idx="3">
                  <c:v>2016</c:v>
                </c:pt>
              </c:numCache>
            </c:numRef>
          </c:cat>
          <c:val>
            <c:numRef>
              <c:f>ken!$F$27:$I$27</c:f>
              <c:numCache>
                <c:formatCode>_-"€"\ * #,##0_-;_-"€"\ * #,##0\-;_-"€"\ * "-"_-;_-@_-</c:formatCode>
                <c:ptCount val="4"/>
                <c:pt idx="0">
                  <c:v>69062.399999999994</c:v>
                </c:pt>
                <c:pt idx="1">
                  <c:v>69062.399999999994</c:v>
                </c:pt>
                <c:pt idx="2">
                  <c:v>69062.399999999994</c:v>
                </c:pt>
                <c:pt idx="3">
                  <c:v>69062.399999999994</c:v>
                </c:pt>
              </c:numCache>
            </c:numRef>
          </c:val>
        </c:ser>
        <c:axId val="94796032"/>
        <c:axId val="94806016"/>
      </c:barChart>
      <c:catAx>
        <c:axId val="94796032"/>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806016"/>
        <c:crosses val="autoZero"/>
        <c:auto val="1"/>
        <c:lblAlgn val="ctr"/>
        <c:lblOffset val="100"/>
        <c:tickLblSkip val="1"/>
        <c:tickMarkSkip val="1"/>
      </c:catAx>
      <c:valAx>
        <c:axId val="94806016"/>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796032"/>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788140546523838"/>
          <c:y val="0.90882483459449537"/>
          <c:w val="0.23516973480714504"/>
          <c:h val="7.0588336667533128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paperSize="9" orientation="landscape" verticalDpi="0"/>
  </c:printSettings>
</c:chartSpace>
</file>

<file path=xl/charts/chart5.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225" b="1" i="0" u="none" strike="noStrike" baseline="0">
                <a:solidFill>
                  <a:srgbClr val="000000"/>
                </a:solidFill>
                <a:latin typeface="Arial"/>
                <a:ea typeface="Arial"/>
                <a:cs typeface="Arial"/>
              </a:defRPr>
            </a:pPr>
            <a:r>
              <a:rPr lang="nl-NL"/>
              <a:t>Materiële vaste activa</a:t>
            </a:r>
          </a:p>
        </c:rich>
      </c:tx>
      <c:spPr>
        <a:noFill/>
        <a:ln w="25400">
          <a:noFill/>
        </a:ln>
      </c:spPr>
    </c:title>
    <c:plotArea>
      <c:layout/>
      <c:barChart>
        <c:barDir val="col"/>
        <c:grouping val="clustered"/>
        <c:ser>
          <c:idx val="0"/>
          <c:order val="0"/>
          <c:spPr>
            <a:solidFill>
              <a:srgbClr val="CC99FF"/>
            </a:solidFill>
            <a:ln w="12700">
              <a:solidFill>
                <a:srgbClr val="000000"/>
              </a:solidFill>
              <a:prstDash val="solid"/>
            </a:ln>
          </c:spPr>
          <c:dLbls>
            <c:spPr>
              <a:noFill/>
              <a:ln w="25400">
                <a:noFill/>
              </a:ln>
            </c:spPr>
            <c:txPr>
              <a:bodyPr/>
              <a:lstStyle/>
              <a:p>
                <a:pPr>
                  <a:defRPr sz="300" b="0" i="0" u="none" strike="noStrike" baseline="0">
                    <a:solidFill>
                      <a:srgbClr val="000000"/>
                    </a:solidFill>
                    <a:latin typeface="Arial"/>
                    <a:ea typeface="Arial"/>
                    <a:cs typeface="Arial"/>
                  </a:defRPr>
                </a:pPr>
                <a:endParaRPr lang="nl-NL"/>
              </a:p>
            </c:txPr>
            <c:showVal val="1"/>
          </c:dLbls>
          <c:cat>
            <c:numRef>
              <c:f>bal!$G$8:$J$8</c:f>
              <c:numCache>
                <c:formatCode>General</c:formatCode>
                <c:ptCount val="4"/>
                <c:pt idx="0">
                  <c:v>2013</c:v>
                </c:pt>
                <c:pt idx="1">
                  <c:v>2014</c:v>
                </c:pt>
                <c:pt idx="2">
                  <c:v>2015</c:v>
                </c:pt>
                <c:pt idx="3">
                  <c:v>2016</c:v>
                </c:pt>
              </c:numCache>
            </c:numRef>
          </c:cat>
          <c:val>
            <c:numRef>
              <c:f>ken!$F$129:$I$129</c:f>
              <c:numCache>
                <c:formatCode>_-"€"\ * #,##0_-;_-"€"\ * #,##0\-;_-"€"\ * "-"_-;_-@_-</c:formatCode>
                <c:ptCount val="4"/>
                <c:pt idx="0">
                  <c:v>0</c:v>
                </c:pt>
                <c:pt idx="1">
                  <c:v>0</c:v>
                </c:pt>
                <c:pt idx="2">
                  <c:v>0</c:v>
                </c:pt>
                <c:pt idx="3">
                  <c:v>0</c:v>
                </c:pt>
              </c:numCache>
            </c:numRef>
          </c:val>
        </c:ser>
        <c:dLbls>
          <c:showVal val="1"/>
        </c:dLbls>
        <c:axId val="94908416"/>
        <c:axId val="94909952"/>
      </c:barChart>
      <c:catAx>
        <c:axId val="94908416"/>
        <c:scaling>
          <c:orientation val="minMax"/>
        </c:scaling>
        <c:axPos val="b"/>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4909952"/>
        <c:crosses val="autoZero"/>
        <c:auto val="1"/>
        <c:lblAlgn val="ctr"/>
        <c:lblOffset val="100"/>
        <c:tickLblSkip val="1"/>
        <c:tickMarkSkip val="1"/>
      </c:catAx>
      <c:valAx>
        <c:axId val="94909952"/>
        <c:scaling>
          <c:orientation val="minMax"/>
        </c:scaling>
        <c:axPos val="l"/>
        <c:numFmt formatCode="_-&quot;€&quot;\ * #,##0_-;_-&quot;€&quot;\ * #,##0\-;_-&quot;€&quot;\ * &quot;-&quot;_-;_-@_-"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490841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00" b="0" i="0" u="none" strike="noStrike" baseline="0">
          <a:solidFill>
            <a:srgbClr val="000000"/>
          </a:solidFill>
          <a:latin typeface="Arial"/>
          <a:ea typeface="Arial"/>
          <a:cs typeface="Arial"/>
        </a:defRPr>
      </a:pPr>
      <a:endParaRPr lang="nl-NL"/>
    </a:p>
  </c:txPr>
  <c:printSettings>
    <c:headerFooter alignWithMargins="0">
      <c:oddHeader>&amp;L&amp;"Arial,Vet"&amp;F&amp;R&amp;"Arial,Vet"&amp;A</c:oddHeader>
      <c:oddFooter>&amp;L&amp;"Arial,Vet"keizer / goedhart&amp;C&amp;"Arial,Vet"&amp;D&amp;R&amp;"Arial,Vet"pagina &amp;P</c:oddFooter>
    </c:headerFooter>
    <c:pageMargins b="1" l="0.75000000000000422" r="0.75000000000000422" t="1" header="0.5" footer="0.5"/>
    <c:pageSetup paperSize="9" orientation="landscape" verticalDpi="0"/>
  </c:printSettings>
</c:chartSpace>
</file>

<file path=xl/charts/chart6.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00" b="1" i="0" u="none" strike="noStrike" baseline="0">
                <a:solidFill>
                  <a:srgbClr val="000000"/>
                </a:solidFill>
                <a:latin typeface="Arial"/>
                <a:ea typeface="Arial"/>
                <a:cs typeface="Arial"/>
              </a:defRPr>
            </a:pPr>
            <a:r>
              <a:rPr lang="nl-NL"/>
              <a:t>Opbouw totale loonkosten </a:t>
            </a:r>
          </a:p>
        </c:rich>
      </c:tx>
      <c:layout>
        <c:manualLayout>
          <c:xMode val="edge"/>
          <c:yMode val="edge"/>
          <c:x val="0.28794680076755302"/>
          <c:y val="3.5294117647058851E-2"/>
        </c:manualLayout>
      </c:layout>
      <c:spPr>
        <a:noFill/>
        <a:ln w="25400">
          <a:noFill/>
        </a:ln>
      </c:spPr>
    </c:title>
    <c:plotArea>
      <c:layout>
        <c:manualLayout>
          <c:layoutTarget val="inner"/>
          <c:xMode val="edge"/>
          <c:yMode val="edge"/>
          <c:x val="0.16517875145912331"/>
          <c:y val="0.19705910653019787"/>
          <c:w val="0.80357230439573457"/>
          <c:h val="0.58823613889610327"/>
        </c:manualLayout>
      </c:layout>
      <c:barChart>
        <c:barDir val="col"/>
        <c:grouping val="percentStacked"/>
        <c:ser>
          <c:idx val="1"/>
          <c:order val="0"/>
          <c:tx>
            <c:v>OP</c:v>
          </c:tx>
          <c:spPr>
            <a:solidFill>
              <a:srgbClr val="FFCC99"/>
            </a:solidFill>
            <a:ln w="12700">
              <a:solidFill>
                <a:srgbClr val="000000"/>
              </a:solidFill>
              <a:prstDash val="solid"/>
            </a:ln>
          </c:spPr>
          <c:dLbls>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ken!$F$155:$I$155</c:f>
              <c:numCache>
                <c:formatCode>0.00</c:formatCode>
                <c:ptCount val="4"/>
                <c:pt idx="0">
                  <c:v>1</c:v>
                </c:pt>
                <c:pt idx="1">
                  <c:v>1</c:v>
                </c:pt>
                <c:pt idx="2">
                  <c:v>1</c:v>
                </c:pt>
                <c:pt idx="3">
                  <c:v>1</c:v>
                </c:pt>
              </c:numCache>
            </c:numRef>
          </c:val>
        </c:ser>
        <c:ser>
          <c:idx val="2"/>
          <c:order val="1"/>
          <c:tx>
            <c:v>OOP</c:v>
          </c:tx>
          <c:spPr>
            <a:solidFill>
              <a:srgbClr val="CCFFCC"/>
            </a:solidFill>
            <a:ln w="12700">
              <a:solidFill>
                <a:srgbClr val="000000"/>
              </a:solidFill>
              <a:prstDash val="solid"/>
            </a:ln>
          </c:spPr>
          <c:dLbls>
            <c:dLbl>
              <c:idx val="0"/>
              <c:layout>
                <c:manualLayout>
                  <c:x val="3.8712765802686182E-3"/>
                  <c:y val="-0.12222027703334717"/>
                </c:manualLayout>
              </c:layout>
              <c:dLblPos val="ctr"/>
              <c:showVal val="1"/>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ken!$F$156:$I$156</c:f>
              <c:numCache>
                <c:formatCode>0.00</c:formatCode>
                <c:ptCount val="4"/>
                <c:pt idx="0">
                  <c:v>0</c:v>
                </c:pt>
                <c:pt idx="1">
                  <c:v>0</c:v>
                </c:pt>
                <c:pt idx="2">
                  <c:v>0</c:v>
                </c:pt>
                <c:pt idx="3">
                  <c:v>0</c:v>
                </c:pt>
              </c:numCache>
            </c:numRef>
          </c:val>
        </c:ser>
        <c:ser>
          <c:idx val="0"/>
          <c:order val="2"/>
          <c:tx>
            <c:v>DIR</c:v>
          </c:tx>
          <c:spPr>
            <a:solidFill>
              <a:srgbClr val="FFFFCC"/>
            </a:solidFill>
            <a:ln w="12700">
              <a:solidFill>
                <a:srgbClr val="000000"/>
              </a:solidFill>
              <a:prstDash val="solid"/>
            </a:ln>
          </c:spPr>
          <c:dLbls>
            <c:dLbl>
              <c:idx val="0"/>
              <c:layout>
                <c:manualLayout>
                  <c:x val="3.8712765802686182E-3"/>
                  <c:y val="-6.1143276947764412E-2"/>
                </c:manualLayout>
              </c:layout>
              <c:dLblPos val="ctr"/>
              <c:showVal val="1"/>
            </c:dLbl>
            <c:numFmt formatCode="0%" sourceLinked="0"/>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begr!$F$8:$I$8</c:f>
              <c:numCache>
                <c:formatCode>General</c:formatCode>
                <c:ptCount val="4"/>
                <c:pt idx="0">
                  <c:v>2013</c:v>
                </c:pt>
                <c:pt idx="1">
                  <c:v>2014</c:v>
                </c:pt>
                <c:pt idx="2">
                  <c:v>2015</c:v>
                </c:pt>
                <c:pt idx="3">
                  <c:v>2016</c:v>
                </c:pt>
              </c:numCache>
            </c:numRef>
          </c:cat>
          <c:val>
            <c:numRef>
              <c:f>ken!$F$154:$I$154</c:f>
              <c:numCache>
                <c:formatCode>0.00</c:formatCode>
                <c:ptCount val="4"/>
                <c:pt idx="0">
                  <c:v>0</c:v>
                </c:pt>
                <c:pt idx="1">
                  <c:v>0</c:v>
                </c:pt>
                <c:pt idx="2">
                  <c:v>0</c:v>
                </c:pt>
                <c:pt idx="3">
                  <c:v>0</c:v>
                </c:pt>
              </c:numCache>
            </c:numRef>
          </c:val>
        </c:ser>
        <c:dLbls>
          <c:showVal val="1"/>
        </c:dLbls>
        <c:overlap val="100"/>
        <c:axId val="94948736"/>
        <c:axId val="94971008"/>
      </c:barChart>
      <c:catAx>
        <c:axId val="94948736"/>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971008"/>
        <c:crosses val="autoZero"/>
        <c:auto val="1"/>
        <c:lblAlgn val="ctr"/>
        <c:lblOffset val="100"/>
        <c:tickLblSkip val="1"/>
        <c:tickMarkSkip val="1"/>
      </c:catAx>
      <c:valAx>
        <c:axId val="94971008"/>
        <c:scaling>
          <c:orientation val="minMax"/>
        </c:scaling>
        <c:axPos val="l"/>
        <c:numFmt formatCode="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4948736"/>
        <c:crosses val="autoZero"/>
        <c:crossBetween val="between"/>
        <c:majorUnit val="0.2"/>
      </c:valAx>
      <c:spPr>
        <a:gradFill rotWithShape="0">
          <a:gsLst>
            <a:gs pos="0">
              <a:srgbClr val="FFFFFF"/>
            </a:gs>
            <a:gs pos="100000">
              <a:srgbClr val="C0C0C0"/>
            </a:gs>
          </a:gsLst>
          <a:lin ang="5400000" scaled="1"/>
        </a:gradFill>
        <a:ln w="12700">
          <a:solidFill>
            <a:srgbClr val="808080"/>
          </a:solidFill>
          <a:prstDash val="solid"/>
        </a:ln>
      </c:spPr>
    </c:plotArea>
    <c:legend>
      <c:legendPos val="r"/>
      <c:layout>
        <c:manualLayout>
          <c:xMode val="edge"/>
          <c:yMode val="edge"/>
          <c:x val="0.42226890756302532"/>
          <c:y val="0.90882483459449537"/>
          <c:w val="0.27731092436975102"/>
          <c:h val="7.0588336667533128E-2"/>
        </c:manualLayout>
      </c:layout>
      <c:spPr>
        <a:solidFill>
          <a:srgbClr val="FFFFFF"/>
        </a:solidFill>
        <a:ln w="3175">
          <a:solidFill>
            <a:srgbClr val="000000"/>
          </a:solidFill>
          <a:prstDash val="solid"/>
        </a:ln>
      </c:spPr>
      <c:txPr>
        <a:bodyPr/>
        <a:lstStyle/>
        <a:p>
          <a:pPr>
            <a:defRPr sz="920" b="0" i="0" u="none" strike="noStrike" baseline="0">
              <a:solidFill>
                <a:srgbClr val="000000"/>
              </a:solidFill>
              <a:latin typeface="Arial"/>
              <a:ea typeface="Arial"/>
              <a:cs typeface="Arial"/>
            </a:defRPr>
          </a:pPr>
          <a:endParaRPr lang="nl-NL"/>
        </a:p>
      </c:txPr>
    </c:legend>
    <c:plotVisOnly val="1"/>
    <c:dispBlanksAs val="gap"/>
  </c:chart>
  <c:spPr>
    <a:solidFill>
      <a:srgbClr val="FFFFFF"/>
    </a:solid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paperSize="9" orientation="landscape"/>
  </c:printSettings>
</c:chartSpace>
</file>

<file path=xl/charts/chart7.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225" b="1" i="0" u="none" strike="noStrike" baseline="0">
                <a:solidFill>
                  <a:srgbClr val="000000"/>
                </a:solidFill>
                <a:latin typeface="Arial"/>
                <a:ea typeface="Arial"/>
                <a:cs typeface="Arial"/>
              </a:defRPr>
            </a:pPr>
            <a:r>
              <a:rPr lang="nl-NL"/>
              <a:t>Vreemd Vermogen</a:t>
            </a:r>
          </a:p>
        </c:rich>
      </c:tx>
      <c:spPr>
        <a:noFill/>
        <a:ln w="25400">
          <a:noFill/>
        </a:ln>
      </c:spPr>
    </c:title>
    <c:plotArea>
      <c:layout/>
      <c:barChart>
        <c:barDir val="col"/>
        <c:grouping val="clustered"/>
        <c:ser>
          <c:idx val="0"/>
          <c:order val="0"/>
          <c:spPr>
            <a:solidFill>
              <a:srgbClr val="CC99FF"/>
            </a:solidFill>
            <a:ln w="12700">
              <a:solidFill>
                <a:srgbClr val="000000"/>
              </a:solidFill>
              <a:prstDash val="solid"/>
            </a:ln>
          </c:spPr>
          <c:dLbls>
            <c:spPr>
              <a:noFill/>
              <a:ln w="25400">
                <a:noFill/>
              </a:ln>
            </c:spPr>
            <c:txPr>
              <a:bodyPr/>
              <a:lstStyle/>
              <a:p>
                <a:pPr>
                  <a:defRPr sz="275" b="0" i="0" u="none" strike="noStrike" baseline="0">
                    <a:solidFill>
                      <a:srgbClr val="000000"/>
                    </a:solidFill>
                    <a:latin typeface="Arial"/>
                    <a:ea typeface="Arial"/>
                    <a:cs typeface="Arial"/>
                  </a:defRPr>
                </a:pPr>
                <a:endParaRPr lang="nl-NL"/>
              </a:p>
            </c:txPr>
            <c:showVal val="1"/>
          </c:dLbls>
          <c:cat>
            <c:numRef>
              <c:f>bal!$G$8:$J$8</c:f>
              <c:numCache>
                <c:formatCode>General</c:formatCode>
                <c:ptCount val="4"/>
                <c:pt idx="0">
                  <c:v>2013</c:v>
                </c:pt>
                <c:pt idx="1">
                  <c:v>2014</c:v>
                </c:pt>
                <c:pt idx="2">
                  <c:v>2015</c:v>
                </c:pt>
                <c:pt idx="3">
                  <c:v>2016</c:v>
                </c:pt>
              </c:numCache>
            </c:numRef>
          </c:cat>
          <c:val>
            <c:numLit>
              <c:formatCode>General</c:formatCode>
              <c:ptCount val="1"/>
              <c:pt idx="0">
                <c:v>0</c:v>
              </c:pt>
            </c:numLit>
          </c:val>
        </c:ser>
        <c:dLbls>
          <c:showVal val="1"/>
        </c:dLbls>
        <c:axId val="95003776"/>
        <c:axId val="95005312"/>
      </c:barChart>
      <c:catAx>
        <c:axId val="95003776"/>
        <c:scaling>
          <c:orientation val="minMax"/>
        </c:scaling>
        <c:axPos val="b"/>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005312"/>
        <c:crosses val="autoZero"/>
        <c:auto val="1"/>
        <c:lblAlgn val="ctr"/>
        <c:lblOffset val="100"/>
        <c:tickLblSkip val="1"/>
        <c:tickMarkSkip val="1"/>
      </c:catAx>
      <c:valAx>
        <c:axId val="95005312"/>
        <c:scaling>
          <c:orientation val="minMax"/>
        </c:scaling>
        <c:axPos val="l"/>
        <c:numFmt formatCode="General" sourceLinked="1"/>
        <c:tickLblPos val="nextTo"/>
        <c:spPr>
          <a:ln w="3175">
            <a:solidFill>
              <a:srgbClr val="000000"/>
            </a:solidFill>
            <a:prstDash val="solid"/>
          </a:ln>
        </c:spPr>
        <c:txPr>
          <a:bodyPr rot="0" vert="horz"/>
          <a:lstStyle/>
          <a:p>
            <a:pPr>
              <a:defRPr sz="300" b="0" i="0" u="none" strike="noStrike" baseline="0">
                <a:solidFill>
                  <a:srgbClr val="000000"/>
                </a:solidFill>
                <a:latin typeface="Arial"/>
                <a:ea typeface="Arial"/>
                <a:cs typeface="Arial"/>
              </a:defRPr>
            </a:pPr>
            <a:endParaRPr lang="nl-NL"/>
          </a:p>
        </c:txPr>
        <c:crossAx val="95003776"/>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35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25" b="1" i="0" u="none" strike="noStrike" baseline="0">
                <a:solidFill>
                  <a:srgbClr val="000000"/>
                </a:solidFill>
                <a:latin typeface="Arial"/>
                <a:ea typeface="Arial"/>
                <a:cs typeface="Arial"/>
              </a:defRPr>
            </a:pPr>
            <a:r>
              <a:rPr lang="nl-NL"/>
              <a:t>Solvabiliteit</a:t>
            </a:r>
          </a:p>
        </c:rich>
      </c:tx>
      <c:layout>
        <c:manualLayout>
          <c:xMode val="edge"/>
          <c:yMode val="edge"/>
          <c:x val="0.40178610026687978"/>
          <c:y val="3.5294117647058851E-2"/>
        </c:manualLayout>
      </c:layout>
      <c:spPr>
        <a:noFill/>
        <a:ln w="25400">
          <a:noFill/>
        </a:ln>
      </c:spPr>
    </c:title>
    <c:plotArea>
      <c:layout>
        <c:manualLayout>
          <c:layoutTarget val="inner"/>
          <c:xMode val="edge"/>
          <c:yMode val="edge"/>
          <c:x val="0.11607155507938396"/>
          <c:y val="0.19705910653019787"/>
          <c:w val="0.85267950077547972"/>
          <c:h val="0.67058919834156472"/>
        </c:manualLayout>
      </c:layout>
      <c:barChart>
        <c:barDir val="col"/>
        <c:grouping val="clustered"/>
        <c:ser>
          <c:idx val="0"/>
          <c:order val="0"/>
          <c:spPr>
            <a:solidFill>
              <a:srgbClr val="FF99CC"/>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bal!$G$8:$J$8</c:f>
              <c:numCache>
                <c:formatCode>General</c:formatCode>
                <c:ptCount val="4"/>
                <c:pt idx="0">
                  <c:v>2013</c:v>
                </c:pt>
                <c:pt idx="1">
                  <c:v>2014</c:v>
                </c:pt>
                <c:pt idx="2">
                  <c:v>2015</c:v>
                </c:pt>
                <c:pt idx="3">
                  <c:v>2016</c:v>
                </c:pt>
              </c:numCache>
            </c:numRef>
          </c:cat>
          <c:val>
            <c:numRef>
              <c:f>ken!$F$118:$I$118</c:f>
              <c:numCache>
                <c:formatCode>0.00</c:formatCode>
                <c:ptCount val="4"/>
                <c:pt idx="0">
                  <c:v>1</c:v>
                </c:pt>
                <c:pt idx="1">
                  <c:v>1</c:v>
                </c:pt>
                <c:pt idx="2">
                  <c:v>1</c:v>
                </c:pt>
                <c:pt idx="3">
                  <c:v>1</c:v>
                </c:pt>
              </c:numCache>
            </c:numRef>
          </c:val>
        </c:ser>
        <c:dLbls>
          <c:showVal val="1"/>
        </c:dLbls>
        <c:axId val="95049984"/>
        <c:axId val="95055872"/>
      </c:barChart>
      <c:catAx>
        <c:axId val="95049984"/>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055872"/>
        <c:crosses val="autoZero"/>
        <c:auto val="1"/>
        <c:lblAlgn val="ctr"/>
        <c:lblOffset val="100"/>
        <c:tickLblSkip val="1"/>
        <c:tickMarkSkip val="1"/>
      </c:catAx>
      <c:valAx>
        <c:axId val="95055872"/>
        <c:scaling>
          <c:orientation val="minMax"/>
          <c:max val="1"/>
        </c:scaling>
        <c:axPos val="l"/>
        <c:numFmt formatCode="0.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049984"/>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lang val="nl-NL"/>
  <c:chart>
    <c:title>
      <c:tx>
        <c:rich>
          <a:bodyPr/>
          <a:lstStyle/>
          <a:p>
            <a:pPr>
              <a:defRPr sz="1125" b="1" i="0" u="none" strike="noStrike" baseline="0">
                <a:solidFill>
                  <a:srgbClr val="000000"/>
                </a:solidFill>
                <a:latin typeface="Arial"/>
                <a:ea typeface="Arial"/>
                <a:cs typeface="Arial"/>
              </a:defRPr>
            </a:pPr>
            <a:r>
              <a:rPr lang="nl-NL"/>
              <a:t>Liquiditeit</a:t>
            </a:r>
          </a:p>
        </c:rich>
      </c:tx>
      <c:layout>
        <c:manualLayout>
          <c:xMode val="edge"/>
          <c:yMode val="edge"/>
          <c:x val="0.41741110386679381"/>
          <c:y val="3.5398230088495596E-2"/>
        </c:manualLayout>
      </c:layout>
      <c:spPr>
        <a:noFill/>
        <a:ln w="25400">
          <a:noFill/>
        </a:ln>
      </c:spPr>
    </c:title>
    <c:plotArea>
      <c:layout>
        <c:manualLayout>
          <c:layoutTarget val="inner"/>
          <c:xMode val="edge"/>
          <c:yMode val="edge"/>
          <c:x val="0.10044653804946685"/>
          <c:y val="0.19764068734065987"/>
          <c:w val="0.86830451780539164"/>
          <c:h val="0.6696184481541857"/>
        </c:manualLayout>
      </c:layout>
      <c:barChart>
        <c:barDir val="col"/>
        <c:grouping val="clustered"/>
        <c:ser>
          <c:idx val="0"/>
          <c:order val="0"/>
          <c:spPr>
            <a:solidFill>
              <a:srgbClr val="FF99CC"/>
            </a:solidFill>
            <a:ln w="12700">
              <a:solidFill>
                <a:srgbClr val="000000"/>
              </a:solidFill>
              <a:prstDash val="solid"/>
            </a:ln>
          </c:spPr>
          <c:dLbls>
            <c:spPr>
              <a:noFill/>
              <a:ln w="25400">
                <a:noFill/>
              </a:ln>
            </c:spPr>
            <c:txPr>
              <a:bodyPr/>
              <a:lstStyle/>
              <a:p>
                <a:pPr>
                  <a:defRPr sz="1000" b="0" i="0" u="none" strike="noStrike" baseline="0">
                    <a:solidFill>
                      <a:srgbClr val="000000"/>
                    </a:solidFill>
                    <a:latin typeface="Arial"/>
                    <a:ea typeface="Arial"/>
                    <a:cs typeface="Arial"/>
                  </a:defRPr>
                </a:pPr>
                <a:endParaRPr lang="nl-NL"/>
              </a:p>
            </c:txPr>
            <c:showVal val="1"/>
          </c:dLbls>
          <c:cat>
            <c:numRef>
              <c:f>bal!$G$8:$J$8</c:f>
              <c:numCache>
                <c:formatCode>General</c:formatCode>
                <c:ptCount val="4"/>
                <c:pt idx="0">
                  <c:v>2013</c:v>
                </c:pt>
                <c:pt idx="1">
                  <c:v>2014</c:v>
                </c:pt>
                <c:pt idx="2">
                  <c:v>2015</c:v>
                </c:pt>
                <c:pt idx="3">
                  <c:v>2016</c:v>
                </c:pt>
              </c:numCache>
            </c:numRef>
          </c:cat>
          <c:val>
            <c:numRef>
              <c:f>ken!$F$122:$I$122</c:f>
              <c:numCache>
                <c:formatCode>0.0</c:formatCode>
                <c:ptCount val="4"/>
                <c:pt idx="0">
                  <c:v>0</c:v>
                </c:pt>
                <c:pt idx="1">
                  <c:v>0</c:v>
                </c:pt>
                <c:pt idx="2">
                  <c:v>0</c:v>
                </c:pt>
                <c:pt idx="3">
                  <c:v>0</c:v>
                </c:pt>
              </c:numCache>
            </c:numRef>
          </c:val>
        </c:ser>
        <c:dLbls>
          <c:showVal val="1"/>
        </c:dLbls>
        <c:axId val="95067520"/>
        <c:axId val="95081600"/>
      </c:barChart>
      <c:catAx>
        <c:axId val="95067520"/>
        <c:scaling>
          <c:orientation val="minMax"/>
        </c:scaling>
        <c:axPos val="b"/>
        <c:numFmt formatCode="General"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081600"/>
        <c:crosses val="autoZero"/>
        <c:auto val="1"/>
        <c:lblAlgn val="ctr"/>
        <c:lblOffset val="100"/>
        <c:tickLblSkip val="1"/>
        <c:tickMarkSkip val="1"/>
      </c:catAx>
      <c:valAx>
        <c:axId val="95081600"/>
        <c:scaling>
          <c:orientation val="minMax"/>
        </c:scaling>
        <c:axPos val="l"/>
        <c:numFmt formatCode="0.0" sourceLinked="1"/>
        <c:tickLblPos val="nextTo"/>
        <c:spPr>
          <a:ln w="3175">
            <a:solidFill>
              <a:srgbClr val="000000"/>
            </a:solidFill>
            <a:prstDash val="solid"/>
          </a:ln>
        </c:spPr>
        <c:txPr>
          <a:bodyPr rot="0" vert="horz"/>
          <a:lstStyle/>
          <a:p>
            <a:pPr>
              <a:defRPr sz="1000" b="0" i="0" u="none" strike="noStrike" baseline="0">
                <a:solidFill>
                  <a:srgbClr val="000000"/>
                </a:solidFill>
                <a:latin typeface="Arial"/>
                <a:ea typeface="Arial"/>
                <a:cs typeface="Arial"/>
              </a:defRPr>
            </a:pPr>
            <a:endParaRPr lang="nl-NL"/>
          </a:p>
        </c:txPr>
        <c:crossAx val="95067520"/>
        <c:crosses val="autoZero"/>
        <c:crossBetween val="between"/>
      </c:valAx>
      <c:spPr>
        <a:gradFill rotWithShape="0">
          <a:gsLst>
            <a:gs pos="0">
              <a:srgbClr val="FFFFFF"/>
            </a:gs>
            <a:gs pos="100000">
              <a:srgbClr val="C0C0C0"/>
            </a:gs>
          </a:gsLst>
          <a:lin ang="5400000" scaled="1"/>
        </a:gradFill>
        <a:ln w="12700">
          <a:solidFill>
            <a:srgbClr val="808080"/>
          </a:solidFill>
          <a:prstDash val="solid"/>
        </a:ln>
      </c:spPr>
    </c:plotArea>
    <c:plotVisOnly val="1"/>
    <c:dispBlanksAs val="gap"/>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nl-NL"/>
    </a:p>
  </c:txPr>
  <c:printSettings>
    <c:headerFooter alignWithMargins="0"/>
    <c:pageMargins b="1" l="0.75000000000000422" r="0.75000000000000422" t="1" header="0.5" footer="0.5"/>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3.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6.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image" Target="../media/image3.png"/><Relationship Id="rId3" Type="http://schemas.openxmlformats.org/officeDocument/2006/relationships/chart" Target="../charts/chart3.xml"/><Relationship Id="rId21" Type="http://schemas.openxmlformats.org/officeDocument/2006/relationships/chart" Target="../charts/chart21.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6.xml"/><Relationship Id="rId10" Type="http://schemas.openxmlformats.org/officeDocument/2006/relationships/chart" Target="../charts/chart10.xml"/><Relationship Id="rId19" Type="http://schemas.openxmlformats.org/officeDocument/2006/relationships/chart" Target="../charts/chart19.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image" Target="../media/image1.jpeg"/></Relationships>
</file>

<file path=xl/drawings/_rels/drawing1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1" Type="http://schemas.openxmlformats.org/officeDocument/2006/relationships/image" Target="../media/image1.jpeg"/></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20</xdr:col>
      <xdr:colOff>436475</xdr:colOff>
      <xdr:row>2</xdr:row>
      <xdr:rowOff>123265</xdr:rowOff>
    </xdr:from>
    <xdr:to>
      <xdr:col>22</xdr:col>
      <xdr:colOff>112064</xdr:colOff>
      <xdr:row>4</xdr:row>
      <xdr:rowOff>151840</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11575122" y="437030"/>
          <a:ext cx="1401295" cy="420781"/>
        </a:xfrm>
        <a:prstGeom prst="rect">
          <a:avLst/>
        </a:prstGeom>
        <a:noFill/>
        <a:ln w="9525">
          <a:noFill/>
          <a:miter lim="800000"/>
          <a:headEnd/>
          <a:tailEnd/>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8</xdr:col>
      <xdr:colOff>788895</xdr:colOff>
      <xdr:row>2</xdr:row>
      <xdr:rowOff>75080</xdr:rowOff>
    </xdr:from>
    <xdr:to>
      <xdr:col>11</xdr:col>
      <xdr:colOff>16248</xdr:colOff>
      <xdr:row>4</xdr:row>
      <xdr:rowOff>114861</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7602071" y="388845"/>
          <a:ext cx="1401295" cy="420781"/>
        </a:xfrm>
        <a:prstGeom prst="rect">
          <a:avLst/>
        </a:prstGeom>
        <a:noFill/>
        <a:ln w="9525">
          <a:noFill/>
          <a:miter lim="800000"/>
          <a:headEnd/>
          <a:tailEnd/>
        </a:ln>
      </xdr:spPr>
    </xdr:pic>
    <xdr:clientData/>
  </xdr:twoCellAnchor>
</xdr:wsDr>
</file>

<file path=xl/drawings/drawing11.xml><?xml version="1.0" encoding="utf-8"?>
<xdr:wsDr xmlns:xdr="http://schemas.openxmlformats.org/drawingml/2006/spreadsheetDrawing" xmlns:a="http://schemas.openxmlformats.org/drawingml/2006/main">
  <xdr:twoCellAnchor>
    <xdr:from>
      <xdr:col>19</xdr:col>
      <xdr:colOff>360271</xdr:colOff>
      <xdr:row>3</xdr:row>
      <xdr:rowOff>33056</xdr:rowOff>
    </xdr:from>
    <xdr:to>
      <xdr:col>22</xdr:col>
      <xdr:colOff>137835</xdr:colOff>
      <xdr:row>4</xdr:row>
      <xdr:rowOff>218513</xdr:rowOff>
    </xdr:to>
    <xdr:pic>
      <xdr:nvPicPr>
        <xdr:cNvPr id="4" name="Picture 9"/>
        <xdr:cNvPicPr>
          <a:picLocks noChangeAspect="1" noChangeArrowheads="1"/>
        </xdr:cNvPicPr>
      </xdr:nvPicPr>
      <xdr:blipFill>
        <a:blip xmlns:r="http://schemas.openxmlformats.org/officeDocument/2006/relationships" r:embed="rId1"/>
        <a:srcRect/>
        <a:stretch>
          <a:fillRect/>
        </a:stretch>
      </xdr:blipFill>
      <xdr:spPr bwMode="auto">
        <a:xfrm>
          <a:off x="15114496" y="518831"/>
          <a:ext cx="1387289" cy="423582"/>
        </a:xfrm>
        <a:prstGeom prst="rect">
          <a:avLst/>
        </a:prstGeom>
        <a:noFill/>
        <a:ln w="9525">
          <a:noFill/>
          <a:miter lim="800000"/>
          <a:headEnd/>
          <a:tailEnd/>
        </a:ln>
      </xdr:spPr>
    </xdr:pic>
    <xdr:clientData/>
  </xdr:twoCellAnchor>
</xdr:wsDr>
</file>

<file path=xl/drawings/drawing12.xml><?xml version="1.0" encoding="utf-8"?>
<xdr:wsDr xmlns:xdr="http://schemas.openxmlformats.org/drawingml/2006/spreadsheetDrawing" xmlns:a="http://schemas.openxmlformats.org/drawingml/2006/main">
  <xdr:twoCellAnchor>
    <xdr:from>
      <xdr:col>7</xdr:col>
      <xdr:colOff>1044389</xdr:colOff>
      <xdr:row>2</xdr:row>
      <xdr:rowOff>70036</xdr:rowOff>
    </xdr:from>
    <xdr:to>
      <xdr:col>10</xdr:col>
      <xdr:colOff>15128</xdr:colOff>
      <xdr:row>4</xdr:row>
      <xdr:rowOff>109817</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7117977" y="383801"/>
          <a:ext cx="1391210" cy="420781"/>
        </a:xfrm>
        <a:prstGeom prst="rect">
          <a:avLst/>
        </a:prstGeom>
        <a:noFill/>
        <a:ln w="9525">
          <a:noFill/>
          <a:miter lim="800000"/>
          <a:headEnd/>
          <a:tailEnd/>
        </a:ln>
      </xdr:spPr>
    </xdr:pic>
    <xdr:clientData/>
  </xdr:twoCellAnchor>
</xdr:wsDr>
</file>

<file path=xl/drawings/drawing13.xml><?xml version="1.0" encoding="utf-8"?>
<xdr:wsDr xmlns:xdr="http://schemas.openxmlformats.org/drawingml/2006/spreadsheetDrawing" xmlns:a="http://schemas.openxmlformats.org/drawingml/2006/main">
  <xdr:twoCellAnchor>
    <xdr:from>
      <xdr:col>8</xdr:col>
      <xdr:colOff>1000125</xdr:colOff>
      <xdr:row>59</xdr:row>
      <xdr:rowOff>0</xdr:rowOff>
    </xdr:from>
    <xdr:to>
      <xdr:col>11</xdr:col>
      <xdr:colOff>152400</xdr:colOff>
      <xdr:row>59</xdr:row>
      <xdr:rowOff>0</xdr:rowOff>
    </xdr:to>
    <xdr:pic>
      <xdr:nvPicPr>
        <xdr:cNvPr id="45097" name="Picture 3" descr="vosabblogo"/>
        <xdr:cNvPicPr>
          <a:picLocks noChangeAspect="1" noChangeArrowheads="1"/>
        </xdr:cNvPicPr>
      </xdr:nvPicPr>
      <xdr:blipFill>
        <a:blip xmlns:r="http://schemas.openxmlformats.org/officeDocument/2006/relationships" r:embed="rId1"/>
        <a:srcRect/>
        <a:stretch>
          <a:fillRect/>
        </a:stretch>
      </xdr:blipFill>
      <xdr:spPr bwMode="auto">
        <a:xfrm>
          <a:off x="7915275" y="9734550"/>
          <a:ext cx="1323975" cy="0"/>
        </a:xfrm>
        <a:prstGeom prst="rect">
          <a:avLst/>
        </a:prstGeom>
        <a:noFill/>
        <a:ln w="9525">
          <a:noFill/>
          <a:miter lim="800000"/>
          <a:headEnd/>
          <a:tailEnd/>
        </a:ln>
      </xdr:spPr>
    </xdr:pic>
    <xdr:clientData/>
  </xdr:twoCellAnchor>
  <xdr:twoCellAnchor>
    <xdr:from>
      <xdr:col>8</xdr:col>
      <xdr:colOff>754154</xdr:colOff>
      <xdr:row>2</xdr:row>
      <xdr:rowOff>65554</xdr:rowOff>
    </xdr:from>
    <xdr:to>
      <xdr:col>10</xdr:col>
      <xdr:colOff>168087</xdr:colOff>
      <xdr:row>4</xdr:row>
      <xdr:rowOff>94129</xdr:rowOff>
    </xdr:to>
    <xdr:pic>
      <xdr:nvPicPr>
        <xdr:cNvPr id="45098" name="Picture 9"/>
        <xdr:cNvPicPr>
          <a:picLocks noChangeAspect="1" noChangeArrowheads="1"/>
        </xdr:cNvPicPr>
      </xdr:nvPicPr>
      <xdr:blipFill>
        <a:blip xmlns:r="http://schemas.openxmlformats.org/officeDocument/2006/relationships" r:embed="rId2"/>
        <a:srcRect/>
        <a:stretch>
          <a:fillRect/>
        </a:stretch>
      </xdr:blipFill>
      <xdr:spPr bwMode="auto">
        <a:xfrm>
          <a:off x="7544919" y="379319"/>
          <a:ext cx="1386168" cy="420781"/>
        </a:xfrm>
        <a:prstGeom prst="rect">
          <a:avLst/>
        </a:prstGeom>
        <a:noFill/>
        <a:ln w="9525">
          <a:noFill/>
          <a:miter lim="800000"/>
          <a:headEnd/>
          <a:tailEnd/>
        </a:ln>
      </xdr:spPr>
    </xdr:pic>
    <xdr:clientData/>
  </xdr:twoCellAnchor>
</xdr:wsDr>
</file>

<file path=xl/drawings/drawing14.xml><?xml version="1.0" encoding="utf-8"?>
<xdr:wsDr xmlns:xdr="http://schemas.openxmlformats.org/drawingml/2006/spreadsheetDrawing" xmlns:a="http://schemas.openxmlformats.org/drawingml/2006/main">
  <xdr:twoCellAnchor>
    <xdr:from>
      <xdr:col>7</xdr:col>
      <xdr:colOff>1074644</xdr:colOff>
      <xdr:row>2</xdr:row>
      <xdr:rowOff>65554</xdr:rowOff>
    </xdr:from>
    <xdr:to>
      <xdr:col>10</xdr:col>
      <xdr:colOff>38099</xdr:colOff>
      <xdr:row>4</xdr:row>
      <xdr:rowOff>94129</xdr:rowOff>
    </xdr:to>
    <xdr:pic>
      <xdr:nvPicPr>
        <xdr:cNvPr id="46101" name="Picture 9"/>
        <xdr:cNvPicPr>
          <a:picLocks noChangeAspect="1" noChangeArrowheads="1"/>
        </xdr:cNvPicPr>
      </xdr:nvPicPr>
      <xdr:blipFill>
        <a:blip xmlns:r="http://schemas.openxmlformats.org/officeDocument/2006/relationships" r:embed="rId1"/>
        <a:srcRect/>
        <a:stretch>
          <a:fillRect/>
        </a:stretch>
      </xdr:blipFill>
      <xdr:spPr bwMode="auto">
        <a:xfrm>
          <a:off x="7148232" y="379319"/>
          <a:ext cx="1383926" cy="420781"/>
        </a:xfrm>
        <a:prstGeom prst="rect">
          <a:avLst/>
        </a:prstGeom>
        <a:noFill/>
        <a:ln w="9525">
          <a:noFill/>
          <a:miter lim="800000"/>
          <a:headEnd/>
          <a:tailEnd/>
        </a:ln>
      </xdr:spPr>
    </xdr:pic>
    <xdr:clientData/>
  </xdr:twoCellAnchor>
</xdr:wsDr>
</file>

<file path=xl/drawings/drawing15.xml><?xml version="1.0" encoding="utf-8"?>
<xdr:wsDr xmlns:xdr="http://schemas.openxmlformats.org/drawingml/2006/spreadsheetDrawing" xmlns:a="http://schemas.openxmlformats.org/drawingml/2006/main">
  <xdr:twoCellAnchor>
    <xdr:from>
      <xdr:col>7</xdr:col>
      <xdr:colOff>774888</xdr:colOff>
      <xdr:row>2</xdr:row>
      <xdr:rowOff>67236</xdr:rowOff>
    </xdr:from>
    <xdr:to>
      <xdr:col>10</xdr:col>
      <xdr:colOff>2</xdr:colOff>
      <xdr:row>4</xdr:row>
      <xdr:rowOff>95811</xdr:rowOff>
    </xdr:to>
    <xdr:pic>
      <xdr:nvPicPr>
        <xdr:cNvPr id="26652" name="Picture 9"/>
        <xdr:cNvPicPr>
          <a:picLocks noChangeAspect="1" noChangeArrowheads="1"/>
        </xdr:cNvPicPr>
      </xdr:nvPicPr>
      <xdr:blipFill>
        <a:blip xmlns:r="http://schemas.openxmlformats.org/officeDocument/2006/relationships" r:embed="rId1"/>
        <a:srcRect/>
        <a:stretch>
          <a:fillRect/>
        </a:stretch>
      </xdr:blipFill>
      <xdr:spPr bwMode="auto">
        <a:xfrm>
          <a:off x="6579535" y="381001"/>
          <a:ext cx="1376643" cy="420781"/>
        </a:xfrm>
        <a:prstGeom prst="rect">
          <a:avLst/>
        </a:prstGeom>
        <a:noFill/>
        <a:ln w="9525">
          <a:noFill/>
          <a:miter lim="800000"/>
          <a:headEnd/>
          <a:tailEnd/>
        </a:ln>
      </xdr:spPr>
    </xdr:pic>
    <xdr:clientData/>
  </xdr:twoCellAnchor>
</xdr:wsDr>
</file>

<file path=xl/drawings/drawing16.xml><?xml version="1.0" encoding="utf-8"?>
<xdr:wsDr xmlns:xdr="http://schemas.openxmlformats.org/drawingml/2006/spreadsheetDrawing" xmlns:a="http://schemas.openxmlformats.org/drawingml/2006/main">
  <xdr:twoCellAnchor>
    <xdr:from>
      <xdr:col>10</xdr:col>
      <xdr:colOff>0</xdr:colOff>
      <xdr:row>119</xdr:row>
      <xdr:rowOff>0</xdr:rowOff>
    </xdr:from>
    <xdr:to>
      <xdr:col>17</xdr:col>
      <xdr:colOff>9525</xdr:colOff>
      <xdr:row>119</xdr:row>
      <xdr:rowOff>0</xdr:rowOff>
    </xdr:to>
    <xdr:graphicFrame macro="">
      <xdr:nvGraphicFramePr>
        <xdr:cNvPr id="47685"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0</xdr:colOff>
      <xdr:row>29</xdr:row>
      <xdr:rowOff>9525</xdr:rowOff>
    </xdr:from>
    <xdr:to>
      <xdr:col>16</xdr:col>
      <xdr:colOff>561975</xdr:colOff>
      <xdr:row>49</xdr:row>
      <xdr:rowOff>19050</xdr:rowOff>
    </xdr:to>
    <xdr:graphicFrame macro="">
      <xdr:nvGraphicFramePr>
        <xdr:cNvPr id="47686"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9525</xdr:colOff>
      <xdr:row>29</xdr:row>
      <xdr:rowOff>9525</xdr:rowOff>
    </xdr:from>
    <xdr:to>
      <xdr:col>9</xdr:col>
      <xdr:colOff>0</xdr:colOff>
      <xdr:row>49</xdr:row>
      <xdr:rowOff>9525</xdr:rowOff>
    </xdr:to>
    <xdr:graphicFrame macro="">
      <xdr:nvGraphicFramePr>
        <xdr:cNvPr id="47687"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1</xdr:col>
      <xdr:colOff>152400</xdr:colOff>
      <xdr:row>6</xdr:row>
      <xdr:rowOff>133350</xdr:rowOff>
    </xdr:from>
    <xdr:to>
      <xdr:col>8</xdr:col>
      <xdr:colOff>581025</xdr:colOff>
      <xdr:row>26</xdr:row>
      <xdr:rowOff>133350</xdr:rowOff>
    </xdr:to>
    <xdr:graphicFrame macro="">
      <xdr:nvGraphicFramePr>
        <xdr:cNvPr id="47688"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47689"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10</xdr:col>
      <xdr:colOff>0</xdr:colOff>
      <xdr:row>7</xdr:row>
      <xdr:rowOff>0</xdr:rowOff>
    </xdr:from>
    <xdr:to>
      <xdr:col>17</xdr:col>
      <xdr:colOff>0</xdr:colOff>
      <xdr:row>27</xdr:row>
      <xdr:rowOff>0</xdr:rowOff>
    </xdr:to>
    <xdr:graphicFrame macro="">
      <xdr:nvGraphicFramePr>
        <xdr:cNvPr id="47690"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10</xdr:col>
      <xdr:colOff>0</xdr:colOff>
      <xdr:row>119</xdr:row>
      <xdr:rowOff>0</xdr:rowOff>
    </xdr:from>
    <xdr:to>
      <xdr:col>16</xdr:col>
      <xdr:colOff>600075</xdr:colOff>
      <xdr:row>119</xdr:row>
      <xdr:rowOff>0</xdr:rowOff>
    </xdr:to>
    <xdr:graphicFrame macro="">
      <xdr:nvGraphicFramePr>
        <xdr:cNvPr id="47691"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119</xdr:row>
      <xdr:rowOff>0</xdr:rowOff>
    </xdr:from>
    <xdr:to>
      <xdr:col>9</xdr:col>
      <xdr:colOff>0</xdr:colOff>
      <xdr:row>139</xdr:row>
      <xdr:rowOff>0</xdr:rowOff>
    </xdr:to>
    <xdr:graphicFrame macro="">
      <xdr:nvGraphicFramePr>
        <xdr:cNvPr id="47692"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10</xdr:col>
      <xdr:colOff>0</xdr:colOff>
      <xdr:row>119</xdr:row>
      <xdr:rowOff>0</xdr:rowOff>
    </xdr:from>
    <xdr:to>
      <xdr:col>16</xdr:col>
      <xdr:colOff>600075</xdr:colOff>
      <xdr:row>138</xdr:row>
      <xdr:rowOff>152400</xdr:rowOff>
    </xdr:to>
    <xdr:graphicFrame macro="">
      <xdr:nvGraphicFramePr>
        <xdr:cNvPr id="47693"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2</xdr:col>
      <xdr:colOff>0</xdr:colOff>
      <xdr:row>141</xdr:row>
      <xdr:rowOff>0</xdr:rowOff>
    </xdr:from>
    <xdr:to>
      <xdr:col>8</xdr:col>
      <xdr:colOff>590550</xdr:colOff>
      <xdr:row>161</xdr:row>
      <xdr:rowOff>9525</xdr:rowOff>
    </xdr:to>
    <xdr:graphicFrame macro="">
      <xdr:nvGraphicFramePr>
        <xdr:cNvPr id="47694"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10</xdr:col>
      <xdr:colOff>0</xdr:colOff>
      <xdr:row>141</xdr:row>
      <xdr:rowOff>0</xdr:rowOff>
    </xdr:from>
    <xdr:to>
      <xdr:col>16</xdr:col>
      <xdr:colOff>600075</xdr:colOff>
      <xdr:row>160</xdr:row>
      <xdr:rowOff>142875</xdr:rowOff>
    </xdr:to>
    <xdr:graphicFrame macro="">
      <xdr:nvGraphicFramePr>
        <xdr:cNvPr id="47695"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2</xdr:col>
      <xdr:colOff>0</xdr:colOff>
      <xdr:row>95</xdr:row>
      <xdr:rowOff>0</xdr:rowOff>
    </xdr:from>
    <xdr:to>
      <xdr:col>9</xdr:col>
      <xdr:colOff>0</xdr:colOff>
      <xdr:row>95</xdr:row>
      <xdr:rowOff>0</xdr:rowOff>
    </xdr:to>
    <xdr:graphicFrame macro="">
      <xdr:nvGraphicFramePr>
        <xdr:cNvPr id="47696"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47697"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xdr:col>
      <xdr:colOff>171450</xdr:colOff>
      <xdr:row>119</xdr:row>
      <xdr:rowOff>0</xdr:rowOff>
    </xdr:from>
    <xdr:to>
      <xdr:col>8</xdr:col>
      <xdr:colOff>600075</xdr:colOff>
      <xdr:row>119</xdr:row>
      <xdr:rowOff>0</xdr:rowOff>
    </xdr:to>
    <xdr:graphicFrame macro="">
      <xdr:nvGraphicFramePr>
        <xdr:cNvPr id="47698"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47699"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xdr:col>
      <xdr:colOff>171450</xdr:colOff>
      <xdr:row>119</xdr:row>
      <xdr:rowOff>0</xdr:rowOff>
    </xdr:from>
    <xdr:to>
      <xdr:col>9</xdr:col>
      <xdr:colOff>0</xdr:colOff>
      <xdr:row>119</xdr:row>
      <xdr:rowOff>0</xdr:rowOff>
    </xdr:to>
    <xdr:graphicFrame macro="">
      <xdr:nvGraphicFramePr>
        <xdr:cNvPr id="47700"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9525</xdr:colOff>
      <xdr:row>119</xdr:row>
      <xdr:rowOff>0</xdr:rowOff>
    </xdr:from>
    <xdr:to>
      <xdr:col>17</xdr:col>
      <xdr:colOff>9525</xdr:colOff>
      <xdr:row>119</xdr:row>
      <xdr:rowOff>0</xdr:rowOff>
    </xdr:to>
    <xdr:graphicFrame macro="">
      <xdr:nvGraphicFramePr>
        <xdr:cNvPr id="47701" name="Chart 1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10</xdr:col>
      <xdr:colOff>9525</xdr:colOff>
      <xdr:row>97</xdr:row>
      <xdr:rowOff>9525</xdr:rowOff>
    </xdr:from>
    <xdr:to>
      <xdr:col>17</xdr:col>
      <xdr:colOff>9525</xdr:colOff>
      <xdr:row>116</xdr:row>
      <xdr:rowOff>152400</xdr:rowOff>
    </xdr:to>
    <xdr:graphicFrame macro="">
      <xdr:nvGraphicFramePr>
        <xdr:cNvPr id="47702" name="Chart 2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10</xdr:col>
      <xdr:colOff>0</xdr:colOff>
      <xdr:row>51</xdr:row>
      <xdr:rowOff>9525</xdr:rowOff>
    </xdr:from>
    <xdr:to>
      <xdr:col>17</xdr:col>
      <xdr:colOff>0</xdr:colOff>
      <xdr:row>71</xdr:row>
      <xdr:rowOff>9525</xdr:rowOff>
    </xdr:to>
    <xdr:graphicFrame macro="">
      <xdr:nvGraphicFramePr>
        <xdr:cNvPr id="47703" name="Chart 2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xdr:col>
      <xdr:colOff>171450</xdr:colOff>
      <xdr:row>51</xdr:row>
      <xdr:rowOff>0</xdr:rowOff>
    </xdr:from>
    <xdr:to>
      <xdr:col>8</xdr:col>
      <xdr:colOff>600075</xdr:colOff>
      <xdr:row>71</xdr:row>
      <xdr:rowOff>9525</xdr:rowOff>
    </xdr:to>
    <xdr:graphicFrame macro="">
      <xdr:nvGraphicFramePr>
        <xdr:cNvPr id="47704" name="Chart 2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10</xdr:col>
      <xdr:colOff>9525</xdr:colOff>
      <xdr:row>95</xdr:row>
      <xdr:rowOff>0</xdr:rowOff>
    </xdr:from>
    <xdr:to>
      <xdr:col>17</xdr:col>
      <xdr:colOff>9525</xdr:colOff>
      <xdr:row>95</xdr:row>
      <xdr:rowOff>0</xdr:rowOff>
    </xdr:to>
    <xdr:graphicFrame macro="">
      <xdr:nvGraphicFramePr>
        <xdr:cNvPr id="47705" name="Chart 2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xdr:col>
      <xdr:colOff>152400</xdr:colOff>
      <xdr:row>119</xdr:row>
      <xdr:rowOff>0</xdr:rowOff>
    </xdr:from>
    <xdr:to>
      <xdr:col>8</xdr:col>
      <xdr:colOff>581025</xdr:colOff>
      <xdr:row>119</xdr:row>
      <xdr:rowOff>0</xdr:rowOff>
    </xdr:to>
    <xdr:graphicFrame macro="">
      <xdr:nvGraphicFramePr>
        <xdr:cNvPr id="47706" name="Chart 2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2</xdr:col>
      <xdr:colOff>9525</xdr:colOff>
      <xdr:row>72</xdr:row>
      <xdr:rowOff>133350</xdr:rowOff>
    </xdr:from>
    <xdr:to>
      <xdr:col>9</xdr:col>
      <xdr:colOff>9525</xdr:colOff>
      <xdr:row>92</xdr:row>
      <xdr:rowOff>114300</xdr:rowOff>
    </xdr:to>
    <xdr:graphicFrame macro="">
      <xdr:nvGraphicFramePr>
        <xdr:cNvPr id="47707" name="Chart 2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10</xdr:col>
      <xdr:colOff>0</xdr:colOff>
      <xdr:row>72</xdr:row>
      <xdr:rowOff>123825</xdr:rowOff>
    </xdr:from>
    <xdr:to>
      <xdr:col>16</xdr:col>
      <xdr:colOff>571500</xdr:colOff>
      <xdr:row>92</xdr:row>
      <xdr:rowOff>85725</xdr:rowOff>
    </xdr:to>
    <xdr:graphicFrame macro="">
      <xdr:nvGraphicFramePr>
        <xdr:cNvPr id="47708" name="Chart 2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2</xdr:col>
      <xdr:colOff>19050</xdr:colOff>
      <xdr:row>97</xdr:row>
      <xdr:rowOff>19050</xdr:rowOff>
    </xdr:from>
    <xdr:to>
      <xdr:col>9</xdr:col>
      <xdr:colOff>9525</xdr:colOff>
      <xdr:row>116</xdr:row>
      <xdr:rowOff>152400</xdr:rowOff>
    </xdr:to>
    <xdr:graphicFrame macro="">
      <xdr:nvGraphicFramePr>
        <xdr:cNvPr id="47709" name="Chart 2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14</xdr:col>
      <xdr:colOff>485775</xdr:colOff>
      <xdr:row>72</xdr:row>
      <xdr:rowOff>0</xdr:rowOff>
    </xdr:from>
    <xdr:to>
      <xdr:col>17</xdr:col>
      <xdr:colOff>161925</xdr:colOff>
      <xdr:row>72</xdr:row>
      <xdr:rowOff>0</xdr:rowOff>
    </xdr:to>
    <xdr:pic>
      <xdr:nvPicPr>
        <xdr:cNvPr id="47710" name="Picture 29" descr="vosabblogo"/>
        <xdr:cNvPicPr>
          <a:picLocks noChangeAspect="1" noChangeArrowheads="1"/>
        </xdr:cNvPicPr>
      </xdr:nvPicPr>
      <xdr:blipFill>
        <a:blip xmlns:r="http://schemas.openxmlformats.org/officeDocument/2006/relationships" r:embed="rId26"/>
        <a:srcRect/>
        <a:stretch>
          <a:fillRect/>
        </a:stretch>
      </xdr:blipFill>
      <xdr:spPr bwMode="auto">
        <a:xfrm>
          <a:off x="8220075" y="11972925"/>
          <a:ext cx="1619250" cy="0"/>
        </a:xfrm>
        <a:prstGeom prst="rect">
          <a:avLst/>
        </a:prstGeom>
        <a:noFill/>
        <a:ln w="9525">
          <a:noFill/>
          <a:miter lim="800000"/>
          <a:headEnd/>
          <a:tailEnd/>
        </a:ln>
      </xdr:spPr>
    </xdr:pic>
    <xdr:clientData/>
  </xdr:twoCellAnchor>
  <xdr:twoCellAnchor>
    <xdr:from>
      <xdr:col>14</xdr:col>
      <xdr:colOff>485775</xdr:colOff>
      <xdr:row>119</xdr:row>
      <xdr:rowOff>0</xdr:rowOff>
    </xdr:from>
    <xdr:to>
      <xdr:col>17</xdr:col>
      <xdr:colOff>161925</xdr:colOff>
      <xdr:row>119</xdr:row>
      <xdr:rowOff>0</xdr:rowOff>
    </xdr:to>
    <xdr:pic>
      <xdr:nvPicPr>
        <xdr:cNvPr id="47711" name="Picture 31" descr="vosabblogo"/>
        <xdr:cNvPicPr>
          <a:picLocks noChangeAspect="1" noChangeArrowheads="1"/>
        </xdr:cNvPicPr>
      </xdr:nvPicPr>
      <xdr:blipFill>
        <a:blip xmlns:r="http://schemas.openxmlformats.org/officeDocument/2006/relationships" r:embed="rId26"/>
        <a:srcRect/>
        <a:stretch>
          <a:fillRect/>
        </a:stretch>
      </xdr:blipFill>
      <xdr:spPr bwMode="auto">
        <a:xfrm>
          <a:off x="8220075" y="19773900"/>
          <a:ext cx="1619250" cy="0"/>
        </a:xfrm>
        <a:prstGeom prst="rect">
          <a:avLst/>
        </a:prstGeom>
        <a:noFill/>
        <a:ln w="9525">
          <a:noFill/>
          <a:miter lim="800000"/>
          <a:headEnd/>
          <a:tailEnd/>
        </a:ln>
      </xdr:spPr>
    </xdr:pic>
    <xdr:clientData/>
  </xdr:twoCellAnchor>
  <xdr:twoCellAnchor>
    <xdr:from>
      <xdr:col>14</xdr:col>
      <xdr:colOff>533400</xdr:colOff>
      <xdr:row>2</xdr:row>
      <xdr:rowOff>76200</xdr:rowOff>
    </xdr:from>
    <xdr:to>
      <xdr:col>16</xdr:col>
      <xdr:colOff>628650</xdr:colOff>
      <xdr:row>4</xdr:row>
      <xdr:rowOff>104775</xdr:rowOff>
    </xdr:to>
    <xdr:pic>
      <xdr:nvPicPr>
        <xdr:cNvPr id="47712" name="Picture 9"/>
        <xdr:cNvPicPr>
          <a:picLocks noChangeAspect="1" noChangeArrowheads="1"/>
        </xdr:cNvPicPr>
      </xdr:nvPicPr>
      <xdr:blipFill>
        <a:blip xmlns:r="http://schemas.openxmlformats.org/officeDocument/2006/relationships" r:embed="rId27"/>
        <a:srcRect/>
        <a:stretch>
          <a:fillRect/>
        </a:stretch>
      </xdr:blipFill>
      <xdr:spPr bwMode="auto">
        <a:xfrm>
          <a:off x="8267700" y="400050"/>
          <a:ext cx="1390650" cy="428625"/>
        </a:xfrm>
        <a:prstGeom prst="rect">
          <a:avLst/>
        </a:prstGeom>
        <a:noFill/>
        <a:ln w="9525">
          <a:noFill/>
          <a:miter lim="800000"/>
          <a:headEnd/>
          <a:tailEnd/>
        </a:ln>
      </xdr:spPr>
    </xdr:pic>
    <xdr:clientData/>
  </xdr:twoCellAnchor>
  <xdr:twoCellAnchor>
    <xdr:from>
      <xdr:col>2</xdr:col>
      <xdr:colOff>0</xdr:colOff>
      <xdr:row>163</xdr:row>
      <xdr:rowOff>0</xdr:rowOff>
    </xdr:from>
    <xdr:to>
      <xdr:col>8</xdr:col>
      <xdr:colOff>600075</xdr:colOff>
      <xdr:row>182</xdr:row>
      <xdr:rowOff>142875</xdr:rowOff>
    </xdr:to>
    <xdr:graphicFrame macro="">
      <xdr:nvGraphicFramePr>
        <xdr:cNvPr id="477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wsDr>
</file>

<file path=xl/drawings/drawing17.xml><?xml version="1.0" encoding="utf-8"?>
<xdr:wsDr xmlns:xdr="http://schemas.openxmlformats.org/drawingml/2006/spreadsheetDrawing" xmlns:a="http://schemas.openxmlformats.org/drawingml/2006/main">
  <xdr:twoCellAnchor>
    <xdr:from>
      <xdr:col>7</xdr:col>
      <xdr:colOff>1009089</xdr:colOff>
      <xdr:row>2</xdr:row>
      <xdr:rowOff>75079</xdr:rowOff>
    </xdr:from>
    <xdr:to>
      <xdr:col>9</xdr:col>
      <xdr:colOff>161363</xdr:colOff>
      <xdr:row>4</xdr:row>
      <xdr:rowOff>103654</xdr:rowOff>
    </xdr:to>
    <xdr:pic>
      <xdr:nvPicPr>
        <xdr:cNvPr id="28698" name="Picture 9"/>
        <xdr:cNvPicPr>
          <a:picLocks noChangeAspect="1" noChangeArrowheads="1"/>
        </xdr:cNvPicPr>
      </xdr:nvPicPr>
      <xdr:blipFill>
        <a:blip xmlns:r="http://schemas.openxmlformats.org/officeDocument/2006/relationships" r:embed="rId1"/>
        <a:srcRect/>
        <a:stretch>
          <a:fillRect/>
        </a:stretch>
      </xdr:blipFill>
      <xdr:spPr bwMode="auto">
        <a:xfrm>
          <a:off x="7082677" y="388844"/>
          <a:ext cx="1393451" cy="420781"/>
        </a:xfrm>
        <a:prstGeom prst="rect">
          <a:avLst/>
        </a:prstGeom>
        <a:noFill/>
        <a:ln w="9525">
          <a:noFill/>
          <a:miter lim="800000"/>
          <a:headEnd/>
          <a:tailEnd/>
        </a:ln>
      </xdr:spPr>
    </xdr:pic>
    <xdr:clientData/>
  </xdr:twoCellAnchor>
</xdr:wsDr>
</file>

<file path=xl/drawings/drawing18.xml><?xml version="1.0" encoding="utf-8"?>
<xdr:wsDr xmlns:xdr="http://schemas.openxmlformats.org/drawingml/2006/spreadsheetDrawing" xmlns:a="http://schemas.openxmlformats.org/drawingml/2006/main">
  <xdr:twoCellAnchor>
    <xdr:from>
      <xdr:col>7</xdr:col>
      <xdr:colOff>705978</xdr:colOff>
      <xdr:row>2</xdr:row>
      <xdr:rowOff>134470</xdr:rowOff>
    </xdr:from>
    <xdr:to>
      <xdr:col>9</xdr:col>
      <xdr:colOff>135038</xdr:colOff>
      <xdr:row>4</xdr:row>
      <xdr:rowOff>163045</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4796125" y="448235"/>
          <a:ext cx="1401295" cy="420781"/>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18</xdr:col>
      <xdr:colOff>360266</xdr:colOff>
      <xdr:row>2</xdr:row>
      <xdr:rowOff>75081</xdr:rowOff>
    </xdr:from>
    <xdr:to>
      <xdr:col>20</xdr:col>
      <xdr:colOff>177610</xdr:colOff>
      <xdr:row>4</xdr:row>
      <xdr:rowOff>103656</xdr:rowOff>
    </xdr:to>
    <xdr:pic>
      <xdr:nvPicPr>
        <xdr:cNvPr id="6177" name="Picture 9"/>
        <xdr:cNvPicPr>
          <a:picLocks noChangeAspect="1" noChangeArrowheads="1"/>
        </xdr:cNvPicPr>
      </xdr:nvPicPr>
      <xdr:blipFill>
        <a:blip xmlns:r="http://schemas.openxmlformats.org/officeDocument/2006/relationships" r:embed="rId1"/>
        <a:srcRect/>
        <a:stretch>
          <a:fillRect/>
        </a:stretch>
      </xdr:blipFill>
      <xdr:spPr bwMode="auto">
        <a:xfrm>
          <a:off x="12384178" y="388846"/>
          <a:ext cx="1386167" cy="420781"/>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499778</xdr:colOff>
      <xdr:row>2</xdr:row>
      <xdr:rowOff>131108</xdr:rowOff>
    </xdr:from>
    <xdr:to>
      <xdr:col>13</xdr:col>
      <xdr:colOff>156878</xdr:colOff>
      <xdr:row>4</xdr:row>
      <xdr:rowOff>159683</xdr:rowOff>
    </xdr:to>
    <xdr:pic>
      <xdr:nvPicPr>
        <xdr:cNvPr id="3157" name="Picture 9"/>
        <xdr:cNvPicPr>
          <a:picLocks noChangeAspect="1" noChangeArrowheads="1"/>
        </xdr:cNvPicPr>
      </xdr:nvPicPr>
      <xdr:blipFill>
        <a:blip xmlns:r="http://schemas.openxmlformats.org/officeDocument/2006/relationships" r:embed="rId1"/>
        <a:srcRect/>
        <a:stretch>
          <a:fillRect/>
        </a:stretch>
      </xdr:blipFill>
      <xdr:spPr bwMode="auto">
        <a:xfrm>
          <a:off x="7324160" y="444873"/>
          <a:ext cx="1382806" cy="420781"/>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19</xdr:col>
      <xdr:colOff>346505</xdr:colOff>
      <xdr:row>2</xdr:row>
      <xdr:rowOff>135589</xdr:rowOff>
    </xdr:from>
    <xdr:to>
      <xdr:col>22</xdr:col>
      <xdr:colOff>178976</xdr:colOff>
      <xdr:row>4</xdr:row>
      <xdr:rowOff>164164</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12443255" y="462160"/>
          <a:ext cx="1397292" cy="436790"/>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19</xdr:col>
      <xdr:colOff>331695</xdr:colOff>
      <xdr:row>2</xdr:row>
      <xdr:rowOff>63874</xdr:rowOff>
    </xdr:from>
    <xdr:to>
      <xdr:col>22</xdr:col>
      <xdr:colOff>164166</xdr:colOff>
      <xdr:row>4</xdr:row>
      <xdr:rowOff>92449</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12400430" y="377639"/>
          <a:ext cx="1401295" cy="420781"/>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19</xdr:col>
      <xdr:colOff>375397</xdr:colOff>
      <xdr:row>2</xdr:row>
      <xdr:rowOff>70037</xdr:rowOff>
    </xdr:from>
    <xdr:to>
      <xdr:col>23</xdr:col>
      <xdr:colOff>6162</xdr:colOff>
      <xdr:row>4</xdr:row>
      <xdr:rowOff>98612</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12444132" y="383802"/>
          <a:ext cx="1401295" cy="420781"/>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12</xdr:col>
      <xdr:colOff>1076325</xdr:colOff>
      <xdr:row>144</xdr:row>
      <xdr:rowOff>0</xdr:rowOff>
    </xdr:from>
    <xdr:to>
      <xdr:col>15</xdr:col>
      <xdr:colOff>152400</xdr:colOff>
      <xdr:row>144</xdr:row>
      <xdr:rowOff>9525</xdr:rowOff>
    </xdr:to>
    <xdr:pic>
      <xdr:nvPicPr>
        <xdr:cNvPr id="4194" name="Picture 24" descr="vosabblogo"/>
        <xdr:cNvPicPr>
          <a:picLocks noChangeAspect="1" noChangeArrowheads="1"/>
        </xdr:cNvPicPr>
      </xdr:nvPicPr>
      <xdr:blipFill>
        <a:blip xmlns:r="http://schemas.openxmlformats.org/officeDocument/2006/relationships" r:embed="rId1"/>
        <a:srcRect/>
        <a:stretch>
          <a:fillRect/>
        </a:stretch>
      </xdr:blipFill>
      <xdr:spPr bwMode="auto">
        <a:xfrm>
          <a:off x="7753350" y="18602325"/>
          <a:ext cx="1190625" cy="9525"/>
        </a:xfrm>
        <a:prstGeom prst="rect">
          <a:avLst/>
        </a:prstGeom>
        <a:noFill/>
        <a:ln w="9525">
          <a:noFill/>
          <a:miter lim="800000"/>
          <a:headEnd/>
          <a:tailEnd/>
        </a:ln>
      </xdr:spPr>
    </xdr:pic>
    <xdr:clientData/>
  </xdr:twoCellAnchor>
  <xdr:twoCellAnchor>
    <xdr:from>
      <xdr:col>12</xdr:col>
      <xdr:colOff>477371</xdr:colOff>
      <xdr:row>2</xdr:row>
      <xdr:rowOff>119902</xdr:rowOff>
    </xdr:from>
    <xdr:to>
      <xdr:col>14</xdr:col>
      <xdr:colOff>134471</xdr:colOff>
      <xdr:row>4</xdr:row>
      <xdr:rowOff>148477</xdr:rowOff>
    </xdr:to>
    <xdr:pic>
      <xdr:nvPicPr>
        <xdr:cNvPr id="4195" name="Picture 9"/>
        <xdr:cNvPicPr>
          <a:picLocks noChangeAspect="1" noChangeArrowheads="1"/>
        </xdr:cNvPicPr>
      </xdr:nvPicPr>
      <xdr:blipFill>
        <a:blip xmlns:r="http://schemas.openxmlformats.org/officeDocument/2006/relationships" r:embed="rId2"/>
        <a:srcRect/>
        <a:stretch>
          <a:fillRect/>
        </a:stretch>
      </xdr:blipFill>
      <xdr:spPr bwMode="auto">
        <a:xfrm>
          <a:off x="7380195" y="433667"/>
          <a:ext cx="1382805" cy="420781"/>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13</xdr:col>
      <xdr:colOff>482414</xdr:colOff>
      <xdr:row>2</xdr:row>
      <xdr:rowOff>65553</xdr:rowOff>
    </xdr:from>
    <xdr:to>
      <xdr:col>15</xdr:col>
      <xdr:colOff>152960</xdr:colOff>
      <xdr:row>4</xdr:row>
      <xdr:rowOff>103653</xdr:rowOff>
    </xdr:to>
    <xdr:pic>
      <xdr:nvPicPr>
        <xdr:cNvPr id="44053" name="Picture 9"/>
        <xdr:cNvPicPr>
          <a:picLocks noChangeAspect="1" noChangeArrowheads="1"/>
        </xdr:cNvPicPr>
      </xdr:nvPicPr>
      <xdr:blipFill>
        <a:blip xmlns:r="http://schemas.openxmlformats.org/officeDocument/2006/relationships" r:embed="rId1"/>
        <a:srcRect/>
        <a:stretch>
          <a:fillRect/>
        </a:stretch>
      </xdr:blipFill>
      <xdr:spPr bwMode="auto">
        <a:xfrm>
          <a:off x="11206443" y="379318"/>
          <a:ext cx="1396252" cy="419100"/>
        </a:xfrm>
        <a:prstGeom prst="rect">
          <a:avLst/>
        </a:prstGeom>
        <a:noFill/>
        <a:ln w="9525">
          <a:noFill/>
          <a:miter lim="800000"/>
          <a:headEnd/>
          <a:tailEnd/>
        </a:ln>
      </xdr:spPr>
    </xdr:pic>
    <xdr:clientData/>
  </xdr:twoCellAnchor>
</xdr:wsDr>
</file>

<file path=xl/drawings/drawing9.xml><?xml version="1.0" encoding="utf-8"?>
<xdr:wsDr xmlns:xdr="http://schemas.openxmlformats.org/drawingml/2006/spreadsheetDrawing" xmlns:a="http://schemas.openxmlformats.org/drawingml/2006/main">
  <xdr:twoCellAnchor>
    <xdr:from>
      <xdr:col>21</xdr:col>
      <xdr:colOff>414057</xdr:colOff>
      <xdr:row>2</xdr:row>
      <xdr:rowOff>14007</xdr:rowOff>
    </xdr:from>
    <xdr:to>
      <xdr:col>24</xdr:col>
      <xdr:colOff>324970</xdr:colOff>
      <xdr:row>4</xdr:row>
      <xdr:rowOff>53788</xdr:rowOff>
    </xdr:to>
    <xdr:pic>
      <xdr:nvPicPr>
        <xdr:cNvPr id="3" name="Picture 9"/>
        <xdr:cNvPicPr>
          <a:picLocks noChangeAspect="1" noChangeArrowheads="1"/>
        </xdr:cNvPicPr>
      </xdr:nvPicPr>
      <xdr:blipFill>
        <a:blip xmlns:r="http://schemas.openxmlformats.org/officeDocument/2006/relationships" r:embed="rId1"/>
        <a:srcRect/>
        <a:stretch>
          <a:fillRect/>
        </a:stretch>
      </xdr:blipFill>
      <xdr:spPr bwMode="auto">
        <a:xfrm>
          <a:off x="14062822" y="327772"/>
          <a:ext cx="1401295" cy="420781"/>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CEPT%20MJB%20SWV%20Passend%20Onderwijs%20PO%202013%20vs%203mei2012%20rg.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toel"/>
      <sheetName val="geg LO"/>
      <sheetName val="geg ZO"/>
      <sheetName val="LGF school 13-14"/>
      <sheetName val="peild SBO"/>
      <sheetName val="peild SO"/>
      <sheetName val="overdr SO"/>
      <sheetName val="pers"/>
      <sheetName val="sal LO"/>
      <sheetName val="sal ZO"/>
      <sheetName val="mat"/>
      <sheetName val="activit"/>
      <sheetName val="mip"/>
      <sheetName val="act"/>
      <sheetName val="begr"/>
      <sheetName val="bal"/>
      <sheetName val="liq"/>
      <sheetName val="tab"/>
      <sheetName val="bas LO"/>
      <sheetName val="bas ZO"/>
      <sheetName val="hlpbl"/>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ow r="89">
          <cell r="A89" t="str">
            <v>categorie 1</v>
          </cell>
          <cell r="C89">
            <v>0</v>
          </cell>
          <cell r="D89">
            <v>7898.29</v>
          </cell>
        </row>
        <row r="90">
          <cell r="A90" t="str">
            <v>categorie 2</v>
          </cell>
          <cell r="C90">
            <v>0</v>
          </cell>
          <cell r="D90">
            <v>12210.55</v>
          </cell>
        </row>
        <row r="91">
          <cell r="A91" t="str">
            <v>categorie 3</v>
          </cell>
          <cell r="C91">
            <v>0</v>
          </cell>
          <cell r="D91">
            <v>18621.07</v>
          </cell>
        </row>
        <row r="93">
          <cell r="A93" t="str">
            <v>categorie 1</v>
          </cell>
          <cell r="C93">
            <v>0</v>
          </cell>
          <cell r="D93">
            <v>7307.65</v>
          </cell>
        </row>
        <row r="94">
          <cell r="A94" t="str">
            <v>categorie 2</v>
          </cell>
          <cell r="C94">
            <v>0</v>
          </cell>
          <cell r="D94">
            <v>13379.88</v>
          </cell>
        </row>
        <row r="95">
          <cell r="A95" t="str">
            <v>categorie 3</v>
          </cell>
          <cell r="C95">
            <v>0</v>
          </cell>
          <cell r="D95">
            <v>19698.349999999999</v>
          </cell>
        </row>
      </sheetData>
      <sheetData sheetId="18"/>
      <sheetData sheetId="19"/>
      <sheetData sheetId="20"/>
    </sheetDataSet>
  </externalBook>
</externalLink>
</file>

<file path=xl/theme/theme1.xml><?xml version="1.0" encoding="utf-8"?>
<a:theme xmlns:a="http://schemas.openxmlformats.org/drawingml/2006/main" name="Office-thema">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to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to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r.goedhart@poraad.nl" TargetMode="Externa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9.xml"/><Relationship Id="rId1" Type="http://schemas.openxmlformats.org/officeDocument/2006/relationships/printerSettings" Target="../printerSettings/printerSettings10.bin"/><Relationship Id="rId4" Type="http://schemas.openxmlformats.org/officeDocument/2006/relationships/comments" Target="../comments8.xml"/></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10.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1.xml"/><Relationship Id="rId1" Type="http://schemas.openxmlformats.org/officeDocument/2006/relationships/printerSettings" Target="../printerSettings/printerSettings12.bin"/><Relationship Id="rId4" Type="http://schemas.openxmlformats.org/officeDocument/2006/relationships/comments" Target="../comments10.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5.xml"/><Relationship Id="rId1" Type="http://schemas.openxmlformats.org/officeDocument/2006/relationships/printerSettings" Target="../printerSettings/printerSettings16.bin"/><Relationship Id="rId4" Type="http://schemas.openxmlformats.org/officeDocument/2006/relationships/comments" Target="../comments11.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7.xml"/><Relationship Id="rId1" Type="http://schemas.openxmlformats.org/officeDocument/2006/relationships/printerSettings" Target="../printerSettings/printerSettings18.bin"/><Relationship Id="rId4" Type="http://schemas.openxmlformats.org/officeDocument/2006/relationships/comments" Target="../comments12.xml"/></Relationships>
</file>

<file path=xl/worksheets/_rels/sheet19.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8.xml"/><Relationship Id="rId1" Type="http://schemas.openxmlformats.org/officeDocument/2006/relationships/printerSettings" Target="../printerSettings/printerSettings20.bin"/><Relationship Id="rId4" Type="http://schemas.openxmlformats.org/officeDocument/2006/relationships/comments" Target="../comments14.xml"/></Relationships>
</file>

<file path=xl/worksheets/_rels/sheet21.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5.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5.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7.bin"/><Relationship Id="rId4" Type="http://schemas.openxmlformats.org/officeDocument/2006/relationships/comments" Target="../comments6.xml"/></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C3:E131"/>
  <sheetViews>
    <sheetView zoomScale="85" zoomScaleNormal="85" workbookViewId="0">
      <selection activeCell="C12" sqref="C12"/>
    </sheetView>
  </sheetViews>
  <sheetFormatPr defaultRowHeight="15"/>
  <cols>
    <col min="1" max="1" width="3.7109375" style="1117" customWidth="1"/>
    <col min="2" max="2" width="2.7109375" style="1117" customWidth="1"/>
    <col min="3" max="3" width="119.140625" style="1119" customWidth="1"/>
    <col min="4" max="4" width="3" style="1117" customWidth="1"/>
    <col min="5" max="16384" width="9.140625" style="1117"/>
  </cols>
  <sheetData>
    <row r="3" spans="3:5" s="1114" customFormat="1">
      <c r="C3" s="1113" t="s">
        <v>863</v>
      </c>
      <c r="E3" s="1115"/>
    </row>
    <row r="4" spans="3:5">
      <c r="C4" s="1116"/>
      <c r="E4" s="1118"/>
    </row>
    <row r="5" spans="3:5">
      <c r="E5" s="1120"/>
    </row>
    <row r="6" spans="3:5">
      <c r="C6" s="1121" t="s">
        <v>655</v>
      </c>
    </row>
    <row r="7" spans="3:5">
      <c r="C7" s="1121"/>
    </row>
    <row r="8" spans="3:5">
      <c r="C8" s="1119" t="s">
        <v>571</v>
      </c>
    </row>
    <row r="9" spans="3:5">
      <c r="C9" s="1119" t="s">
        <v>656</v>
      </c>
    </row>
    <row r="10" spans="3:5" ht="15.75" customHeight="1"/>
    <row r="11" spans="3:5" ht="15.75" customHeight="1">
      <c r="C11" s="1119" t="s">
        <v>864</v>
      </c>
    </row>
    <row r="12" spans="3:5" ht="15" customHeight="1">
      <c r="C12" s="1119" t="s">
        <v>867</v>
      </c>
    </row>
    <row r="13" spans="3:5" ht="13.5" customHeight="1"/>
    <row r="14" spans="3:5" ht="30">
      <c r="C14" s="1119" t="s">
        <v>657</v>
      </c>
    </row>
    <row r="15" spans="3:5" ht="51" customHeight="1">
      <c r="C15" s="1119" t="s">
        <v>764</v>
      </c>
    </row>
    <row r="16" spans="3:5" ht="36.75" customHeight="1">
      <c r="C16" s="1121" t="s">
        <v>716</v>
      </c>
    </row>
    <row r="17" spans="3:3">
      <c r="C17" s="1119" t="s">
        <v>658</v>
      </c>
    </row>
    <row r="18" spans="3:3">
      <c r="C18" s="1119" t="s">
        <v>659</v>
      </c>
    </row>
    <row r="19" spans="3:3" ht="58.5" customHeight="1">
      <c r="C19" s="1119" t="s">
        <v>711</v>
      </c>
    </row>
    <row r="20" spans="3:3" ht="24" customHeight="1">
      <c r="C20" s="1119" t="s">
        <v>660</v>
      </c>
    </row>
    <row r="21" spans="3:3" ht="48" customHeight="1">
      <c r="C21" s="1119" t="s">
        <v>511</v>
      </c>
    </row>
    <row r="22" spans="3:3" ht="51" customHeight="1">
      <c r="C22" s="1119" t="s">
        <v>54</v>
      </c>
    </row>
    <row r="23" spans="3:3" ht="49.5" customHeight="1">
      <c r="C23" s="1119" t="s">
        <v>661</v>
      </c>
    </row>
    <row r="25" spans="3:3" ht="44.25" customHeight="1">
      <c r="C25" s="1119" t="s">
        <v>572</v>
      </c>
    </row>
    <row r="26" spans="3:3" ht="48.75" customHeight="1">
      <c r="C26" s="1119" t="s">
        <v>712</v>
      </c>
    </row>
    <row r="27" spans="3:3" ht="48.75" customHeight="1">
      <c r="C27" s="1119" t="s">
        <v>40</v>
      </c>
    </row>
    <row r="28" spans="3:3" ht="27" customHeight="1">
      <c r="C28" s="1121" t="s">
        <v>717</v>
      </c>
    </row>
    <row r="29" spans="3:3" ht="78" customHeight="1">
      <c r="C29" s="1119" t="s">
        <v>41</v>
      </c>
    </row>
    <row r="30" spans="3:3" ht="34.5" customHeight="1">
      <c r="C30" s="1119" t="s">
        <v>42</v>
      </c>
    </row>
    <row r="32" spans="3:3" ht="60">
      <c r="C32" s="1119" t="s">
        <v>43</v>
      </c>
    </row>
    <row r="33" spans="3:3" ht="30" customHeight="1">
      <c r="C33" s="1121" t="s">
        <v>718</v>
      </c>
    </row>
    <row r="34" spans="3:3" ht="57.75" customHeight="1">
      <c r="C34" s="1119" t="s">
        <v>550</v>
      </c>
    </row>
    <row r="36" spans="3:3" ht="36" customHeight="1">
      <c r="C36" s="1119" t="s">
        <v>44</v>
      </c>
    </row>
    <row r="38" spans="3:3" ht="57" customHeight="1">
      <c r="C38" s="1119" t="s">
        <v>672</v>
      </c>
    </row>
    <row r="39" spans="3:3" ht="66" customHeight="1">
      <c r="C39" s="1119" t="s">
        <v>713</v>
      </c>
    </row>
    <row r="40" spans="3:3" ht="36.75" customHeight="1">
      <c r="C40" s="1119" t="s">
        <v>675</v>
      </c>
    </row>
    <row r="42" spans="3:3">
      <c r="C42" s="1122" t="s">
        <v>551</v>
      </c>
    </row>
    <row r="43" spans="3:3" ht="20.25" customHeight="1">
      <c r="C43" s="1119" t="s">
        <v>45</v>
      </c>
    </row>
    <row r="44" spans="3:3" ht="34.5" customHeight="1">
      <c r="C44" s="1119" t="s">
        <v>676</v>
      </c>
    </row>
    <row r="46" spans="3:3">
      <c r="C46" s="1122" t="s">
        <v>677</v>
      </c>
    </row>
    <row r="47" spans="3:3" ht="36.75" customHeight="1">
      <c r="C47" s="1119" t="s">
        <v>512</v>
      </c>
    </row>
    <row r="48" spans="3:3" ht="36.75" customHeight="1">
      <c r="C48" s="1119" t="s">
        <v>552</v>
      </c>
    </row>
    <row r="49" spans="3:3" ht="50.25" customHeight="1">
      <c r="C49" s="1119" t="s">
        <v>46</v>
      </c>
    </row>
    <row r="50" spans="3:3">
      <c r="C50" s="1123"/>
    </row>
    <row r="51" spans="3:3">
      <c r="C51" s="1121" t="s">
        <v>719</v>
      </c>
    </row>
    <row r="52" spans="3:3" ht="65.25" customHeight="1">
      <c r="C52" s="1119" t="s">
        <v>678</v>
      </c>
    </row>
    <row r="53" spans="3:3" ht="50.25" customHeight="1">
      <c r="C53" s="1119" t="s">
        <v>553</v>
      </c>
    </row>
    <row r="54" spans="3:3" ht="54.75" customHeight="1">
      <c r="C54" s="1119" t="s">
        <v>29</v>
      </c>
    </row>
    <row r="55" spans="3:3" ht="18.75" customHeight="1">
      <c r="C55" s="1119" t="s">
        <v>47</v>
      </c>
    </row>
    <row r="56" spans="3:3" ht="57.75" customHeight="1">
      <c r="C56" s="1119" t="s">
        <v>48</v>
      </c>
    </row>
    <row r="58" spans="3:3">
      <c r="C58" s="1121" t="s">
        <v>720</v>
      </c>
    </row>
    <row r="59" spans="3:3">
      <c r="C59" s="1119" t="s">
        <v>30</v>
      </c>
    </row>
    <row r="60" spans="3:3" ht="42.75" customHeight="1">
      <c r="C60" s="1119" t="s">
        <v>32</v>
      </c>
    </row>
    <row r="61" spans="3:3">
      <c r="C61" s="1119" t="s">
        <v>714</v>
      </c>
    </row>
    <row r="62" spans="3:3" ht="46.5" customHeight="1">
      <c r="C62" s="1119" t="s">
        <v>535</v>
      </c>
    </row>
    <row r="64" spans="3:3">
      <c r="C64" s="1121" t="s">
        <v>721</v>
      </c>
    </row>
    <row r="65" spans="3:3" ht="18.75" customHeight="1">
      <c r="C65" s="1119" t="s">
        <v>669</v>
      </c>
    </row>
    <row r="67" spans="3:3">
      <c r="C67" s="1121" t="s">
        <v>722</v>
      </c>
    </row>
    <row r="68" spans="3:3" ht="66" customHeight="1">
      <c r="C68" s="1119" t="s">
        <v>53</v>
      </c>
    </row>
    <row r="69" spans="3:3" ht="30">
      <c r="C69" s="1119" t="s">
        <v>80</v>
      </c>
    </row>
    <row r="70" spans="3:3" ht="33" customHeight="1">
      <c r="C70" s="1119" t="s">
        <v>49</v>
      </c>
    </row>
    <row r="71" spans="3:3" ht="54.75" customHeight="1">
      <c r="C71" s="1119" t="s">
        <v>81</v>
      </c>
    </row>
    <row r="72" spans="3:3" ht="61.5" customHeight="1">
      <c r="C72" s="1119" t="s">
        <v>50</v>
      </c>
    </row>
    <row r="73" spans="3:3" ht="9.75" customHeight="1"/>
    <row r="74" spans="3:3" ht="22.5" customHeight="1">
      <c r="C74" s="1121" t="s">
        <v>723</v>
      </c>
    </row>
    <row r="75" spans="3:3" ht="30">
      <c r="C75" s="1119" t="s">
        <v>86</v>
      </c>
    </row>
    <row r="76" spans="3:3" ht="18.75" customHeight="1"/>
    <row r="77" spans="3:3">
      <c r="C77" s="1121" t="s">
        <v>724</v>
      </c>
    </row>
    <row r="78" spans="3:3" ht="45">
      <c r="C78" s="1119" t="s">
        <v>91</v>
      </c>
    </row>
    <row r="79" spans="3:3" ht="26.25" customHeight="1">
      <c r="C79" s="1119" t="s">
        <v>92</v>
      </c>
    </row>
    <row r="80" spans="3:3">
      <c r="C80" s="1124" t="s">
        <v>357</v>
      </c>
    </row>
    <row r="81" spans="3:3">
      <c r="C81" s="1124" t="s">
        <v>358</v>
      </c>
    </row>
    <row r="82" spans="3:3">
      <c r="C82" s="1124" t="s">
        <v>360</v>
      </c>
    </row>
    <row r="83" spans="3:3">
      <c r="C83" s="1124" t="s">
        <v>93</v>
      </c>
    </row>
    <row r="84" spans="3:3">
      <c r="C84" s="1119" t="s">
        <v>670</v>
      </c>
    </row>
    <row r="85" spans="3:3" ht="30">
      <c r="C85" s="1119" t="s">
        <v>671</v>
      </c>
    </row>
    <row r="86" spans="3:3" ht="16.5" customHeight="1"/>
    <row r="87" spans="3:3" ht="15" customHeight="1">
      <c r="C87" s="1121" t="s">
        <v>715</v>
      </c>
    </row>
    <row r="88" spans="3:3" ht="45">
      <c r="C88" s="1119" t="s">
        <v>0</v>
      </c>
    </row>
    <row r="89" spans="3:3">
      <c r="C89" s="1125"/>
    </row>
    <row r="90" spans="3:3">
      <c r="C90" s="1126" t="s">
        <v>851</v>
      </c>
    </row>
    <row r="91" spans="3:3">
      <c r="C91" s="1127"/>
    </row>
    <row r="92" spans="3:3">
      <c r="C92" s="1127" t="s">
        <v>848</v>
      </c>
    </row>
    <row r="93" spans="3:3">
      <c r="C93" s="1127" t="s">
        <v>849</v>
      </c>
    </row>
    <row r="94" spans="3:3">
      <c r="C94" s="1127" t="s">
        <v>850</v>
      </c>
    </row>
    <row r="95" spans="3:3">
      <c r="C95" s="1125"/>
    </row>
    <row r="96" spans="3:3" ht="24" customHeight="1">
      <c r="C96" s="1128" t="s">
        <v>725</v>
      </c>
    </row>
    <row r="97" spans="3:5" ht="30.75" customHeight="1">
      <c r="C97" s="1119" t="s">
        <v>536</v>
      </c>
    </row>
    <row r="98" spans="3:5" ht="7.5" customHeight="1"/>
    <row r="99" spans="3:5" ht="17.25" customHeight="1">
      <c r="C99" s="1119" t="s">
        <v>726</v>
      </c>
    </row>
    <row r="100" spans="3:5" ht="7.5" customHeight="1"/>
    <row r="101" spans="3:5">
      <c r="C101" s="1119" t="s">
        <v>517</v>
      </c>
    </row>
    <row r="103" spans="3:5">
      <c r="C103" s="1121" t="s">
        <v>727</v>
      </c>
    </row>
    <row r="104" spans="3:5" ht="45" customHeight="1">
      <c r="C104" s="1119" t="s">
        <v>94</v>
      </c>
    </row>
    <row r="105" spans="3:5" ht="39" customHeight="1">
      <c r="C105" s="1121" t="s">
        <v>728</v>
      </c>
    </row>
    <row r="106" spans="3:5" ht="35.25" customHeight="1">
      <c r="C106" s="1119" t="s">
        <v>51</v>
      </c>
      <c r="E106" s="1123"/>
    </row>
    <row r="107" spans="3:5" ht="9" customHeight="1"/>
    <row r="108" spans="3:5" ht="13.5" customHeight="1"/>
    <row r="109" spans="3:5">
      <c r="C109" s="1121" t="s">
        <v>729</v>
      </c>
    </row>
    <row r="110" spans="3:5" ht="30">
      <c r="C110" s="1119" t="s">
        <v>95</v>
      </c>
    </row>
    <row r="111" spans="3:5" ht="33.75" customHeight="1">
      <c r="C111" s="1119" t="s">
        <v>730</v>
      </c>
    </row>
    <row r="112" spans="3:5" ht="37.5" customHeight="1">
      <c r="C112" s="1119" t="s">
        <v>96</v>
      </c>
    </row>
    <row r="113" spans="3:3" ht="33" customHeight="1">
      <c r="C113" s="1119" t="s">
        <v>52</v>
      </c>
    </row>
    <row r="115" spans="3:3">
      <c r="C115" s="1121" t="s">
        <v>731</v>
      </c>
    </row>
    <row r="116" spans="3:3" ht="30">
      <c r="C116" s="1119" t="s">
        <v>82</v>
      </c>
    </row>
    <row r="117" spans="3:3" ht="17.25" customHeight="1"/>
    <row r="118" spans="3:3">
      <c r="C118" s="1121" t="s">
        <v>732</v>
      </c>
    </row>
    <row r="119" spans="3:3" ht="45">
      <c r="C119" s="1119" t="s">
        <v>83</v>
      </c>
    </row>
    <row r="120" spans="3:3" ht="36.75" customHeight="1">
      <c r="C120" s="1119" t="s">
        <v>733</v>
      </c>
    </row>
    <row r="121" spans="3:3" ht="15" customHeight="1"/>
    <row r="122" spans="3:3">
      <c r="C122" s="1121" t="s">
        <v>734</v>
      </c>
    </row>
    <row r="123" spans="3:3" ht="45">
      <c r="C123" s="1119" t="s">
        <v>866</v>
      </c>
    </row>
    <row r="124" spans="3:3" ht="46.5" customHeight="1">
      <c r="C124" s="1119" t="s">
        <v>865</v>
      </c>
    </row>
    <row r="125" spans="3:3" ht="22.5" customHeight="1"/>
    <row r="126" spans="3:3">
      <c r="C126" s="1121" t="s">
        <v>735</v>
      </c>
    </row>
    <row r="127" spans="3:3">
      <c r="C127" s="1119" t="s">
        <v>736</v>
      </c>
    </row>
    <row r="129" spans="3:3">
      <c r="C129" s="1121" t="s">
        <v>97</v>
      </c>
    </row>
    <row r="130" spans="3:3">
      <c r="C130" s="1119" t="s">
        <v>98</v>
      </c>
    </row>
    <row r="131" spans="3:3">
      <c r="C131" s="1129" t="s">
        <v>759</v>
      </c>
    </row>
  </sheetData>
  <phoneticPr fontId="0" type="noConversion"/>
  <hyperlinks>
    <hyperlink ref="C131" r:id="rId1" display="Reinier Goedhart, tel.: 06-25341033 of e-mail: r.goedhart@poraad.nl "/>
  </hyperlinks>
  <pageMargins left="0.74803149606299213" right="0.74803149606299213" top="0.98425196850393704" bottom="0.98425196850393704" header="0.51181102362204722" footer="0.51181102362204722"/>
  <pageSetup paperSize="9" scale="63" orientation="portrait" verticalDpi="300" r:id="rId2"/>
  <headerFooter alignWithMargins="0">
    <oddHeader>&amp;L&amp;"Arial,Vet"&amp;F&amp;R&amp;"Arial,Vet"&amp;A</oddHeader>
    <oddFooter>&amp;L&amp;"Arial,Vet"PO-Raad&amp;C&amp;"Arial,Vet"&amp;D&amp;R&amp;"Arial,Vet"pagina &amp;P</oddFooter>
  </headerFooter>
  <rowBreaks count="3" manualBreakCount="3">
    <brk id="31" min="1" max="3" man="1"/>
    <brk id="57" min="1" max="3" man="1"/>
    <brk id="104" min="1" max="3" man="1"/>
  </rowBreaks>
</worksheet>
</file>

<file path=xl/worksheets/sheet10.xml><?xml version="1.0" encoding="utf-8"?>
<worksheet xmlns="http://schemas.openxmlformats.org/spreadsheetml/2006/main" xmlns:r="http://schemas.openxmlformats.org/officeDocument/2006/relationships">
  <dimension ref="B2:AD145"/>
  <sheetViews>
    <sheetView zoomScale="85" zoomScaleNormal="85" workbookViewId="0">
      <pane ySplit="14" topLeftCell="A15" activePane="bottomLeft" state="frozen"/>
      <selection activeCell="B2" sqref="B2"/>
      <selection pane="bottomLeft" activeCell="B2" sqref="B2"/>
    </sheetView>
  </sheetViews>
  <sheetFormatPr defaultRowHeight="12.75"/>
  <cols>
    <col min="1" max="1" width="3.7109375" style="68" customWidth="1"/>
    <col min="2" max="3" width="2.7109375" style="68" customWidth="1"/>
    <col min="4" max="5" width="25.7109375" style="83" customWidth="1"/>
    <col min="6" max="10" width="10.7109375" style="67" customWidth="1"/>
    <col min="11" max="11" width="2.7109375" style="68" customWidth="1"/>
    <col min="12" max="12" width="12.7109375" style="68" hidden="1" customWidth="1"/>
    <col min="13" max="16" width="10.7109375" style="68" customWidth="1"/>
    <col min="17" max="17" width="1.7109375" style="68" customWidth="1"/>
    <col min="18" max="22" width="10.7109375" style="68" customWidth="1"/>
    <col min="23" max="23" width="0.85546875" style="68" customWidth="1"/>
    <col min="24" max="28" width="10.7109375" style="68" customWidth="1"/>
    <col min="29" max="30" width="2.7109375" style="68" customWidth="1"/>
    <col min="31" max="16384" width="9.140625" style="68"/>
  </cols>
  <sheetData>
    <row r="2" spans="2:30">
      <c r="B2" s="93"/>
      <c r="C2" s="93"/>
      <c r="D2" s="271"/>
      <c r="E2" s="271"/>
      <c r="F2" s="95"/>
      <c r="G2" s="95"/>
      <c r="H2" s="95"/>
      <c r="I2" s="95"/>
      <c r="J2" s="95"/>
      <c r="K2" s="93"/>
      <c r="L2" s="93"/>
      <c r="M2" s="93"/>
      <c r="N2" s="93"/>
      <c r="O2" s="93"/>
      <c r="P2" s="93"/>
      <c r="Q2" s="93"/>
      <c r="R2" s="93"/>
      <c r="S2" s="93"/>
      <c r="T2" s="93"/>
      <c r="U2" s="93"/>
      <c r="V2" s="93"/>
      <c r="W2" s="93"/>
      <c r="X2" s="93"/>
      <c r="Y2" s="93"/>
      <c r="Z2" s="93"/>
      <c r="AA2" s="93"/>
      <c r="AB2" s="93"/>
      <c r="AC2" s="93"/>
      <c r="AD2" s="93"/>
    </row>
    <row r="3" spans="2:30">
      <c r="B3" s="93"/>
      <c r="C3" s="93"/>
      <c r="D3" s="271"/>
      <c r="E3" s="271"/>
      <c r="F3" s="95"/>
      <c r="G3" s="95"/>
      <c r="H3" s="95"/>
      <c r="I3" s="95"/>
      <c r="J3" s="95"/>
      <c r="K3" s="93"/>
      <c r="L3" s="93"/>
      <c r="M3" s="93"/>
      <c r="N3" s="93"/>
      <c r="O3" s="93"/>
      <c r="P3" s="93"/>
      <c r="Q3" s="93"/>
      <c r="R3" s="93"/>
      <c r="S3" s="93"/>
      <c r="T3" s="93"/>
      <c r="U3" s="93"/>
      <c r="V3" s="93"/>
      <c r="W3" s="93"/>
      <c r="X3" s="93"/>
      <c r="Y3" s="93"/>
      <c r="Z3" s="93"/>
      <c r="AA3" s="93"/>
      <c r="AB3" s="93"/>
      <c r="AC3" s="93"/>
      <c r="AD3" s="93"/>
    </row>
    <row r="4" spans="2:30" s="70" customFormat="1" ht="18" customHeight="1">
      <c r="B4" s="99"/>
      <c r="C4" s="168" t="s">
        <v>610</v>
      </c>
      <c r="D4" s="99"/>
      <c r="E4" s="259"/>
      <c r="F4" s="747"/>
      <c r="G4" s="747"/>
      <c r="H4" s="747"/>
      <c r="I4" s="747"/>
      <c r="J4" s="747"/>
      <c r="K4" s="99"/>
      <c r="L4" s="99"/>
      <c r="M4" s="99"/>
      <c r="N4" s="99"/>
      <c r="O4" s="99"/>
      <c r="P4" s="99"/>
      <c r="Q4" s="99"/>
      <c r="R4" s="99"/>
      <c r="S4" s="99"/>
      <c r="T4" s="99"/>
      <c r="U4" s="99"/>
      <c r="V4" s="99"/>
      <c r="W4" s="99"/>
      <c r="X4" s="99"/>
      <c r="Y4" s="99"/>
      <c r="Z4" s="99"/>
      <c r="AA4" s="99"/>
      <c r="AB4" s="99"/>
      <c r="AC4" s="99"/>
      <c r="AD4" s="99"/>
    </row>
    <row r="5" spans="2:30" ht="15.75" customHeight="1">
      <c r="B5" s="93"/>
      <c r="C5" s="462" t="s">
        <v>743</v>
      </c>
      <c r="D5" s="110"/>
      <c r="E5" s="271"/>
      <c r="F5" s="95"/>
      <c r="G5" s="95"/>
      <c r="H5" s="95"/>
      <c r="I5" s="95"/>
      <c r="J5" s="95"/>
      <c r="K5" s="93"/>
      <c r="L5" s="93"/>
      <c r="M5" s="93"/>
      <c r="N5" s="93"/>
      <c r="O5" s="93"/>
      <c r="P5" s="93"/>
      <c r="Q5" s="93"/>
      <c r="R5" s="93"/>
      <c r="S5" s="93"/>
      <c r="T5" s="93"/>
      <c r="U5" s="93"/>
      <c r="V5" s="93"/>
      <c r="W5" s="93"/>
      <c r="X5" s="93"/>
      <c r="Y5" s="93"/>
      <c r="Z5" s="93"/>
      <c r="AA5" s="93"/>
      <c r="AB5" s="93"/>
      <c r="AC5" s="93"/>
      <c r="AD5" s="93"/>
    </row>
    <row r="6" spans="2:30" s="369" customFormat="1" ht="18" customHeight="1">
      <c r="B6" s="462"/>
      <c r="C6" s="462" t="str">
        <f>geg!I12</f>
        <v>De speciale school</v>
      </c>
      <c r="D6" s="226"/>
      <c r="E6" s="760"/>
      <c r="F6" s="464"/>
      <c r="G6" s="464"/>
      <c r="H6" s="464"/>
      <c r="I6" s="464"/>
      <c r="J6" s="464"/>
      <c r="K6" s="462"/>
      <c r="L6" s="462"/>
      <c r="M6" s="462"/>
      <c r="N6" s="462"/>
      <c r="O6" s="462"/>
      <c r="P6" s="462"/>
      <c r="Q6" s="462"/>
      <c r="R6" s="462"/>
      <c r="S6" s="462"/>
      <c r="T6" s="462"/>
      <c r="U6" s="462"/>
      <c r="V6" s="462"/>
      <c r="W6" s="462"/>
      <c r="X6" s="462"/>
      <c r="Y6" s="462"/>
      <c r="Z6" s="462"/>
      <c r="AA6" s="462"/>
      <c r="AB6" s="462"/>
      <c r="AC6" s="462"/>
      <c r="AD6" s="462"/>
    </row>
    <row r="7" spans="2:30" ht="12" customHeight="1">
      <c r="B7" s="93"/>
      <c r="C7" s="748"/>
      <c r="D7" s="271"/>
      <c r="E7" s="271"/>
      <c r="F7" s="95"/>
      <c r="G7" s="95"/>
      <c r="H7" s="95"/>
      <c r="I7" s="95"/>
      <c r="J7" s="95"/>
      <c r="K7" s="93"/>
      <c r="L7" s="93"/>
      <c r="M7" s="93"/>
      <c r="N7" s="93"/>
      <c r="O7" s="93"/>
      <c r="P7" s="93"/>
      <c r="Q7" s="93"/>
      <c r="R7" s="93"/>
      <c r="S7" s="93"/>
      <c r="T7" s="93"/>
      <c r="U7" s="93"/>
      <c r="V7" s="93"/>
      <c r="W7" s="93"/>
      <c r="X7" s="93"/>
      <c r="Y7" s="93"/>
      <c r="Z7" s="93"/>
      <c r="AA7" s="93"/>
      <c r="AB7" s="93"/>
      <c r="AC7" s="93"/>
      <c r="AD7" s="93"/>
    </row>
    <row r="8" spans="2:30" ht="12" customHeight="1">
      <c r="B8" s="93"/>
      <c r="C8" s="748"/>
      <c r="D8" s="271"/>
      <c r="E8" s="271"/>
      <c r="F8" s="95"/>
      <c r="G8" s="95"/>
      <c r="H8" s="95"/>
      <c r="I8" s="95"/>
      <c r="J8" s="95"/>
      <c r="K8" s="93"/>
      <c r="L8" s="93"/>
      <c r="M8" s="93"/>
      <c r="N8" s="93"/>
      <c r="O8" s="93"/>
      <c r="P8" s="93"/>
      <c r="Q8" s="93"/>
      <c r="R8" s="93"/>
      <c r="S8" s="93"/>
      <c r="T8" s="93"/>
      <c r="U8" s="93"/>
      <c r="V8" s="93"/>
      <c r="W8" s="93"/>
      <c r="X8" s="93"/>
      <c r="Y8" s="93"/>
      <c r="Z8" s="93"/>
      <c r="AA8" s="93"/>
      <c r="AB8" s="93"/>
      <c r="AC8" s="93"/>
      <c r="AD8" s="93"/>
    </row>
    <row r="9" spans="2:30" s="510" customFormat="1">
      <c r="B9" s="505"/>
      <c r="C9" s="505"/>
      <c r="D9" s="504" t="s">
        <v>362</v>
      </c>
      <c r="E9" s="504" t="s">
        <v>356</v>
      </c>
      <c r="F9" s="505" t="s">
        <v>363</v>
      </c>
      <c r="G9" s="505" t="s">
        <v>611</v>
      </c>
      <c r="H9" s="505" t="s">
        <v>364</v>
      </c>
      <c r="I9" s="505" t="s">
        <v>365</v>
      </c>
      <c r="J9" s="505" t="s">
        <v>366</v>
      </c>
      <c r="K9" s="505"/>
      <c r="L9" s="505" t="s">
        <v>367</v>
      </c>
      <c r="M9" s="505" t="s">
        <v>368</v>
      </c>
      <c r="N9" s="505" t="s">
        <v>369</v>
      </c>
      <c r="O9" s="506" t="s">
        <v>370</v>
      </c>
      <c r="P9" s="505" t="s">
        <v>371</v>
      </c>
      <c r="Q9" s="505"/>
      <c r="R9" s="505">
        <f>tab!D4</f>
        <v>2012</v>
      </c>
      <c r="S9" s="759">
        <f>R9+1</f>
        <v>2013</v>
      </c>
      <c r="T9" s="759">
        <f>S9+1</f>
        <v>2014</v>
      </c>
      <c r="U9" s="507">
        <f>T9+1</f>
        <v>2015</v>
      </c>
      <c r="V9" s="507">
        <f>U9+1</f>
        <v>2016</v>
      </c>
      <c r="W9" s="505"/>
      <c r="X9" s="505">
        <f>R9</f>
        <v>2012</v>
      </c>
      <c r="Y9" s="505">
        <f>S9</f>
        <v>2013</v>
      </c>
      <c r="Z9" s="505">
        <f>T9</f>
        <v>2014</v>
      </c>
      <c r="AA9" s="505">
        <f>U9</f>
        <v>2015</v>
      </c>
      <c r="AB9" s="505">
        <f>V9</f>
        <v>2016</v>
      </c>
      <c r="AC9" s="505"/>
      <c r="AD9" s="505"/>
    </row>
    <row r="10" spans="2:30" s="510" customFormat="1">
      <c r="B10" s="505"/>
      <c r="C10" s="505"/>
      <c r="D10" s="504"/>
      <c r="E10" s="504"/>
      <c r="F10" s="505" t="s">
        <v>372</v>
      </c>
      <c r="G10" s="505" t="s">
        <v>612</v>
      </c>
      <c r="H10" s="505" t="s">
        <v>373</v>
      </c>
      <c r="I10" s="505" t="s">
        <v>374</v>
      </c>
      <c r="J10" s="505" t="s">
        <v>375</v>
      </c>
      <c r="K10" s="505"/>
      <c r="L10" s="505"/>
      <c r="M10" s="505" t="s">
        <v>376</v>
      </c>
      <c r="N10" s="505" t="s">
        <v>388</v>
      </c>
      <c r="O10" s="506" t="s">
        <v>369</v>
      </c>
      <c r="P10" s="506">
        <f>R9</f>
        <v>2012</v>
      </c>
      <c r="Q10" s="505"/>
      <c r="R10" s="505" t="s">
        <v>369</v>
      </c>
      <c r="S10" s="505" t="s">
        <v>369</v>
      </c>
      <c r="T10" s="505" t="s">
        <v>369</v>
      </c>
      <c r="U10" s="505" t="s">
        <v>369</v>
      </c>
      <c r="V10" s="505" t="s">
        <v>369</v>
      </c>
      <c r="W10" s="505"/>
      <c r="X10" s="505" t="s">
        <v>389</v>
      </c>
      <c r="Y10" s="505" t="s">
        <v>389</v>
      </c>
      <c r="Z10" s="505" t="s">
        <v>389</v>
      </c>
      <c r="AA10" s="505" t="s">
        <v>389</v>
      </c>
      <c r="AB10" s="505" t="s">
        <v>389</v>
      </c>
      <c r="AC10" s="505"/>
      <c r="AD10" s="505"/>
    </row>
    <row r="11" spans="2:30" s="646" customFormat="1">
      <c r="B11" s="501"/>
      <c r="C11" s="501"/>
      <c r="D11" s="279"/>
      <c r="E11" s="279"/>
      <c r="F11" s="501"/>
      <c r="G11" s="501"/>
      <c r="H11" s="501"/>
      <c r="I11" s="501"/>
      <c r="J11" s="501"/>
      <c r="K11" s="501"/>
      <c r="L11" s="501"/>
      <c r="M11" s="501"/>
      <c r="N11" s="501"/>
      <c r="O11" s="502"/>
      <c r="P11" s="502"/>
      <c r="Q11" s="501"/>
      <c r="R11" s="501"/>
      <c r="S11" s="501"/>
      <c r="T11" s="501"/>
      <c r="U11" s="501"/>
      <c r="V11" s="501"/>
      <c r="W11" s="501"/>
      <c r="X11" s="501"/>
      <c r="Y11" s="501"/>
      <c r="Z11" s="501"/>
      <c r="AA11" s="501"/>
      <c r="AB11" s="501"/>
      <c r="AC11" s="501"/>
      <c r="AD11" s="501"/>
    </row>
    <row r="12" spans="2:30" s="646" customFormat="1">
      <c r="B12" s="501"/>
      <c r="C12" s="750"/>
      <c r="D12" s="751"/>
      <c r="E12" s="751"/>
      <c r="F12" s="752"/>
      <c r="G12" s="752"/>
      <c r="H12" s="752"/>
      <c r="I12" s="752"/>
      <c r="J12" s="752"/>
      <c r="K12" s="752"/>
      <c r="L12" s="752"/>
      <c r="M12" s="752"/>
      <c r="N12" s="752"/>
      <c r="O12" s="753"/>
      <c r="P12" s="753"/>
      <c r="Q12" s="752"/>
      <c r="R12" s="752"/>
      <c r="S12" s="752"/>
      <c r="T12" s="752"/>
      <c r="U12" s="752"/>
      <c r="V12" s="752"/>
      <c r="W12" s="752"/>
      <c r="X12" s="752"/>
      <c r="Y12" s="752"/>
      <c r="Z12" s="752"/>
      <c r="AA12" s="752"/>
      <c r="AB12" s="752"/>
      <c r="AC12" s="754"/>
      <c r="AD12" s="501"/>
    </row>
    <row r="13" spans="2:30" s="766" customFormat="1" collapsed="1">
      <c r="B13" s="761"/>
      <c r="C13" s="762"/>
      <c r="D13" s="763"/>
      <c r="E13" s="763"/>
      <c r="F13" s="178"/>
      <c r="G13" s="178"/>
      <c r="H13" s="178"/>
      <c r="I13" s="178"/>
      <c r="J13" s="178"/>
      <c r="K13" s="764"/>
      <c r="L13" s="764"/>
      <c r="M13" s="764"/>
      <c r="N13" s="764"/>
      <c r="O13" s="764"/>
      <c r="P13" s="344">
        <f>SUM(P15:P142)</f>
        <v>0</v>
      </c>
      <c r="Q13" s="764"/>
      <c r="R13" s="344">
        <f>SUM(R15:R142)</f>
        <v>0</v>
      </c>
      <c r="S13" s="344">
        <f>SUM(S15:S142)</f>
        <v>0</v>
      </c>
      <c r="T13" s="344">
        <f>SUM(T15:T142)</f>
        <v>0</v>
      </c>
      <c r="U13" s="344">
        <f>SUM(U15:U142)</f>
        <v>0</v>
      </c>
      <c r="V13" s="344">
        <f>SUM(V15:V142)</f>
        <v>0</v>
      </c>
      <c r="W13" s="752"/>
      <c r="X13" s="344">
        <f>SUM(X15:X142)</f>
        <v>0</v>
      </c>
      <c r="Y13" s="344">
        <f>SUM(Y15:Y142)</f>
        <v>0</v>
      </c>
      <c r="Z13" s="344">
        <f>SUM(Z15:Z142)</f>
        <v>0</v>
      </c>
      <c r="AA13" s="344">
        <f>SUM(AA15:AA142)</f>
        <v>0</v>
      </c>
      <c r="AB13" s="344">
        <f>SUM(AB15:AB142)</f>
        <v>0</v>
      </c>
      <c r="AC13" s="765"/>
      <c r="AD13" s="761"/>
    </row>
    <row r="14" spans="2:30" s="646" customFormat="1">
      <c r="B14" s="501"/>
      <c r="C14" s="755"/>
      <c r="D14" s="292"/>
      <c r="E14" s="292"/>
      <c r="F14" s="238"/>
      <c r="G14" s="238"/>
      <c r="H14" s="238"/>
      <c r="I14" s="238"/>
      <c r="J14" s="238"/>
      <c r="K14" s="238"/>
      <c r="L14" s="238"/>
      <c r="M14" s="238"/>
      <c r="N14" s="238"/>
      <c r="O14" s="756"/>
      <c r="P14" s="756"/>
      <c r="Q14" s="238"/>
      <c r="R14" s="238"/>
      <c r="S14" s="238"/>
      <c r="T14" s="238"/>
      <c r="U14" s="238"/>
      <c r="V14" s="238"/>
      <c r="W14" s="238"/>
      <c r="X14" s="135"/>
      <c r="Y14" s="135"/>
      <c r="Z14" s="135"/>
      <c r="AA14" s="135"/>
      <c r="AB14" s="135"/>
      <c r="AC14" s="757"/>
      <c r="AD14" s="501"/>
    </row>
    <row r="15" spans="2:30">
      <c r="B15" s="93"/>
      <c r="C15" s="131"/>
      <c r="D15" s="169"/>
      <c r="E15" s="169"/>
      <c r="F15" s="567"/>
      <c r="G15" s="170"/>
      <c r="H15" s="314"/>
      <c r="I15" s="170"/>
      <c r="J15" s="170"/>
      <c r="K15" s="133"/>
      <c r="L15" s="135">
        <f>IF(J15="geen",9999999999,J15)</f>
        <v>0</v>
      </c>
      <c r="M15" s="332">
        <f t="shared" ref="M15:M78" si="0">G15*H15</f>
        <v>0</v>
      </c>
      <c r="N15" s="332">
        <f t="shared" ref="N15:N78" si="1">IF(G15=0,0,(G15*H15)/L15)</f>
        <v>0</v>
      </c>
      <c r="O15" s="767" t="str">
        <f t="shared" ref="O15:O78" si="2">IF(L15=0,"-",(IF(L15&gt;3000,"-",I15+L15-1)))</f>
        <v>-</v>
      </c>
      <c r="P15" s="332">
        <f t="shared" ref="P15:P46" si="3">IF(J15="geen",IF(I15&lt;$R$9,G15*H15,0),IF(I15&gt;=$R$9,0,IF((H15*G15-(R$9-I15)*N15)&lt;0,0,H15*G15-(R$9-I15)*N15)))</f>
        <v>0</v>
      </c>
      <c r="Q15" s="133"/>
      <c r="R15" s="332">
        <f t="shared" ref="R15:V24" si="4">(IF(R$9&lt;$I15,0,IF($O15&lt;=R$9-1,0,$N15)))</f>
        <v>0</v>
      </c>
      <c r="S15" s="332">
        <f t="shared" si="4"/>
        <v>0</v>
      </c>
      <c r="T15" s="332">
        <f t="shared" si="4"/>
        <v>0</v>
      </c>
      <c r="U15" s="332">
        <f t="shared" si="4"/>
        <v>0</v>
      </c>
      <c r="V15" s="332">
        <f t="shared" si="4"/>
        <v>0</v>
      </c>
      <c r="W15" s="133"/>
      <c r="X15" s="332">
        <f t="shared" ref="X15:AB24" si="5">IF(X$9=$I15,($G15*$H15),0)</f>
        <v>0</v>
      </c>
      <c r="Y15" s="332">
        <f t="shared" si="5"/>
        <v>0</v>
      </c>
      <c r="Z15" s="332">
        <f t="shared" si="5"/>
        <v>0</v>
      </c>
      <c r="AA15" s="332">
        <f t="shared" si="5"/>
        <v>0</v>
      </c>
      <c r="AB15" s="332">
        <f t="shared" si="5"/>
        <v>0</v>
      </c>
      <c r="AC15" s="136"/>
      <c r="AD15" s="93"/>
    </row>
    <row r="16" spans="2:30">
      <c r="B16" s="93"/>
      <c r="C16" s="131"/>
      <c r="D16" s="169"/>
      <c r="E16" s="169"/>
      <c r="F16" s="567"/>
      <c r="G16" s="170"/>
      <c r="H16" s="314"/>
      <c r="I16" s="170"/>
      <c r="J16" s="170"/>
      <c r="K16" s="133"/>
      <c r="L16" s="135">
        <f t="shared" ref="L16:L79" si="6">IF(J16="geen",9999999999,J16)</f>
        <v>0</v>
      </c>
      <c r="M16" s="332">
        <f t="shared" si="0"/>
        <v>0</v>
      </c>
      <c r="N16" s="332">
        <f t="shared" si="1"/>
        <v>0</v>
      </c>
      <c r="O16" s="767" t="str">
        <f t="shared" si="2"/>
        <v>-</v>
      </c>
      <c r="P16" s="332">
        <f t="shared" si="3"/>
        <v>0</v>
      </c>
      <c r="Q16" s="133"/>
      <c r="R16" s="332">
        <f t="shared" si="4"/>
        <v>0</v>
      </c>
      <c r="S16" s="332">
        <f t="shared" si="4"/>
        <v>0</v>
      </c>
      <c r="T16" s="332">
        <f t="shared" si="4"/>
        <v>0</v>
      </c>
      <c r="U16" s="332">
        <f t="shared" si="4"/>
        <v>0</v>
      </c>
      <c r="V16" s="332">
        <f t="shared" si="4"/>
        <v>0</v>
      </c>
      <c r="W16" s="133"/>
      <c r="X16" s="332">
        <f t="shared" si="5"/>
        <v>0</v>
      </c>
      <c r="Y16" s="332">
        <f t="shared" si="5"/>
        <v>0</v>
      </c>
      <c r="Z16" s="332">
        <f t="shared" si="5"/>
        <v>0</v>
      </c>
      <c r="AA16" s="332">
        <f t="shared" si="5"/>
        <v>0</v>
      </c>
      <c r="AB16" s="332">
        <f t="shared" si="5"/>
        <v>0</v>
      </c>
      <c r="AC16" s="136"/>
      <c r="AD16" s="93"/>
    </row>
    <row r="17" spans="2:30">
      <c r="B17" s="93"/>
      <c r="C17" s="131"/>
      <c r="D17" s="169"/>
      <c r="E17" s="169"/>
      <c r="F17" s="567"/>
      <c r="G17" s="170"/>
      <c r="H17" s="314"/>
      <c r="I17" s="170"/>
      <c r="J17" s="170"/>
      <c r="K17" s="133"/>
      <c r="L17" s="135">
        <f t="shared" si="6"/>
        <v>0</v>
      </c>
      <c r="M17" s="332">
        <f t="shared" si="0"/>
        <v>0</v>
      </c>
      <c r="N17" s="332">
        <f t="shared" si="1"/>
        <v>0</v>
      </c>
      <c r="O17" s="767" t="str">
        <f t="shared" si="2"/>
        <v>-</v>
      </c>
      <c r="P17" s="332">
        <f t="shared" si="3"/>
        <v>0</v>
      </c>
      <c r="Q17" s="133"/>
      <c r="R17" s="332">
        <f t="shared" si="4"/>
        <v>0</v>
      </c>
      <c r="S17" s="332">
        <f t="shared" si="4"/>
        <v>0</v>
      </c>
      <c r="T17" s="332">
        <f t="shared" si="4"/>
        <v>0</v>
      </c>
      <c r="U17" s="332">
        <f t="shared" si="4"/>
        <v>0</v>
      </c>
      <c r="V17" s="332">
        <f t="shared" si="4"/>
        <v>0</v>
      </c>
      <c r="W17" s="133"/>
      <c r="X17" s="332">
        <f t="shared" si="5"/>
        <v>0</v>
      </c>
      <c r="Y17" s="332">
        <f t="shared" si="5"/>
        <v>0</v>
      </c>
      <c r="Z17" s="332">
        <f t="shared" si="5"/>
        <v>0</v>
      </c>
      <c r="AA17" s="332">
        <f t="shared" si="5"/>
        <v>0</v>
      </c>
      <c r="AB17" s="332">
        <f t="shared" si="5"/>
        <v>0</v>
      </c>
      <c r="AC17" s="136"/>
      <c r="AD17" s="93"/>
    </row>
    <row r="18" spans="2:30">
      <c r="B18" s="93"/>
      <c r="C18" s="131"/>
      <c r="D18" s="169"/>
      <c r="E18" s="169"/>
      <c r="F18" s="567"/>
      <c r="G18" s="170"/>
      <c r="H18" s="314"/>
      <c r="I18" s="170"/>
      <c r="J18" s="170"/>
      <c r="K18" s="133"/>
      <c r="L18" s="135">
        <f t="shared" si="6"/>
        <v>0</v>
      </c>
      <c r="M18" s="332">
        <f t="shared" si="0"/>
        <v>0</v>
      </c>
      <c r="N18" s="332">
        <f t="shared" si="1"/>
        <v>0</v>
      </c>
      <c r="O18" s="767" t="str">
        <f t="shared" si="2"/>
        <v>-</v>
      </c>
      <c r="P18" s="332">
        <f t="shared" si="3"/>
        <v>0</v>
      </c>
      <c r="Q18" s="133"/>
      <c r="R18" s="332">
        <f t="shared" si="4"/>
        <v>0</v>
      </c>
      <c r="S18" s="332">
        <f t="shared" si="4"/>
        <v>0</v>
      </c>
      <c r="T18" s="332">
        <f t="shared" si="4"/>
        <v>0</v>
      </c>
      <c r="U18" s="332">
        <f t="shared" si="4"/>
        <v>0</v>
      </c>
      <c r="V18" s="332">
        <f t="shared" si="4"/>
        <v>0</v>
      </c>
      <c r="W18" s="133"/>
      <c r="X18" s="332">
        <f t="shared" si="5"/>
        <v>0</v>
      </c>
      <c r="Y18" s="332">
        <f t="shared" si="5"/>
        <v>0</v>
      </c>
      <c r="Z18" s="332">
        <f t="shared" si="5"/>
        <v>0</v>
      </c>
      <c r="AA18" s="332">
        <f t="shared" si="5"/>
        <v>0</v>
      </c>
      <c r="AB18" s="332">
        <f t="shared" si="5"/>
        <v>0</v>
      </c>
      <c r="AC18" s="136"/>
      <c r="AD18" s="93"/>
    </row>
    <row r="19" spans="2:30">
      <c r="B19" s="93"/>
      <c r="C19" s="131"/>
      <c r="D19" s="169"/>
      <c r="E19" s="169"/>
      <c r="F19" s="567"/>
      <c r="G19" s="170"/>
      <c r="H19" s="314"/>
      <c r="I19" s="170"/>
      <c r="J19" s="170"/>
      <c r="K19" s="133"/>
      <c r="L19" s="135">
        <f t="shared" si="6"/>
        <v>0</v>
      </c>
      <c r="M19" s="332">
        <f t="shared" si="0"/>
        <v>0</v>
      </c>
      <c r="N19" s="332">
        <f t="shared" si="1"/>
        <v>0</v>
      </c>
      <c r="O19" s="767" t="str">
        <f t="shared" si="2"/>
        <v>-</v>
      </c>
      <c r="P19" s="332">
        <f t="shared" si="3"/>
        <v>0</v>
      </c>
      <c r="Q19" s="133"/>
      <c r="R19" s="332">
        <f t="shared" si="4"/>
        <v>0</v>
      </c>
      <c r="S19" s="332">
        <f t="shared" si="4"/>
        <v>0</v>
      </c>
      <c r="T19" s="332">
        <f t="shared" si="4"/>
        <v>0</v>
      </c>
      <c r="U19" s="332">
        <f t="shared" si="4"/>
        <v>0</v>
      </c>
      <c r="V19" s="332">
        <f t="shared" si="4"/>
        <v>0</v>
      </c>
      <c r="W19" s="133"/>
      <c r="X19" s="332">
        <f t="shared" si="5"/>
        <v>0</v>
      </c>
      <c r="Y19" s="332">
        <f t="shared" si="5"/>
        <v>0</v>
      </c>
      <c r="Z19" s="332">
        <f t="shared" si="5"/>
        <v>0</v>
      </c>
      <c r="AA19" s="332">
        <f t="shared" si="5"/>
        <v>0</v>
      </c>
      <c r="AB19" s="332">
        <f t="shared" si="5"/>
        <v>0</v>
      </c>
      <c r="AC19" s="136"/>
      <c r="AD19" s="93"/>
    </row>
    <row r="20" spans="2:30">
      <c r="B20" s="93"/>
      <c r="C20" s="131"/>
      <c r="D20" s="169"/>
      <c r="E20" s="169"/>
      <c r="F20" s="567"/>
      <c r="G20" s="170"/>
      <c r="H20" s="314"/>
      <c r="I20" s="170"/>
      <c r="J20" s="170"/>
      <c r="K20" s="133"/>
      <c r="L20" s="135">
        <f t="shared" si="6"/>
        <v>0</v>
      </c>
      <c r="M20" s="332">
        <f t="shared" si="0"/>
        <v>0</v>
      </c>
      <c r="N20" s="332">
        <f t="shared" si="1"/>
        <v>0</v>
      </c>
      <c r="O20" s="767" t="str">
        <f t="shared" si="2"/>
        <v>-</v>
      </c>
      <c r="P20" s="332">
        <f t="shared" si="3"/>
        <v>0</v>
      </c>
      <c r="Q20" s="133"/>
      <c r="R20" s="332">
        <f t="shared" si="4"/>
        <v>0</v>
      </c>
      <c r="S20" s="332">
        <f t="shared" si="4"/>
        <v>0</v>
      </c>
      <c r="T20" s="332">
        <f t="shared" si="4"/>
        <v>0</v>
      </c>
      <c r="U20" s="332">
        <f t="shared" si="4"/>
        <v>0</v>
      </c>
      <c r="V20" s="332">
        <f t="shared" si="4"/>
        <v>0</v>
      </c>
      <c r="W20" s="133"/>
      <c r="X20" s="332">
        <f t="shared" si="5"/>
        <v>0</v>
      </c>
      <c r="Y20" s="332">
        <f t="shared" si="5"/>
        <v>0</v>
      </c>
      <c r="Z20" s="332">
        <f t="shared" si="5"/>
        <v>0</v>
      </c>
      <c r="AA20" s="332">
        <f t="shared" si="5"/>
        <v>0</v>
      </c>
      <c r="AB20" s="332">
        <f t="shared" si="5"/>
        <v>0</v>
      </c>
      <c r="AC20" s="136"/>
      <c r="AD20" s="93"/>
    </row>
    <row r="21" spans="2:30">
      <c r="B21" s="93"/>
      <c r="C21" s="131"/>
      <c r="D21" s="169"/>
      <c r="E21" s="169"/>
      <c r="F21" s="567"/>
      <c r="G21" s="170"/>
      <c r="H21" s="314"/>
      <c r="I21" s="170"/>
      <c r="J21" s="170"/>
      <c r="K21" s="133"/>
      <c r="L21" s="135">
        <f t="shared" si="6"/>
        <v>0</v>
      </c>
      <c r="M21" s="332">
        <f t="shared" si="0"/>
        <v>0</v>
      </c>
      <c r="N21" s="332">
        <f t="shared" si="1"/>
        <v>0</v>
      </c>
      <c r="O21" s="767" t="str">
        <f t="shared" si="2"/>
        <v>-</v>
      </c>
      <c r="P21" s="332">
        <f t="shared" si="3"/>
        <v>0</v>
      </c>
      <c r="Q21" s="133"/>
      <c r="R21" s="332">
        <f t="shared" si="4"/>
        <v>0</v>
      </c>
      <c r="S21" s="332">
        <f t="shared" si="4"/>
        <v>0</v>
      </c>
      <c r="T21" s="332">
        <f t="shared" si="4"/>
        <v>0</v>
      </c>
      <c r="U21" s="332">
        <f t="shared" si="4"/>
        <v>0</v>
      </c>
      <c r="V21" s="332">
        <f t="shared" si="4"/>
        <v>0</v>
      </c>
      <c r="W21" s="133"/>
      <c r="X21" s="332">
        <f t="shared" si="5"/>
        <v>0</v>
      </c>
      <c r="Y21" s="332">
        <f t="shared" si="5"/>
        <v>0</v>
      </c>
      <c r="Z21" s="332">
        <f t="shared" si="5"/>
        <v>0</v>
      </c>
      <c r="AA21" s="332">
        <f t="shared" si="5"/>
        <v>0</v>
      </c>
      <c r="AB21" s="332">
        <f t="shared" si="5"/>
        <v>0</v>
      </c>
      <c r="AC21" s="136"/>
      <c r="AD21" s="93"/>
    </row>
    <row r="22" spans="2:30">
      <c r="B22" s="93"/>
      <c r="C22" s="131"/>
      <c r="D22" s="169"/>
      <c r="E22" s="169"/>
      <c r="F22" s="567"/>
      <c r="G22" s="170"/>
      <c r="H22" s="314"/>
      <c r="I22" s="170"/>
      <c r="J22" s="170"/>
      <c r="K22" s="133"/>
      <c r="L22" s="135">
        <f t="shared" si="6"/>
        <v>0</v>
      </c>
      <c r="M22" s="332">
        <f t="shared" si="0"/>
        <v>0</v>
      </c>
      <c r="N22" s="332">
        <f t="shared" si="1"/>
        <v>0</v>
      </c>
      <c r="O22" s="767" t="str">
        <f t="shared" si="2"/>
        <v>-</v>
      </c>
      <c r="P22" s="332">
        <f t="shared" si="3"/>
        <v>0</v>
      </c>
      <c r="Q22" s="133"/>
      <c r="R22" s="332">
        <f t="shared" si="4"/>
        <v>0</v>
      </c>
      <c r="S22" s="332">
        <f t="shared" si="4"/>
        <v>0</v>
      </c>
      <c r="T22" s="332">
        <f t="shared" si="4"/>
        <v>0</v>
      </c>
      <c r="U22" s="332">
        <f t="shared" si="4"/>
        <v>0</v>
      </c>
      <c r="V22" s="332">
        <f t="shared" si="4"/>
        <v>0</v>
      </c>
      <c r="W22" s="133"/>
      <c r="X22" s="332">
        <f t="shared" si="5"/>
        <v>0</v>
      </c>
      <c r="Y22" s="332">
        <f t="shared" si="5"/>
        <v>0</v>
      </c>
      <c r="Z22" s="332">
        <f t="shared" si="5"/>
        <v>0</v>
      </c>
      <c r="AA22" s="332">
        <f t="shared" si="5"/>
        <v>0</v>
      </c>
      <c r="AB22" s="332">
        <f t="shared" si="5"/>
        <v>0</v>
      </c>
      <c r="AC22" s="136"/>
      <c r="AD22" s="93"/>
    </row>
    <row r="23" spans="2:30">
      <c r="B23" s="93"/>
      <c r="C23" s="131"/>
      <c r="D23" s="169"/>
      <c r="E23" s="169"/>
      <c r="F23" s="567"/>
      <c r="G23" s="170"/>
      <c r="H23" s="314"/>
      <c r="I23" s="170"/>
      <c r="J23" s="170"/>
      <c r="K23" s="133"/>
      <c r="L23" s="135">
        <f t="shared" si="6"/>
        <v>0</v>
      </c>
      <c r="M23" s="332">
        <f t="shared" si="0"/>
        <v>0</v>
      </c>
      <c r="N23" s="332">
        <f t="shared" si="1"/>
        <v>0</v>
      </c>
      <c r="O23" s="767" t="str">
        <f t="shared" si="2"/>
        <v>-</v>
      </c>
      <c r="P23" s="332">
        <f t="shared" si="3"/>
        <v>0</v>
      </c>
      <c r="Q23" s="133"/>
      <c r="R23" s="332">
        <f t="shared" si="4"/>
        <v>0</v>
      </c>
      <c r="S23" s="332">
        <f t="shared" si="4"/>
        <v>0</v>
      </c>
      <c r="T23" s="332">
        <f t="shared" si="4"/>
        <v>0</v>
      </c>
      <c r="U23" s="332">
        <f t="shared" si="4"/>
        <v>0</v>
      </c>
      <c r="V23" s="332">
        <f t="shared" si="4"/>
        <v>0</v>
      </c>
      <c r="W23" s="133"/>
      <c r="X23" s="332">
        <f t="shared" si="5"/>
        <v>0</v>
      </c>
      <c r="Y23" s="332">
        <f t="shared" si="5"/>
        <v>0</v>
      </c>
      <c r="Z23" s="332">
        <f t="shared" si="5"/>
        <v>0</v>
      </c>
      <c r="AA23" s="332">
        <f t="shared" si="5"/>
        <v>0</v>
      </c>
      <c r="AB23" s="332">
        <f t="shared" si="5"/>
        <v>0</v>
      </c>
      <c r="AC23" s="136"/>
      <c r="AD23" s="93"/>
    </row>
    <row r="24" spans="2:30">
      <c r="B24" s="93"/>
      <c r="C24" s="131"/>
      <c r="D24" s="169"/>
      <c r="E24" s="169"/>
      <c r="F24" s="567"/>
      <c r="G24" s="170"/>
      <c r="H24" s="314"/>
      <c r="I24" s="170"/>
      <c r="J24" s="170"/>
      <c r="K24" s="133"/>
      <c r="L24" s="135">
        <f t="shared" si="6"/>
        <v>0</v>
      </c>
      <c r="M24" s="332">
        <f t="shared" si="0"/>
        <v>0</v>
      </c>
      <c r="N24" s="332">
        <f t="shared" si="1"/>
        <v>0</v>
      </c>
      <c r="O24" s="767" t="str">
        <f t="shared" si="2"/>
        <v>-</v>
      </c>
      <c r="P24" s="332">
        <f t="shared" si="3"/>
        <v>0</v>
      </c>
      <c r="Q24" s="133"/>
      <c r="R24" s="332">
        <f t="shared" si="4"/>
        <v>0</v>
      </c>
      <c r="S24" s="332">
        <f t="shared" si="4"/>
        <v>0</v>
      </c>
      <c r="T24" s="332">
        <f t="shared" si="4"/>
        <v>0</v>
      </c>
      <c r="U24" s="332">
        <f t="shared" si="4"/>
        <v>0</v>
      </c>
      <c r="V24" s="332">
        <f t="shared" si="4"/>
        <v>0</v>
      </c>
      <c r="W24" s="133"/>
      <c r="X24" s="332">
        <f t="shared" si="5"/>
        <v>0</v>
      </c>
      <c r="Y24" s="332">
        <f t="shared" si="5"/>
        <v>0</v>
      </c>
      <c r="Z24" s="332">
        <f t="shared" si="5"/>
        <v>0</v>
      </c>
      <c r="AA24" s="332">
        <f t="shared" si="5"/>
        <v>0</v>
      </c>
      <c r="AB24" s="332">
        <f t="shared" si="5"/>
        <v>0</v>
      </c>
      <c r="AC24" s="136"/>
      <c r="AD24" s="93"/>
    </row>
    <row r="25" spans="2:30">
      <c r="B25" s="93"/>
      <c r="C25" s="131"/>
      <c r="D25" s="169"/>
      <c r="E25" s="169"/>
      <c r="F25" s="567"/>
      <c r="G25" s="170"/>
      <c r="H25" s="314"/>
      <c r="I25" s="170"/>
      <c r="J25" s="170"/>
      <c r="K25" s="133"/>
      <c r="L25" s="135">
        <f t="shared" si="6"/>
        <v>0</v>
      </c>
      <c r="M25" s="332">
        <f t="shared" si="0"/>
        <v>0</v>
      </c>
      <c r="N25" s="332">
        <f t="shared" si="1"/>
        <v>0</v>
      </c>
      <c r="O25" s="767" t="str">
        <f t="shared" si="2"/>
        <v>-</v>
      </c>
      <c r="P25" s="332">
        <f t="shared" si="3"/>
        <v>0</v>
      </c>
      <c r="Q25" s="133"/>
      <c r="R25" s="332">
        <f t="shared" ref="R25:V34" si="7">(IF(R$9&lt;$I25,0,IF($O25&lt;=R$9-1,0,$N25)))</f>
        <v>0</v>
      </c>
      <c r="S25" s="332">
        <f t="shared" si="7"/>
        <v>0</v>
      </c>
      <c r="T25" s="332">
        <f t="shared" si="7"/>
        <v>0</v>
      </c>
      <c r="U25" s="332">
        <f t="shared" si="7"/>
        <v>0</v>
      </c>
      <c r="V25" s="332">
        <f t="shared" si="7"/>
        <v>0</v>
      </c>
      <c r="W25" s="133"/>
      <c r="X25" s="332">
        <f t="shared" ref="X25:AB34" si="8">IF(X$9=$I25,($G25*$H25),0)</f>
        <v>0</v>
      </c>
      <c r="Y25" s="332">
        <f t="shared" si="8"/>
        <v>0</v>
      </c>
      <c r="Z25" s="332">
        <f t="shared" si="8"/>
        <v>0</v>
      </c>
      <c r="AA25" s="332">
        <f t="shared" si="8"/>
        <v>0</v>
      </c>
      <c r="AB25" s="332">
        <f t="shared" si="8"/>
        <v>0</v>
      </c>
      <c r="AC25" s="136"/>
      <c r="AD25" s="93"/>
    </row>
    <row r="26" spans="2:30">
      <c r="B26" s="93"/>
      <c r="C26" s="131"/>
      <c r="D26" s="169"/>
      <c r="E26" s="169"/>
      <c r="F26" s="567"/>
      <c r="G26" s="170"/>
      <c r="H26" s="314"/>
      <c r="I26" s="170"/>
      <c r="J26" s="170"/>
      <c r="K26" s="133"/>
      <c r="L26" s="135">
        <f t="shared" si="6"/>
        <v>0</v>
      </c>
      <c r="M26" s="332">
        <f t="shared" si="0"/>
        <v>0</v>
      </c>
      <c r="N26" s="332">
        <f t="shared" si="1"/>
        <v>0</v>
      </c>
      <c r="O26" s="767" t="str">
        <f t="shared" si="2"/>
        <v>-</v>
      </c>
      <c r="P26" s="332">
        <f t="shared" si="3"/>
        <v>0</v>
      </c>
      <c r="Q26" s="133"/>
      <c r="R26" s="332">
        <f t="shared" si="7"/>
        <v>0</v>
      </c>
      <c r="S26" s="332">
        <f t="shared" si="7"/>
        <v>0</v>
      </c>
      <c r="T26" s="332">
        <f t="shared" si="7"/>
        <v>0</v>
      </c>
      <c r="U26" s="332">
        <f t="shared" si="7"/>
        <v>0</v>
      </c>
      <c r="V26" s="332">
        <f t="shared" si="7"/>
        <v>0</v>
      </c>
      <c r="W26" s="133"/>
      <c r="X26" s="332">
        <f t="shared" si="8"/>
        <v>0</v>
      </c>
      <c r="Y26" s="332">
        <f t="shared" si="8"/>
        <v>0</v>
      </c>
      <c r="Z26" s="332">
        <f t="shared" si="8"/>
        <v>0</v>
      </c>
      <c r="AA26" s="332">
        <f t="shared" si="8"/>
        <v>0</v>
      </c>
      <c r="AB26" s="332">
        <f t="shared" si="8"/>
        <v>0</v>
      </c>
      <c r="AC26" s="136"/>
      <c r="AD26" s="93"/>
    </row>
    <row r="27" spans="2:30">
      <c r="B27" s="93"/>
      <c r="C27" s="131"/>
      <c r="D27" s="169"/>
      <c r="E27" s="169"/>
      <c r="F27" s="567"/>
      <c r="G27" s="170"/>
      <c r="H27" s="314"/>
      <c r="I27" s="170"/>
      <c r="J27" s="170"/>
      <c r="K27" s="133"/>
      <c r="L27" s="135">
        <f t="shared" si="6"/>
        <v>0</v>
      </c>
      <c r="M27" s="332">
        <f t="shared" si="0"/>
        <v>0</v>
      </c>
      <c r="N27" s="332">
        <f t="shared" si="1"/>
        <v>0</v>
      </c>
      <c r="O27" s="767" t="str">
        <f t="shared" si="2"/>
        <v>-</v>
      </c>
      <c r="P27" s="332">
        <f t="shared" si="3"/>
        <v>0</v>
      </c>
      <c r="Q27" s="133"/>
      <c r="R27" s="332">
        <f t="shared" si="7"/>
        <v>0</v>
      </c>
      <c r="S27" s="332">
        <f t="shared" si="7"/>
        <v>0</v>
      </c>
      <c r="T27" s="332">
        <f t="shared" si="7"/>
        <v>0</v>
      </c>
      <c r="U27" s="332">
        <f t="shared" si="7"/>
        <v>0</v>
      </c>
      <c r="V27" s="332">
        <f t="shared" si="7"/>
        <v>0</v>
      </c>
      <c r="W27" s="133"/>
      <c r="X27" s="332">
        <f t="shared" si="8"/>
        <v>0</v>
      </c>
      <c r="Y27" s="332">
        <f t="shared" si="8"/>
        <v>0</v>
      </c>
      <c r="Z27" s="332">
        <f t="shared" si="8"/>
        <v>0</v>
      </c>
      <c r="AA27" s="332">
        <f t="shared" si="8"/>
        <v>0</v>
      </c>
      <c r="AB27" s="332">
        <f t="shared" si="8"/>
        <v>0</v>
      </c>
      <c r="AC27" s="136"/>
      <c r="AD27" s="93"/>
    </row>
    <row r="28" spans="2:30">
      <c r="B28" s="93"/>
      <c r="C28" s="131"/>
      <c r="D28" s="169"/>
      <c r="E28" s="169"/>
      <c r="F28" s="567"/>
      <c r="G28" s="170"/>
      <c r="H28" s="314"/>
      <c r="I28" s="170"/>
      <c r="J28" s="170"/>
      <c r="K28" s="133"/>
      <c r="L28" s="135">
        <f t="shared" si="6"/>
        <v>0</v>
      </c>
      <c r="M28" s="332">
        <f t="shared" si="0"/>
        <v>0</v>
      </c>
      <c r="N28" s="332">
        <f t="shared" si="1"/>
        <v>0</v>
      </c>
      <c r="O28" s="767" t="str">
        <f t="shared" si="2"/>
        <v>-</v>
      </c>
      <c r="P28" s="332">
        <f t="shared" si="3"/>
        <v>0</v>
      </c>
      <c r="Q28" s="133"/>
      <c r="R28" s="332">
        <f t="shared" si="7"/>
        <v>0</v>
      </c>
      <c r="S28" s="332">
        <f t="shared" si="7"/>
        <v>0</v>
      </c>
      <c r="T28" s="332">
        <f t="shared" si="7"/>
        <v>0</v>
      </c>
      <c r="U28" s="332">
        <f t="shared" si="7"/>
        <v>0</v>
      </c>
      <c r="V28" s="332">
        <f t="shared" si="7"/>
        <v>0</v>
      </c>
      <c r="W28" s="133"/>
      <c r="X28" s="332">
        <f t="shared" si="8"/>
        <v>0</v>
      </c>
      <c r="Y28" s="332">
        <f t="shared" si="8"/>
        <v>0</v>
      </c>
      <c r="Z28" s="332">
        <f t="shared" si="8"/>
        <v>0</v>
      </c>
      <c r="AA28" s="332">
        <f t="shared" si="8"/>
        <v>0</v>
      </c>
      <c r="AB28" s="332">
        <f t="shared" si="8"/>
        <v>0</v>
      </c>
      <c r="AC28" s="136"/>
      <c r="AD28" s="93"/>
    </row>
    <row r="29" spans="2:30">
      <c r="B29" s="93"/>
      <c r="C29" s="131"/>
      <c r="D29" s="169"/>
      <c r="E29" s="169"/>
      <c r="F29" s="567"/>
      <c r="G29" s="170"/>
      <c r="H29" s="314"/>
      <c r="I29" s="170"/>
      <c r="J29" s="170"/>
      <c r="K29" s="133"/>
      <c r="L29" s="135">
        <f t="shared" si="6"/>
        <v>0</v>
      </c>
      <c r="M29" s="332">
        <f t="shared" si="0"/>
        <v>0</v>
      </c>
      <c r="N29" s="332">
        <f t="shared" si="1"/>
        <v>0</v>
      </c>
      <c r="O29" s="767" t="str">
        <f t="shared" si="2"/>
        <v>-</v>
      </c>
      <c r="P29" s="332">
        <f t="shared" si="3"/>
        <v>0</v>
      </c>
      <c r="Q29" s="133"/>
      <c r="R29" s="332">
        <f t="shared" si="7"/>
        <v>0</v>
      </c>
      <c r="S29" s="332">
        <f t="shared" si="7"/>
        <v>0</v>
      </c>
      <c r="T29" s="332">
        <f t="shared" si="7"/>
        <v>0</v>
      </c>
      <c r="U29" s="332">
        <f t="shared" si="7"/>
        <v>0</v>
      </c>
      <c r="V29" s="332">
        <f t="shared" si="7"/>
        <v>0</v>
      </c>
      <c r="W29" s="133"/>
      <c r="X29" s="332">
        <f t="shared" si="8"/>
        <v>0</v>
      </c>
      <c r="Y29" s="332">
        <f t="shared" si="8"/>
        <v>0</v>
      </c>
      <c r="Z29" s="332">
        <f t="shared" si="8"/>
        <v>0</v>
      </c>
      <c r="AA29" s="332">
        <f t="shared" si="8"/>
        <v>0</v>
      </c>
      <c r="AB29" s="332">
        <f t="shared" si="8"/>
        <v>0</v>
      </c>
      <c r="AC29" s="136"/>
      <c r="AD29" s="93"/>
    </row>
    <row r="30" spans="2:30">
      <c r="B30" s="93"/>
      <c r="C30" s="131"/>
      <c r="D30" s="169"/>
      <c r="E30" s="169"/>
      <c r="F30" s="567"/>
      <c r="G30" s="170"/>
      <c r="H30" s="314"/>
      <c r="I30" s="170"/>
      <c r="J30" s="170"/>
      <c r="K30" s="133"/>
      <c r="L30" s="135">
        <f t="shared" si="6"/>
        <v>0</v>
      </c>
      <c r="M30" s="332">
        <f t="shared" si="0"/>
        <v>0</v>
      </c>
      <c r="N30" s="332">
        <f t="shared" si="1"/>
        <v>0</v>
      </c>
      <c r="O30" s="767" t="str">
        <f t="shared" si="2"/>
        <v>-</v>
      </c>
      <c r="P30" s="332">
        <f t="shared" si="3"/>
        <v>0</v>
      </c>
      <c r="Q30" s="133"/>
      <c r="R30" s="332">
        <f t="shared" si="7"/>
        <v>0</v>
      </c>
      <c r="S30" s="332">
        <f t="shared" si="7"/>
        <v>0</v>
      </c>
      <c r="T30" s="332">
        <f t="shared" si="7"/>
        <v>0</v>
      </c>
      <c r="U30" s="332">
        <f t="shared" si="7"/>
        <v>0</v>
      </c>
      <c r="V30" s="332">
        <f t="shared" si="7"/>
        <v>0</v>
      </c>
      <c r="W30" s="133"/>
      <c r="X30" s="332">
        <f t="shared" si="8"/>
        <v>0</v>
      </c>
      <c r="Y30" s="332">
        <f t="shared" si="8"/>
        <v>0</v>
      </c>
      <c r="Z30" s="332">
        <f t="shared" si="8"/>
        <v>0</v>
      </c>
      <c r="AA30" s="332">
        <f t="shared" si="8"/>
        <v>0</v>
      </c>
      <c r="AB30" s="332">
        <f t="shared" si="8"/>
        <v>0</v>
      </c>
      <c r="AC30" s="136"/>
      <c r="AD30" s="93"/>
    </row>
    <row r="31" spans="2:30">
      <c r="B31" s="93"/>
      <c r="C31" s="131"/>
      <c r="D31" s="169"/>
      <c r="E31" s="169"/>
      <c r="F31" s="567"/>
      <c r="G31" s="170"/>
      <c r="H31" s="314"/>
      <c r="I31" s="170"/>
      <c r="J31" s="170"/>
      <c r="K31" s="133"/>
      <c r="L31" s="135">
        <f t="shared" si="6"/>
        <v>0</v>
      </c>
      <c r="M31" s="332">
        <f t="shared" si="0"/>
        <v>0</v>
      </c>
      <c r="N31" s="332">
        <f t="shared" si="1"/>
        <v>0</v>
      </c>
      <c r="O31" s="767" t="str">
        <f t="shared" si="2"/>
        <v>-</v>
      </c>
      <c r="P31" s="332">
        <f t="shared" si="3"/>
        <v>0</v>
      </c>
      <c r="Q31" s="133"/>
      <c r="R31" s="332">
        <f t="shared" si="7"/>
        <v>0</v>
      </c>
      <c r="S31" s="332">
        <f t="shared" si="7"/>
        <v>0</v>
      </c>
      <c r="T31" s="332">
        <f t="shared" si="7"/>
        <v>0</v>
      </c>
      <c r="U31" s="332">
        <f t="shared" si="7"/>
        <v>0</v>
      </c>
      <c r="V31" s="332">
        <f t="shared" si="7"/>
        <v>0</v>
      </c>
      <c r="W31" s="133"/>
      <c r="X31" s="332">
        <f t="shared" si="8"/>
        <v>0</v>
      </c>
      <c r="Y31" s="332">
        <f t="shared" si="8"/>
        <v>0</v>
      </c>
      <c r="Z31" s="332">
        <f t="shared" si="8"/>
        <v>0</v>
      </c>
      <c r="AA31" s="332">
        <f t="shared" si="8"/>
        <v>0</v>
      </c>
      <c r="AB31" s="332">
        <f t="shared" si="8"/>
        <v>0</v>
      </c>
      <c r="AC31" s="136"/>
      <c r="AD31" s="93"/>
    </row>
    <row r="32" spans="2:30">
      <c r="B32" s="93"/>
      <c r="C32" s="131"/>
      <c r="D32" s="169"/>
      <c r="E32" s="169"/>
      <c r="F32" s="567"/>
      <c r="G32" s="170"/>
      <c r="H32" s="314"/>
      <c r="I32" s="170"/>
      <c r="J32" s="170"/>
      <c r="K32" s="133"/>
      <c r="L32" s="135">
        <f t="shared" si="6"/>
        <v>0</v>
      </c>
      <c r="M32" s="332">
        <f t="shared" si="0"/>
        <v>0</v>
      </c>
      <c r="N32" s="332">
        <f t="shared" si="1"/>
        <v>0</v>
      </c>
      <c r="O32" s="767" t="str">
        <f t="shared" si="2"/>
        <v>-</v>
      </c>
      <c r="P32" s="332">
        <f t="shared" si="3"/>
        <v>0</v>
      </c>
      <c r="Q32" s="133"/>
      <c r="R32" s="332">
        <f t="shared" si="7"/>
        <v>0</v>
      </c>
      <c r="S32" s="332">
        <f t="shared" si="7"/>
        <v>0</v>
      </c>
      <c r="T32" s="332">
        <f t="shared" si="7"/>
        <v>0</v>
      </c>
      <c r="U32" s="332">
        <f t="shared" si="7"/>
        <v>0</v>
      </c>
      <c r="V32" s="332">
        <f t="shared" si="7"/>
        <v>0</v>
      </c>
      <c r="W32" s="133"/>
      <c r="X32" s="332">
        <f t="shared" si="8"/>
        <v>0</v>
      </c>
      <c r="Y32" s="332">
        <f t="shared" si="8"/>
        <v>0</v>
      </c>
      <c r="Z32" s="332">
        <f t="shared" si="8"/>
        <v>0</v>
      </c>
      <c r="AA32" s="332">
        <f t="shared" si="8"/>
        <v>0</v>
      </c>
      <c r="AB32" s="332">
        <f t="shared" si="8"/>
        <v>0</v>
      </c>
      <c r="AC32" s="136"/>
      <c r="AD32" s="93"/>
    </row>
    <row r="33" spans="2:30">
      <c r="B33" s="93"/>
      <c r="C33" s="131"/>
      <c r="D33" s="169"/>
      <c r="E33" s="169"/>
      <c r="F33" s="567"/>
      <c r="G33" s="170"/>
      <c r="H33" s="314"/>
      <c r="I33" s="170"/>
      <c r="J33" s="170"/>
      <c r="K33" s="133"/>
      <c r="L33" s="135">
        <f t="shared" si="6"/>
        <v>0</v>
      </c>
      <c r="M33" s="332">
        <f t="shared" si="0"/>
        <v>0</v>
      </c>
      <c r="N33" s="332">
        <f t="shared" si="1"/>
        <v>0</v>
      </c>
      <c r="O33" s="767" t="str">
        <f t="shared" si="2"/>
        <v>-</v>
      </c>
      <c r="P33" s="332">
        <f t="shared" si="3"/>
        <v>0</v>
      </c>
      <c r="Q33" s="133"/>
      <c r="R33" s="332">
        <f t="shared" si="7"/>
        <v>0</v>
      </c>
      <c r="S33" s="332">
        <f t="shared" si="7"/>
        <v>0</v>
      </c>
      <c r="T33" s="332">
        <f t="shared" si="7"/>
        <v>0</v>
      </c>
      <c r="U33" s="332">
        <f t="shared" si="7"/>
        <v>0</v>
      </c>
      <c r="V33" s="332">
        <f t="shared" si="7"/>
        <v>0</v>
      </c>
      <c r="W33" s="133"/>
      <c r="X33" s="332">
        <f t="shared" si="8"/>
        <v>0</v>
      </c>
      <c r="Y33" s="332">
        <f t="shared" si="8"/>
        <v>0</v>
      </c>
      <c r="Z33" s="332">
        <f t="shared" si="8"/>
        <v>0</v>
      </c>
      <c r="AA33" s="332">
        <f t="shared" si="8"/>
        <v>0</v>
      </c>
      <c r="AB33" s="332">
        <f t="shared" si="8"/>
        <v>0</v>
      </c>
      <c r="AC33" s="136"/>
      <c r="AD33" s="93"/>
    </row>
    <row r="34" spans="2:30">
      <c r="B34" s="93"/>
      <c r="C34" s="131"/>
      <c r="D34" s="169"/>
      <c r="E34" s="169"/>
      <c r="F34" s="567"/>
      <c r="G34" s="170"/>
      <c r="H34" s="314"/>
      <c r="I34" s="170"/>
      <c r="J34" s="170"/>
      <c r="K34" s="133"/>
      <c r="L34" s="135">
        <f t="shared" si="6"/>
        <v>0</v>
      </c>
      <c r="M34" s="332">
        <f t="shared" si="0"/>
        <v>0</v>
      </c>
      <c r="N34" s="332">
        <f t="shared" si="1"/>
        <v>0</v>
      </c>
      <c r="O34" s="767" t="str">
        <f t="shared" si="2"/>
        <v>-</v>
      </c>
      <c r="P34" s="332">
        <f t="shared" si="3"/>
        <v>0</v>
      </c>
      <c r="Q34" s="133"/>
      <c r="R34" s="332">
        <f t="shared" si="7"/>
        <v>0</v>
      </c>
      <c r="S34" s="332">
        <f t="shared" si="7"/>
        <v>0</v>
      </c>
      <c r="T34" s="332">
        <f t="shared" si="7"/>
        <v>0</v>
      </c>
      <c r="U34" s="332">
        <f t="shared" si="7"/>
        <v>0</v>
      </c>
      <c r="V34" s="332">
        <f t="shared" si="7"/>
        <v>0</v>
      </c>
      <c r="W34" s="133"/>
      <c r="X34" s="332">
        <f t="shared" si="8"/>
        <v>0</v>
      </c>
      <c r="Y34" s="332">
        <f t="shared" si="8"/>
        <v>0</v>
      </c>
      <c r="Z34" s="332">
        <f t="shared" si="8"/>
        <v>0</v>
      </c>
      <c r="AA34" s="332">
        <f t="shared" si="8"/>
        <v>0</v>
      </c>
      <c r="AB34" s="332">
        <f t="shared" si="8"/>
        <v>0</v>
      </c>
      <c r="AC34" s="136"/>
      <c r="AD34" s="93"/>
    </row>
    <row r="35" spans="2:30">
      <c r="B35" s="93"/>
      <c r="C35" s="131"/>
      <c r="D35" s="169"/>
      <c r="E35" s="169"/>
      <c r="F35" s="567"/>
      <c r="G35" s="170"/>
      <c r="H35" s="314"/>
      <c r="I35" s="170"/>
      <c r="J35" s="170"/>
      <c r="K35" s="133"/>
      <c r="L35" s="135">
        <f t="shared" si="6"/>
        <v>0</v>
      </c>
      <c r="M35" s="332">
        <f t="shared" si="0"/>
        <v>0</v>
      </c>
      <c r="N35" s="332">
        <f t="shared" si="1"/>
        <v>0</v>
      </c>
      <c r="O35" s="767" t="str">
        <f t="shared" si="2"/>
        <v>-</v>
      </c>
      <c r="P35" s="332">
        <f t="shared" si="3"/>
        <v>0</v>
      </c>
      <c r="Q35" s="133"/>
      <c r="R35" s="332">
        <f t="shared" ref="R35:V44" si="9">(IF(R$9&lt;$I35,0,IF($O35&lt;=R$9-1,0,$N35)))</f>
        <v>0</v>
      </c>
      <c r="S35" s="332">
        <f t="shared" si="9"/>
        <v>0</v>
      </c>
      <c r="T35" s="332">
        <f t="shared" si="9"/>
        <v>0</v>
      </c>
      <c r="U35" s="332">
        <f t="shared" si="9"/>
        <v>0</v>
      </c>
      <c r="V35" s="332">
        <f t="shared" si="9"/>
        <v>0</v>
      </c>
      <c r="W35" s="133"/>
      <c r="X35" s="332">
        <f t="shared" ref="X35:AB44" si="10">IF(X$9=$I35,($G35*$H35),0)</f>
        <v>0</v>
      </c>
      <c r="Y35" s="332">
        <f t="shared" si="10"/>
        <v>0</v>
      </c>
      <c r="Z35" s="332">
        <f t="shared" si="10"/>
        <v>0</v>
      </c>
      <c r="AA35" s="332">
        <f t="shared" si="10"/>
        <v>0</v>
      </c>
      <c r="AB35" s="332">
        <f t="shared" si="10"/>
        <v>0</v>
      </c>
      <c r="AC35" s="136"/>
      <c r="AD35" s="93"/>
    </row>
    <row r="36" spans="2:30">
      <c r="B36" s="93"/>
      <c r="C36" s="131"/>
      <c r="D36" s="169"/>
      <c r="E36" s="169"/>
      <c r="F36" s="567"/>
      <c r="G36" s="170"/>
      <c r="H36" s="314"/>
      <c r="I36" s="170"/>
      <c r="J36" s="170"/>
      <c r="K36" s="133"/>
      <c r="L36" s="135">
        <f t="shared" si="6"/>
        <v>0</v>
      </c>
      <c r="M36" s="332">
        <f t="shared" si="0"/>
        <v>0</v>
      </c>
      <c r="N36" s="332">
        <f t="shared" si="1"/>
        <v>0</v>
      </c>
      <c r="O36" s="767" t="str">
        <f t="shared" si="2"/>
        <v>-</v>
      </c>
      <c r="P36" s="332">
        <f t="shared" si="3"/>
        <v>0</v>
      </c>
      <c r="Q36" s="133"/>
      <c r="R36" s="332">
        <f t="shared" si="9"/>
        <v>0</v>
      </c>
      <c r="S36" s="332">
        <f t="shared" si="9"/>
        <v>0</v>
      </c>
      <c r="T36" s="332">
        <f t="shared" si="9"/>
        <v>0</v>
      </c>
      <c r="U36" s="332">
        <f t="shared" si="9"/>
        <v>0</v>
      </c>
      <c r="V36" s="332">
        <f t="shared" si="9"/>
        <v>0</v>
      </c>
      <c r="W36" s="133"/>
      <c r="X36" s="332">
        <f t="shared" si="10"/>
        <v>0</v>
      </c>
      <c r="Y36" s="332">
        <f t="shared" si="10"/>
        <v>0</v>
      </c>
      <c r="Z36" s="332">
        <f t="shared" si="10"/>
        <v>0</v>
      </c>
      <c r="AA36" s="332">
        <f t="shared" si="10"/>
        <v>0</v>
      </c>
      <c r="AB36" s="332">
        <f t="shared" si="10"/>
        <v>0</v>
      </c>
      <c r="AC36" s="136"/>
      <c r="AD36" s="93"/>
    </row>
    <row r="37" spans="2:30">
      <c r="B37" s="93"/>
      <c r="C37" s="131"/>
      <c r="D37" s="169"/>
      <c r="E37" s="169"/>
      <c r="F37" s="567"/>
      <c r="G37" s="170"/>
      <c r="H37" s="314"/>
      <c r="I37" s="170"/>
      <c r="J37" s="170"/>
      <c r="K37" s="133"/>
      <c r="L37" s="135">
        <f t="shared" si="6"/>
        <v>0</v>
      </c>
      <c r="M37" s="332">
        <f t="shared" si="0"/>
        <v>0</v>
      </c>
      <c r="N37" s="332">
        <f t="shared" si="1"/>
        <v>0</v>
      </c>
      <c r="O37" s="767" t="str">
        <f t="shared" si="2"/>
        <v>-</v>
      </c>
      <c r="P37" s="332">
        <f t="shared" si="3"/>
        <v>0</v>
      </c>
      <c r="Q37" s="133"/>
      <c r="R37" s="332">
        <f t="shared" si="9"/>
        <v>0</v>
      </c>
      <c r="S37" s="332">
        <f t="shared" si="9"/>
        <v>0</v>
      </c>
      <c r="T37" s="332">
        <f t="shared" si="9"/>
        <v>0</v>
      </c>
      <c r="U37" s="332">
        <f t="shared" si="9"/>
        <v>0</v>
      </c>
      <c r="V37" s="332">
        <f t="shared" si="9"/>
        <v>0</v>
      </c>
      <c r="W37" s="133"/>
      <c r="X37" s="332">
        <f t="shared" si="10"/>
        <v>0</v>
      </c>
      <c r="Y37" s="332">
        <f t="shared" si="10"/>
        <v>0</v>
      </c>
      <c r="Z37" s="332">
        <f t="shared" si="10"/>
        <v>0</v>
      </c>
      <c r="AA37" s="332">
        <f t="shared" si="10"/>
        <v>0</v>
      </c>
      <c r="AB37" s="332">
        <f t="shared" si="10"/>
        <v>0</v>
      </c>
      <c r="AC37" s="136"/>
      <c r="AD37" s="93"/>
    </row>
    <row r="38" spans="2:30">
      <c r="B38" s="93"/>
      <c r="C38" s="131"/>
      <c r="D38" s="169"/>
      <c r="E38" s="169"/>
      <c r="F38" s="567"/>
      <c r="G38" s="170"/>
      <c r="H38" s="314"/>
      <c r="I38" s="170"/>
      <c r="J38" s="170"/>
      <c r="K38" s="133"/>
      <c r="L38" s="135">
        <f t="shared" si="6"/>
        <v>0</v>
      </c>
      <c r="M38" s="332">
        <f t="shared" si="0"/>
        <v>0</v>
      </c>
      <c r="N38" s="332">
        <f t="shared" si="1"/>
        <v>0</v>
      </c>
      <c r="O38" s="767" t="str">
        <f t="shared" si="2"/>
        <v>-</v>
      </c>
      <c r="P38" s="332">
        <f t="shared" si="3"/>
        <v>0</v>
      </c>
      <c r="Q38" s="133"/>
      <c r="R38" s="332">
        <f t="shared" si="9"/>
        <v>0</v>
      </c>
      <c r="S38" s="332">
        <f t="shared" si="9"/>
        <v>0</v>
      </c>
      <c r="T38" s="332">
        <f t="shared" si="9"/>
        <v>0</v>
      </c>
      <c r="U38" s="332">
        <f t="shared" si="9"/>
        <v>0</v>
      </c>
      <c r="V38" s="332">
        <f t="shared" si="9"/>
        <v>0</v>
      </c>
      <c r="W38" s="133"/>
      <c r="X38" s="332">
        <f t="shared" si="10"/>
        <v>0</v>
      </c>
      <c r="Y38" s="332">
        <f t="shared" si="10"/>
        <v>0</v>
      </c>
      <c r="Z38" s="332">
        <f t="shared" si="10"/>
        <v>0</v>
      </c>
      <c r="AA38" s="332">
        <f t="shared" si="10"/>
        <v>0</v>
      </c>
      <c r="AB38" s="332">
        <f t="shared" si="10"/>
        <v>0</v>
      </c>
      <c r="AC38" s="136"/>
      <c r="AD38" s="93"/>
    </row>
    <row r="39" spans="2:30">
      <c r="B39" s="93"/>
      <c r="C39" s="131"/>
      <c r="D39" s="169"/>
      <c r="E39" s="169"/>
      <c r="F39" s="567"/>
      <c r="G39" s="170"/>
      <c r="H39" s="314"/>
      <c r="I39" s="170"/>
      <c r="J39" s="170"/>
      <c r="K39" s="133"/>
      <c r="L39" s="135">
        <f t="shared" si="6"/>
        <v>0</v>
      </c>
      <c r="M39" s="332">
        <f t="shared" si="0"/>
        <v>0</v>
      </c>
      <c r="N39" s="332">
        <f t="shared" si="1"/>
        <v>0</v>
      </c>
      <c r="O39" s="767" t="str">
        <f t="shared" si="2"/>
        <v>-</v>
      </c>
      <c r="P39" s="332">
        <f t="shared" si="3"/>
        <v>0</v>
      </c>
      <c r="Q39" s="133"/>
      <c r="R39" s="332">
        <f t="shared" si="9"/>
        <v>0</v>
      </c>
      <c r="S39" s="332">
        <f t="shared" si="9"/>
        <v>0</v>
      </c>
      <c r="T39" s="332">
        <f t="shared" si="9"/>
        <v>0</v>
      </c>
      <c r="U39" s="332">
        <f t="shared" si="9"/>
        <v>0</v>
      </c>
      <c r="V39" s="332">
        <f t="shared" si="9"/>
        <v>0</v>
      </c>
      <c r="W39" s="133"/>
      <c r="X39" s="332">
        <f t="shared" si="10"/>
        <v>0</v>
      </c>
      <c r="Y39" s="332">
        <f t="shared" si="10"/>
        <v>0</v>
      </c>
      <c r="Z39" s="332">
        <f t="shared" si="10"/>
        <v>0</v>
      </c>
      <c r="AA39" s="332">
        <f t="shared" si="10"/>
        <v>0</v>
      </c>
      <c r="AB39" s="332">
        <f t="shared" si="10"/>
        <v>0</v>
      </c>
      <c r="AC39" s="136"/>
      <c r="AD39" s="93"/>
    </row>
    <row r="40" spans="2:30">
      <c r="B40" s="93"/>
      <c r="C40" s="131"/>
      <c r="D40" s="169"/>
      <c r="E40" s="169"/>
      <c r="F40" s="567"/>
      <c r="G40" s="170"/>
      <c r="H40" s="314"/>
      <c r="I40" s="170"/>
      <c r="J40" s="170"/>
      <c r="K40" s="133"/>
      <c r="L40" s="135">
        <f t="shared" si="6"/>
        <v>0</v>
      </c>
      <c r="M40" s="332">
        <f t="shared" si="0"/>
        <v>0</v>
      </c>
      <c r="N40" s="332">
        <f t="shared" si="1"/>
        <v>0</v>
      </c>
      <c r="O40" s="767" t="str">
        <f t="shared" si="2"/>
        <v>-</v>
      </c>
      <c r="P40" s="332">
        <f t="shared" si="3"/>
        <v>0</v>
      </c>
      <c r="Q40" s="133"/>
      <c r="R40" s="332">
        <f t="shared" si="9"/>
        <v>0</v>
      </c>
      <c r="S40" s="332">
        <f t="shared" si="9"/>
        <v>0</v>
      </c>
      <c r="T40" s="332">
        <f t="shared" si="9"/>
        <v>0</v>
      </c>
      <c r="U40" s="332">
        <f t="shared" si="9"/>
        <v>0</v>
      </c>
      <c r="V40" s="332">
        <f t="shared" si="9"/>
        <v>0</v>
      </c>
      <c r="W40" s="133"/>
      <c r="X40" s="332">
        <f t="shared" si="10"/>
        <v>0</v>
      </c>
      <c r="Y40" s="332">
        <f t="shared" si="10"/>
        <v>0</v>
      </c>
      <c r="Z40" s="332">
        <f t="shared" si="10"/>
        <v>0</v>
      </c>
      <c r="AA40" s="332">
        <f t="shared" si="10"/>
        <v>0</v>
      </c>
      <c r="AB40" s="332">
        <f t="shared" si="10"/>
        <v>0</v>
      </c>
      <c r="AC40" s="136"/>
      <c r="AD40" s="93"/>
    </row>
    <row r="41" spans="2:30">
      <c r="B41" s="93"/>
      <c r="C41" s="131"/>
      <c r="D41" s="169"/>
      <c r="E41" s="169"/>
      <c r="F41" s="567"/>
      <c r="G41" s="170"/>
      <c r="H41" s="314"/>
      <c r="I41" s="170"/>
      <c r="J41" s="170"/>
      <c r="K41" s="133"/>
      <c r="L41" s="135">
        <f t="shared" si="6"/>
        <v>0</v>
      </c>
      <c r="M41" s="332">
        <f t="shared" si="0"/>
        <v>0</v>
      </c>
      <c r="N41" s="332">
        <f t="shared" si="1"/>
        <v>0</v>
      </c>
      <c r="O41" s="767" t="str">
        <f t="shared" si="2"/>
        <v>-</v>
      </c>
      <c r="P41" s="332">
        <f t="shared" si="3"/>
        <v>0</v>
      </c>
      <c r="Q41" s="133"/>
      <c r="R41" s="332">
        <f t="shared" si="9"/>
        <v>0</v>
      </c>
      <c r="S41" s="332">
        <f t="shared" si="9"/>
        <v>0</v>
      </c>
      <c r="T41" s="332">
        <f t="shared" si="9"/>
        <v>0</v>
      </c>
      <c r="U41" s="332">
        <f t="shared" si="9"/>
        <v>0</v>
      </c>
      <c r="V41" s="332">
        <f t="shared" si="9"/>
        <v>0</v>
      </c>
      <c r="W41" s="133"/>
      <c r="X41" s="332">
        <f t="shared" si="10"/>
        <v>0</v>
      </c>
      <c r="Y41" s="332">
        <f t="shared" si="10"/>
        <v>0</v>
      </c>
      <c r="Z41" s="332">
        <f t="shared" si="10"/>
        <v>0</v>
      </c>
      <c r="AA41" s="332">
        <f t="shared" si="10"/>
        <v>0</v>
      </c>
      <c r="AB41" s="332">
        <f t="shared" si="10"/>
        <v>0</v>
      </c>
      <c r="AC41" s="136"/>
      <c r="AD41" s="93"/>
    </row>
    <row r="42" spans="2:30">
      <c r="B42" s="93"/>
      <c r="C42" s="131"/>
      <c r="D42" s="169"/>
      <c r="E42" s="169"/>
      <c r="F42" s="567"/>
      <c r="G42" s="170"/>
      <c r="H42" s="314"/>
      <c r="I42" s="170"/>
      <c r="J42" s="170"/>
      <c r="K42" s="133"/>
      <c r="L42" s="135">
        <f t="shared" si="6"/>
        <v>0</v>
      </c>
      <c r="M42" s="332">
        <f t="shared" si="0"/>
        <v>0</v>
      </c>
      <c r="N42" s="332">
        <f t="shared" si="1"/>
        <v>0</v>
      </c>
      <c r="O42" s="767" t="str">
        <f t="shared" si="2"/>
        <v>-</v>
      </c>
      <c r="P42" s="332">
        <f t="shared" si="3"/>
        <v>0</v>
      </c>
      <c r="Q42" s="133"/>
      <c r="R42" s="332">
        <f t="shared" si="9"/>
        <v>0</v>
      </c>
      <c r="S42" s="332">
        <f t="shared" si="9"/>
        <v>0</v>
      </c>
      <c r="T42" s="332">
        <f t="shared" si="9"/>
        <v>0</v>
      </c>
      <c r="U42" s="332">
        <f t="shared" si="9"/>
        <v>0</v>
      </c>
      <c r="V42" s="332">
        <f t="shared" si="9"/>
        <v>0</v>
      </c>
      <c r="W42" s="133"/>
      <c r="X42" s="332">
        <f t="shared" si="10"/>
        <v>0</v>
      </c>
      <c r="Y42" s="332">
        <f t="shared" si="10"/>
        <v>0</v>
      </c>
      <c r="Z42" s="332">
        <f t="shared" si="10"/>
        <v>0</v>
      </c>
      <c r="AA42" s="332">
        <f t="shared" si="10"/>
        <v>0</v>
      </c>
      <c r="AB42" s="332">
        <f t="shared" si="10"/>
        <v>0</v>
      </c>
      <c r="AC42" s="136"/>
      <c r="AD42" s="93"/>
    </row>
    <row r="43" spans="2:30">
      <c r="B43" s="93"/>
      <c r="C43" s="131"/>
      <c r="D43" s="169"/>
      <c r="E43" s="169"/>
      <c r="F43" s="567"/>
      <c r="G43" s="170"/>
      <c r="H43" s="314"/>
      <c r="I43" s="170"/>
      <c r="J43" s="170"/>
      <c r="K43" s="133"/>
      <c r="L43" s="135">
        <f t="shared" si="6"/>
        <v>0</v>
      </c>
      <c r="M43" s="332">
        <f t="shared" si="0"/>
        <v>0</v>
      </c>
      <c r="N43" s="332">
        <f t="shared" si="1"/>
        <v>0</v>
      </c>
      <c r="O43" s="767" t="str">
        <f t="shared" si="2"/>
        <v>-</v>
      </c>
      <c r="P43" s="332">
        <f t="shared" si="3"/>
        <v>0</v>
      </c>
      <c r="Q43" s="133"/>
      <c r="R43" s="332">
        <f t="shared" si="9"/>
        <v>0</v>
      </c>
      <c r="S43" s="332">
        <f t="shared" si="9"/>
        <v>0</v>
      </c>
      <c r="T43" s="332">
        <f t="shared" si="9"/>
        <v>0</v>
      </c>
      <c r="U43" s="332">
        <f t="shared" si="9"/>
        <v>0</v>
      </c>
      <c r="V43" s="332">
        <f t="shared" si="9"/>
        <v>0</v>
      </c>
      <c r="W43" s="133"/>
      <c r="X43" s="332">
        <f t="shared" si="10"/>
        <v>0</v>
      </c>
      <c r="Y43" s="332">
        <f t="shared" si="10"/>
        <v>0</v>
      </c>
      <c r="Z43" s="332">
        <f t="shared" si="10"/>
        <v>0</v>
      </c>
      <c r="AA43" s="332">
        <f t="shared" si="10"/>
        <v>0</v>
      </c>
      <c r="AB43" s="332">
        <f t="shared" si="10"/>
        <v>0</v>
      </c>
      <c r="AC43" s="136"/>
      <c r="AD43" s="93"/>
    </row>
    <row r="44" spans="2:30">
      <c r="B44" s="93"/>
      <c r="C44" s="131"/>
      <c r="D44" s="169"/>
      <c r="E44" s="169"/>
      <c r="F44" s="567"/>
      <c r="G44" s="170"/>
      <c r="H44" s="314"/>
      <c r="I44" s="170"/>
      <c r="J44" s="170"/>
      <c r="K44" s="133"/>
      <c r="L44" s="135">
        <f t="shared" si="6"/>
        <v>0</v>
      </c>
      <c r="M44" s="332">
        <f t="shared" si="0"/>
        <v>0</v>
      </c>
      <c r="N44" s="332">
        <f t="shared" si="1"/>
        <v>0</v>
      </c>
      <c r="O44" s="767" t="str">
        <f t="shared" si="2"/>
        <v>-</v>
      </c>
      <c r="P44" s="332">
        <f t="shared" si="3"/>
        <v>0</v>
      </c>
      <c r="Q44" s="133"/>
      <c r="R44" s="332">
        <f t="shared" si="9"/>
        <v>0</v>
      </c>
      <c r="S44" s="332">
        <f t="shared" si="9"/>
        <v>0</v>
      </c>
      <c r="T44" s="332">
        <f t="shared" si="9"/>
        <v>0</v>
      </c>
      <c r="U44" s="332">
        <f t="shared" si="9"/>
        <v>0</v>
      </c>
      <c r="V44" s="332">
        <f t="shared" si="9"/>
        <v>0</v>
      </c>
      <c r="W44" s="133"/>
      <c r="X44" s="332">
        <f t="shared" si="10"/>
        <v>0</v>
      </c>
      <c r="Y44" s="332">
        <f t="shared" si="10"/>
        <v>0</v>
      </c>
      <c r="Z44" s="332">
        <f t="shared" si="10"/>
        <v>0</v>
      </c>
      <c r="AA44" s="332">
        <f t="shared" si="10"/>
        <v>0</v>
      </c>
      <c r="AB44" s="332">
        <f t="shared" si="10"/>
        <v>0</v>
      </c>
      <c r="AC44" s="136"/>
      <c r="AD44" s="93"/>
    </row>
    <row r="45" spans="2:30">
      <c r="B45" s="93"/>
      <c r="C45" s="131"/>
      <c r="D45" s="169"/>
      <c r="E45" s="169"/>
      <c r="F45" s="567"/>
      <c r="G45" s="170"/>
      <c r="H45" s="314"/>
      <c r="I45" s="170"/>
      <c r="J45" s="170"/>
      <c r="K45" s="133"/>
      <c r="L45" s="135">
        <f t="shared" si="6"/>
        <v>0</v>
      </c>
      <c r="M45" s="332">
        <f t="shared" si="0"/>
        <v>0</v>
      </c>
      <c r="N45" s="332">
        <f t="shared" si="1"/>
        <v>0</v>
      </c>
      <c r="O45" s="767" t="str">
        <f t="shared" si="2"/>
        <v>-</v>
      </c>
      <c r="P45" s="332">
        <f t="shared" si="3"/>
        <v>0</v>
      </c>
      <c r="Q45" s="133"/>
      <c r="R45" s="332">
        <f t="shared" ref="R45:V54" si="11">(IF(R$9&lt;$I45,0,IF($O45&lt;=R$9-1,0,$N45)))</f>
        <v>0</v>
      </c>
      <c r="S45" s="332">
        <f t="shared" si="11"/>
        <v>0</v>
      </c>
      <c r="T45" s="332">
        <f t="shared" si="11"/>
        <v>0</v>
      </c>
      <c r="U45" s="332">
        <f t="shared" si="11"/>
        <v>0</v>
      </c>
      <c r="V45" s="332">
        <f t="shared" si="11"/>
        <v>0</v>
      </c>
      <c r="W45" s="133"/>
      <c r="X45" s="332">
        <f t="shared" ref="X45:AB54" si="12">IF(X$9=$I45,($G45*$H45),0)</f>
        <v>0</v>
      </c>
      <c r="Y45" s="332">
        <f t="shared" si="12"/>
        <v>0</v>
      </c>
      <c r="Z45" s="332">
        <f t="shared" si="12"/>
        <v>0</v>
      </c>
      <c r="AA45" s="332">
        <f t="shared" si="12"/>
        <v>0</v>
      </c>
      <c r="AB45" s="332">
        <f t="shared" si="12"/>
        <v>0</v>
      </c>
      <c r="AC45" s="136"/>
      <c r="AD45" s="93"/>
    </row>
    <row r="46" spans="2:30">
      <c r="B46" s="93"/>
      <c r="C46" s="131"/>
      <c r="D46" s="169"/>
      <c r="E46" s="169"/>
      <c r="F46" s="567"/>
      <c r="G46" s="170"/>
      <c r="H46" s="314"/>
      <c r="I46" s="170"/>
      <c r="J46" s="170"/>
      <c r="K46" s="133"/>
      <c r="L46" s="135">
        <f t="shared" si="6"/>
        <v>0</v>
      </c>
      <c r="M46" s="332">
        <f t="shared" si="0"/>
        <v>0</v>
      </c>
      <c r="N46" s="332">
        <f t="shared" si="1"/>
        <v>0</v>
      </c>
      <c r="O46" s="767" t="str">
        <f t="shared" si="2"/>
        <v>-</v>
      </c>
      <c r="P46" s="332">
        <f t="shared" si="3"/>
        <v>0</v>
      </c>
      <c r="Q46" s="133"/>
      <c r="R46" s="332">
        <f t="shared" si="11"/>
        <v>0</v>
      </c>
      <c r="S46" s="332">
        <f t="shared" si="11"/>
        <v>0</v>
      </c>
      <c r="T46" s="332">
        <f t="shared" si="11"/>
        <v>0</v>
      </c>
      <c r="U46" s="332">
        <f t="shared" si="11"/>
        <v>0</v>
      </c>
      <c r="V46" s="332">
        <f t="shared" si="11"/>
        <v>0</v>
      </c>
      <c r="W46" s="133"/>
      <c r="X46" s="332">
        <f t="shared" si="12"/>
        <v>0</v>
      </c>
      <c r="Y46" s="332">
        <f t="shared" si="12"/>
        <v>0</v>
      </c>
      <c r="Z46" s="332">
        <f t="shared" si="12"/>
        <v>0</v>
      </c>
      <c r="AA46" s="332">
        <f t="shared" si="12"/>
        <v>0</v>
      </c>
      <c r="AB46" s="332">
        <f t="shared" si="12"/>
        <v>0</v>
      </c>
      <c r="AC46" s="136"/>
      <c r="AD46" s="93"/>
    </row>
    <row r="47" spans="2:30">
      <c r="B47" s="93"/>
      <c r="C47" s="131"/>
      <c r="D47" s="169"/>
      <c r="E47" s="169"/>
      <c r="F47" s="567"/>
      <c r="G47" s="170"/>
      <c r="H47" s="314"/>
      <c r="I47" s="170"/>
      <c r="J47" s="170"/>
      <c r="K47" s="133"/>
      <c r="L47" s="135">
        <f t="shared" si="6"/>
        <v>0</v>
      </c>
      <c r="M47" s="332">
        <f t="shared" si="0"/>
        <v>0</v>
      </c>
      <c r="N47" s="332">
        <f t="shared" si="1"/>
        <v>0</v>
      </c>
      <c r="O47" s="767" t="str">
        <f t="shared" si="2"/>
        <v>-</v>
      </c>
      <c r="P47" s="332">
        <f t="shared" ref="P47:P78" si="13">IF(J47="geen",IF(I47&lt;$R$9,G47*H47,0),IF(I47&gt;=$R$9,0,IF((H47*G47-(R$9-I47)*N47)&lt;0,0,H47*G47-(R$9-I47)*N47)))</f>
        <v>0</v>
      </c>
      <c r="Q47" s="133"/>
      <c r="R47" s="332">
        <f t="shared" si="11"/>
        <v>0</v>
      </c>
      <c r="S47" s="332">
        <f t="shared" si="11"/>
        <v>0</v>
      </c>
      <c r="T47" s="332">
        <f t="shared" si="11"/>
        <v>0</v>
      </c>
      <c r="U47" s="332">
        <f t="shared" si="11"/>
        <v>0</v>
      </c>
      <c r="V47" s="332">
        <f t="shared" si="11"/>
        <v>0</v>
      </c>
      <c r="W47" s="133"/>
      <c r="X47" s="332">
        <f t="shared" si="12"/>
        <v>0</v>
      </c>
      <c r="Y47" s="332">
        <f t="shared" si="12"/>
        <v>0</v>
      </c>
      <c r="Z47" s="332">
        <f t="shared" si="12"/>
        <v>0</v>
      </c>
      <c r="AA47" s="332">
        <f t="shared" si="12"/>
        <v>0</v>
      </c>
      <c r="AB47" s="332">
        <f t="shared" si="12"/>
        <v>0</v>
      </c>
      <c r="AC47" s="136"/>
      <c r="AD47" s="93"/>
    </row>
    <row r="48" spans="2:30">
      <c r="B48" s="93"/>
      <c r="C48" s="131"/>
      <c r="D48" s="169"/>
      <c r="E48" s="169"/>
      <c r="F48" s="567"/>
      <c r="G48" s="170"/>
      <c r="H48" s="314"/>
      <c r="I48" s="170"/>
      <c r="J48" s="170"/>
      <c r="K48" s="133"/>
      <c r="L48" s="135">
        <f t="shared" si="6"/>
        <v>0</v>
      </c>
      <c r="M48" s="332">
        <f t="shared" si="0"/>
        <v>0</v>
      </c>
      <c r="N48" s="332">
        <f t="shared" si="1"/>
        <v>0</v>
      </c>
      <c r="O48" s="767" t="str">
        <f t="shared" si="2"/>
        <v>-</v>
      </c>
      <c r="P48" s="332">
        <f t="shared" si="13"/>
        <v>0</v>
      </c>
      <c r="Q48" s="133"/>
      <c r="R48" s="332">
        <f t="shared" si="11"/>
        <v>0</v>
      </c>
      <c r="S48" s="332">
        <f t="shared" si="11"/>
        <v>0</v>
      </c>
      <c r="T48" s="332">
        <f t="shared" si="11"/>
        <v>0</v>
      </c>
      <c r="U48" s="332">
        <f t="shared" si="11"/>
        <v>0</v>
      </c>
      <c r="V48" s="332">
        <f t="shared" si="11"/>
        <v>0</v>
      </c>
      <c r="W48" s="133"/>
      <c r="X48" s="332">
        <f t="shared" si="12"/>
        <v>0</v>
      </c>
      <c r="Y48" s="332">
        <f t="shared" si="12"/>
        <v>0</v>
      </c>
      <c r="Z48" s="332">
        <f t="shared" si="12"/>
        <v>0</v>
      </c>
      <c r="AA48" s="332">
        <f t="shared" si="12"/>
        <v>0</v>
      </c>
      <c r="AB48" s="332">
        <f t="shared" si="12"/>
        <v>0</v>
      </c>
      <c r="AC48" s="136"/>
      <c r="AD48" s="93"/>
    </row>
    <row r="49" spans="2:30">
      <c r="B49" s="93"/>
      <c r="C49" s="131"/>
      <c r="D49" s="169"/>
      <c r="E49" s="169"/>
      <c r="F49" s="567"/>
      <c r="G49" s="170"/>
      <c r="H49" s="314"/>
      <c r="I49" s="170"/>
      <c r="J49" s="170"/>
      <c r="K49" s="133"/>
      <c r="L49" s="135">
        <f t="shared" si="6"/>
        <v>0</v>
      </c>
      <c r="M49" s="332">
        <f t="shared" si="0"/>
        <v>0</v>
      </c>
      <c r="N49" s="332">
        <f t="shared" si="1"/>
        <v>0</v>
      </c>
      <c r="O49" s="767" t="str">
        <f t="shared" si="2"/>
        <v>-</v>
      </c>
      <c r="P49" s="332">
        <f t="shared" si="13"/>
        <v>0</v>
      </c>
      <c r="Q49" s="133"/>
      <c r="R49" s="332">
        <f t="shared" si="11"/>
        <v>0</v>
      </c>
      <c r="S49" s="332">
        <f t="shared" si="11"/>
        <v>0</v>
      </c>
      <c r="T49" s="332">
        <f t="shared" si="11"/>
        <v>0</v>
      </c>
      <c r="U49" s="332">
        <f t="shared" si="11"/>
        <v>0</v>
      </c>
      <c r="V49" s="332">
        <f t="shared" si="11"/>
        <v>0</v>
      </c>
      <c r="W49" s="133"/>
      <c r="X49" s="332">
        <f t="shared" si="12"/>
        <v>0</v>
      </c>
      <c r="Y49" s="332">
        <f t="shared" si="12"/>
        <v>0</v>
      </c>
      <c r="Z49" s="332">
        <f t="shared" si="12"/>
        <v>0</v>
      </c>
      <c r="AA49" s="332">
        <f t="shared" si="12"/>
        <v>0</v>
      </c>
      <c r="AB49" s="332">
        <f t="shared" si="12"/>
        <v>0</v>
      </c>
      <c r="AC49" s="136"/>
      <c r="AD49" s="93"/>
    </row>
    <row r="50" spans="2:30">
      <c r="B50" s="93"/>
      <c r="C50" s="131"/>
      <c r="D50" s="169"/>
      <c r="E50" s="169"/>
      <c r="F50" s="567"/>
      <c r="G50" s="170"/>
      <c r="H50" s="314"/>
      <c r="I50" s="170"/>
      <c r="J50" s="170"/>
      <c r="K50" s="133"/>
      <c r="L50" s="135">
        <f t="shared" si="6"/>
        <v>0</v>
      </c>
      <c r="M50" s="332">
        <f t="shared" si="0"/>
        <v>0</v>
      </c>
      <c r="N50" s="332">
        <f t="shared" si="1"/>
        <v>0</v>
      </c>
      <c r="O50" s="767" t="str">
        <f t="shared" si="2"/>
        <v>-</v>
      </c>
      <c r="P50" s="332">
        <f t="shared" si="13"/>
        <v>0</v>
      </c>
      <c r="Q50" s="133"/>
      <c r="R50" s="332">
        <f t="shared" si="11"/>
        <v>0</v>
      </c>
      <c r="S50" s="332">
        <f t="shared" si="11"/>
        <v>0</v>
      </c>
      <c r="T50" s="332">
        <f t="shared" si="11"/>
        <v>0</v>
      </c>
      <c r="U50" s="332">
        <f t="shared" si="11"/>
        <v>0</v>
      </c>
      <c r="V50" s="332">
        <f t="shared" si="11"/>
        <v>0</v>
      </c>
      <c r="W50" s="133"/>
      <c r="X50" s="332">
        <f t="shared" si="12"/>
        <v>0</v>
      </c>
      <c r="Y50" s="332">
        <f t="shared" si="12"/>
        <v>0</v>
      </c>
      <c r="Z50" s="332">
        <f t="shared" si="12"/>
        <v>0</v>
      </c>
      <c r="AA50" s="332">
        <f t="shared" si="12"/>
        <v>0</v>
      </c>
      <c r="AB50" s="332">
        <f t="shared" si="12"/>
        <v>0</v>
      </c>
      <c r="AC50" s="136"/>
      <c r="AD50" s="93"/>
    </row>
    <row r="51" spans="2:30">
      <c r="B51" s="93"/>
      <c r="C51" s="131"/>
      <c r="D51" s="169"/>
      <c r="E51" s="169"/>
      <c r="F51" s="567"/>
      <c r="G51" s="170"/>
      <c r="H51" s="314"/>
      <c r="I51" s="170"/>
      <c r="J51" s="170"/>
      <c r="K51" s="133"/>
      <c r="L51" s="135">
        <f t="shared" si="6"/>
        <v>0</v>
      </c>
      <c r="M51" s="332">
        <f t="shared" si="0"/>
        <v>0</v>
      </c>
      <c r="N51" s="332">
        <f t="shared" si="1"/>
        <v>0</v>
      </c>
      <c r="O51" s="767" t="str">
        <f t="shared" si="2"/>
        <v>-</v>
      </c>
      <c r="P51" s="332">
        <f t="shared" si="13"/>
        <v>0</v>
      </c>
      <c r="Q51" s="133"/>
      <c r="R51" s="332">
        <f t="shared" si="11"/>
        <v>0</v>
      </c>
      <c r="S51" s="332">
        <f t="shared" si="11"/>
        <v>0</v>
      </c>
      <c r="T51" s="332">
        <f t="shared" si="11"/>
        <v>0</v>
      </c>
      <c r="U51" s="332">
        <f t="shared" si="11"/>
        <v>0</v>
      </c>
      <c r="V51" s="332">
        <f t="shared" si="11"/>
        <v>0</v>
      </c>
      <c r="W51" s="133"/>
      <c r="X51" s="332">
        <f t="shared" si="12"/>
        <v>0</v>
      </c>
      <c r="Y51" s="332">
        <f t="shared" si="12"/>
        <v>0</v>
      </c>
      <c r="Z51" s="332">
        <f t="shared" si="12"/>
        <v>0</v>
      </c>
      <c r="AA51" s="332">
        <f t="shared" si="12"/>
        <v>0</v>
      </c>
      <c r="AB51" s="332">
        <f t="shared" si="12"/>
        <v>0</v>
      </c>
      <c r="AC51" s="136"/>
      <c r="AD51" s="93"/>
    </row>
    <row r="52" spans="2:30">
      <c r="B52" s="93"/>
      <c r="C52" s="131"/>
      <c r="D52" s="169"/>
      <c r="E52" s="169"/>
      <c r="F52" s="567"/>
      <c r="G52" s="170"/>
      <c r="H52" s="314"/>
      <c r="I52" s="170"/>
      <c r="J52" s="170"/>
      <c r="K52" s="133"/>
      <c r="L52" s="135">
        <f t="shared" si="6"/>
        <v>0</v>
      </c>
      <c r="M52" s="332">
        <f t="shared" si="0"/>
        <v>0</v>
      </c>
      <c r="N52" s="332">
        <f t="shared" si="1"/>
        <v>0</v>
      </c>
      <c r="O52" s="767" t="str">
        <f t="shared" si="2"/>
        <v>-</v>
      </c>
      <c r="P52" s="332">
        <f t="shared" si="13"/>
        <v>0</v>
      </c>
      <c r="Q52" s="133"/>
      <c r="R52" s="332">
        <f t="shared" si="11"/>
        <v>0</v>
      </c>
      <c r="S52" s="332">
        <f t="shared" si="11"/>
        <v>0</v>
      </c>
      <c r="T52" s="332">
        <f t="shared" si="11"/>
        <v>0</v>
      </c>
      <c r="U52" s="332">
        <f t="shared" si="11"/>
        <v>0</v>
      </c>
      <c r="V52" s="332">
        <f t="shared" si="11"/>
        <v>0</v>
      </c>
      <c r="W52" s="133"/>
      <c r="X52" s="332">
        <f t="shared" si="12"/>
        <v>0</v>
      </c>
      <c r="Y52" s="332">
        <f t="shared" si="12"/>
        <v>0</v>
      </c>
      <c r="Z52" s="332">
        <f t="shared" si="12"/>
        <v>0</v>
      </c>
      <c r="AA52" s="332">
        <f t="shared" si="12"/>
        <v>0</v>
      </c>
      <c r="AB52" s="332">
        <f t="shared" si="12"/>
        <v>0</v>
      </c>
      <c r="AC52" s="136"/>
      <c r="AD52" s="93"/>
    </row>
    <row r="53" spans="2:30">
      <c r="B53" s="93"/>
      <c r="C53" s="131"/>
      <c r="D53" s="169"/>
      <c r="E53" s="169"/>
      <c r="F53" s="567"/>
      <c r="G53" s="170"/>
      <c r="H53" s="314"/>
      <c r="I53" s="170"/>
      <c r="J53" s="170"/>
      <c r="K53" s="133"/>
      <c r="L53" s="135">
        <f t="shared" si="6"/>
        <v>0</v>
      </c>
      <c r="M53" s="332">
        <f t="shared" si="0"/>
        <v>0</v>
      </c>
      <c r="N53" s="332">
        <f t="shared" si="1"/>
        <v>0</v>
      </c>
      <c r="O53" s="767" t="str">
        <f t="shared" si="2"/>
        <v>-</v>
      </c>
      <c r="P53" s="332">
        <f t="shared" si="13"/>
        <v>0</v>
      </c>
      <c r="Q53" s="133"/>
      <c r="R53" s="332">
        <f t="shared" si="11"/>
        <v>0</v>
      </c>
      <c r="S53" s="332">
        <f t="shared" si="11"/>
        <v>0</v>
      </c>
      <c r="T53" s="332">
        <f t="shared" si="11"/>
        <v>0</v>
      </c>
      <c r="U53" s="332">
        <f t="shared" si="11"/>
        <v>0</v>
      </c>
      <c r="V53" s="332">
        <f t="shared" si="11"/>
        <v>0</v>
      </c>
      <c r="W53" s="133"/>
      <c r="X53" s="332">
        <f t="shared" si="12"/>
        <v>0</v>
      </c>
      <c r="Y53" s="332">
        <f t="shared" si="12"/>
        <v>0</v>
      </c>
      <c r="Z53" s="332">
        <f t="shared" si="12"/>
        <v>0</v>
      </c>
      <c r="AA53" s="332">
        <f t="shared" si="12"/>
        <v>0</v>
      </c>
      <c r="AB53" s="332">
        <f t="shared" si="12"/>
        <v>0</v>
      </c>
      <c r="AC53" s="136"/>
      <c r="AD53" s="93"/>
    </row>
    <row r="54" spans="2:30">
      <c r="B54" s="93"/>
      <c r="C54" s="131"/>
      <c r="D54" s="169"/>
      <c r="E54" s="169"/>
      <c r="F54" s="567"/>
      <c r="G54" s="170"/>
      <c r="H54" s="314"/>
      <c r="I54" s="170"/>
      <c r="J54" s="170"/>
      <c r="K54" s="133"/>
      <c r="L54" s="135">
        <f t="shared" si="6"/>
        <v>0</v>
      </c>
      <c r="M54" s="332">
        <f t="shared" si="0"/>
        <v>0</v>
      </c>
      <c r="N54" s="332">
        <f t="shared" si="1"/>
        <v>0</v>
      </c>
      <c r="O54" s="767" t="str">
        <f t="shared" si="2"/>
        <v>-</v>
      </c>
      <c r="P54" s="332">
        <f t="shared" si="13"/>
        <v>0</v>
      </c>
      <c r="Q54" s="133"/>
      <c r="R54" s="332">
        <f t="shared" si="11"/>
        <v>0</v>
      </c>
      <c r="S54" s="332">
        <f t="shared" si="11"/>
        <v>0</v>
      </c>
      <c r="T54" s="332">
        <f t="shared" si="11"/>
        <v>0</v>
      </c>
      <c r="U54" s="332">
        <f t="shared" si="11"/>
        <v>0</v>
      </c>
      <c r="V54" s="332">
        <f t="shared" si="11"/>
        <v>0</v>
      </c>
      <c r="W54" s="133"/>
      <c r="X54" s="332">
        <f t="shared" si="12"/>
        <v>0</v>
      </c>
      <c r="Y54" s="332">
        <f t="shared" si="12"/>
        <v>0</v>
      </c>
      <c r="Z54" s="332">
        <f t="shared" si="12"/>
        <v>0</v>
      </c>
      <c r="AA54" s="332">
        <f t="shared" si="12"/>
        <v>0</v>
      </c>
      <c r="AB54" s="332">
        <f t="shared" si="12"/>
        <v>0</v>
      </c>
      <c r="AC54" s="136"/>
      <c r="AD54" s="93"/>
    </row>
    <row r="55" spans="2:30">
      <c r="B55" s="93"/>
      <c r="C55" s="131"/>
      <c r="D55" s="169"/>
      <c r="E55" s="169"/>
      <c r="F55" s="567"/>
      <c r="G55" s="170"/>
      <c r="H55" s="314"/>
      <c r="I55" s="170"/>
      <c r="J55" s="170"/>
      <c r="K55" s="133"/>
      <c r="L55" s="135">
        <f t="shared" si="6"/>
        <v>0</v>
      </c>
      <c r="M55" s="332">
        <f t="shared" si="0"/>
        <v>0</v>
      </c>
      <c r="N55" s="332">
        <f t="shared" si="1"/>
        <v>0</v>
      </c>
      <c r="O55" s="767" t="str">
        <f t="shared" si="2"/>
        <v>-</v>
      </c>
      <c r="P55" s="332">
        <f t="shared" si="13"/>
        <v>0</v>
      </c>
      <c r="Q55" s="133"/>
      <c r="R55" s="332">
        <f t="shared" ref="R55:V64" si="14">(IF(R$9&lt;$I55,0,IF($O55&lt;=R$9-1,0,$N55)))</f>
        <v>0</v>
      </c>
      <c r="S55" s="332">
        <f t="shared" si="14"/>
        <v>0</v>
      </c>
      <c r="T55" s="332">
        <f t="shared" si="14"/>
        <v>0</v>
      </c>
      <c r="U55" s="332">
        <f t="shared" si="14"/>
        <v>0</v>
      </c>
      <c r="V55" s="332">
        <f t="shared" si="14"/>
        <v>0</v>
      </c>
      <c r="W55" s="133"/>
      <c r="X55" s="332">
        <f t="shared" ref="X55:AB64" si="15">IF(X$9=$I55,($G55*$H55),0)</f>
        <v>0</v>
      </c>
      <c r="Y55" s="332">
        <f t="shared" si="15"/>
        <v>0</v>
      </c>
      <c r="Z55" s="332">
        <f t="shared" si="15"/>
        <v>0</v>
      </c>
      <c r="AA55" s="332">
        <f t="shared" si="15"/>
        <v>0</v>
      </c>
      <c r="AB55" s="332">
        <f t="shared" si="15"/>
        <v>0</v>
      </c>
      <c r="AC55" s="136"/>
      <c r="AD55" s="93"/>
    </row>
    <row r="56" spans="2:30">
      <c r="B56" s="93"/>
      <c r="C56" s="131"/>
      <c r="D56" s="169"/>
      <c r="E56" s="169"/>
      <c r="F56" s="567"/>
      <c r="G56" s="170"/>
      <c r="H56" s="314"/>
      <c r="I56" s="170"/>
      <c r="J56" s="170"/>
      <c r="K56" s="133"/>
      <c r="L56" s="135">
        <f t="shared" si="6"/>
        <v>0</v>
      </c>
      <c r="M56" s="332">
        <f t="shared" si="0"/>
        <v>0</v>
      </c>
      <c r="N56" s="332">
        <f t="shared" si="1"/>
        <v>0</v>
      </c>
      <c r="O56" s="767" t="str">
        <f t="shared" si="2"/>
        <v>-</v>
      </c>
      <c r="P56" s="332">
        <f t="shared" si="13"/>
        <v>0</v>
      </c>
      <c r="Q56" s="133"/>
      <c r="R56" s="332">
        <f t="shared" si="14"/>
        <v>0</v>
      </c>
      <c r="S56" s="332">
        <f t="shared" si="14"/>
        <v>0</v>
      </c>
      <c r="T56" s="332">
        <f t="shared" si="14"/>
        <v>0</v>
      </c>
      <c r="U56" s="332">
        <f t="shared" si="14"/>
        <v>0</v>
      </c>
      <c r="V56" s="332">
        <f t="shared" si="14"/>
        <v>0</v>
      </c>
      <c r="W56" s="133"/>
      <c r="X56" s="332">
        <f t="shared" si="15"/>
        <v>0</v>
      </c>
      <c r="Y56" s="332">
        <f t="shared" si="15"/>
        <v>0</v>
      </c>
      <c r="Z56" s="332">
        <f t="shared" si="15"/>
        <v>0</v>
      </c>
      <c r="AA56" s="332">
        <f t="shared" si="15"/>
        <v>0</v>
      </c>
      <c r="AB56" s="332">
        <f t="shared" si="15"/>
        <v>0</v>
      </c>
      <c r="AC56" s="136"/>
      <c r="AD56" s="93"/>
    </row>
    <row r="57" spans="2:30">
      <c r="B57" s="93"/>
      <c r="C57" s="131"/>
      <c r="D57" s="169"/>
      <c r="E57" s="169"/>
      <c r="F57" s="567"/>
      <c r="G57" s="170"/>
      <c r="H57" s="314"/>
      <c r="I57" s="170"/>
      <c r="J57" s="170"/>
      <c r="K57" s="133"/>
      <c r="L57" s="135">
        <f t="shared" si="6"/>
        <v>0</v>
      </c>
      <c r="M57" s="332">
        <f t="shared" si="0"/>
        <v>0</v>
      </c>
      <c r="N57" s="332">
        <f t="shared" si="1"/>
        <v>0</v>
      </c>
      <c r="O57" s="767" t="str">
        <f t="shared" si="2"/>
        <v>-</v>
      </c>
      <c r="P57" s="332">
        <f t="shared" si="13"/>
        <v>0</v>
      </c>
      <c r="Q57" s="133"/>
      <c r="R57" s="332">
        <f t="shared" si="14"/>
        <v>0</v>
      </c>
      <c r="S57" s="332">
        <f t="shared" si="14"/>
        <v>0</v>
      </c>
      <c r="T57" s="332">
        <f t="shared" si="14"/>
        <v>0</v>
      </c>
      <c r="U57" s="332">
        <f t="shared" si="14"/>
        <v>0</v>
      </c>
      <c r="V57" s="332">
        <f t="shared" si="14"/>
        <v>0</v>
      </c>
      <c r="W57" s="133"/>
      <c r="X57" s="332">
        <f t="shared" si="15"/>
        <v>0</v>
      </c>
      <c r="Y57" s="332">
        <f t="shared" si="15"/>
        <v>0</v>
      </c>
      <c r="Z57" s="332">
        <f t="shared" si="15"/>
        <v>0</v>
      </c>
      <c r="AA57" s="332">
        <f t="shared" si="15"/>
        <v>0</v>
      </c>
      <c r="AB57" s="332">
        <f t="shared" si="15"/>
        <v>0</v>
      </c>
      <c r="AC57" s="136"/>
      <c r="AD57" s="93"/>
    </row>
    <row r="58" spans="2:30">
      <c r="B58" s="93"/>
      <c r="C58" s="131"/>
      <c r="D58" s="169"/>
      <c r="E58" s="169"/>
      <c r="F58" s="567"/>
      <c r="G58" s="170"/>
      <c r="H58" s="314"/>
      <c r="I58" s="170"/>
      <c r="J58" s="170"/>
      <c r="K58" s="133"/>
      <c r="L58" s="135">
        <f t="shared" si="6"/>
        <v>0</v>
      </c>
      <c r="M58" s="332">
        <f t="shared" si="0"/>
        <v>0</v>
      </c>
      <c r="N58" s="332">
        <f t="shared" si="1"/>
        <v>0</v>
      </c>
      <c r="O58" s="767" t="str">
        <f t="shared" si="2"/>
        <v>-</v>
      </c>
      <c r="P58" s="332">
        <f t="shared" si="13"/>
        <v>0</v>
      </c>
      <c r="Q58" s="133"/>
      <c r="R58" s="332">
        <f t="shared" si="14"/>
        <v>0</v>
      </c>
      <c r="S58" s="332">
        <f t="shared" si="14"/>
        <v>0</v>
      </c>
      <c r="T58" s="332">
        <f t="shared" si="14"/>
        <v>0</v>
      </c>
      <c r="U58" s="332">
        <f t="shared" si="14"/>
        <v>0</v>
      </c>
      <c r="V58" s="332">
        <f t="shared" si="14"/>
        <v>0</v>
      </c>
      <c r="W58" s="133"/>
      <c r="X58" s="332">
        <f t="shared" si="15"/>
        <v>0</v>
      </c>
      <c r="Y58" s="332">
        <f t="shared" si="15"/>
        <v>0</v>
      </c>
      <c r="Z58" s="332">
        <f t="shared" si="15"/>
        <v>0</v>
      </c>
      <c r="AA58" s="332">
        <f t="shared" si="15"/>
        <v>0</v>
      </c>
      <c r="AB58" s="332">
        <f t="shared" si="15"/>
        <v>0</v>
      </c>
      <c r="AC58" s="136"/>
      <c r="AD58" s="93"/>
    </row>
    <row r="59" spans="2:30">
      <c r="B59" s="93"/>
      <c r="C59" s="131"/>
      <c r="D59" s="169"/>
      <c r="E59" s="169"/>
      <c r="F59" s="567"/>
      <c r="G59" s="170"/>
      <c r="H59" s="314"/>
      <c r="I59" s="170"/>
      <c r="J59" s="170"/>
      <c r="K59" s="133"/>
      <c r="L59" s="135">
        <f t="shared" si="6"/>
        <v>0</v>
      </c>
      <c r="M59" s="332">
        <f t="shared" si="0"/>
        <v>0</v>
      </c>
      <c r="N59" s="332">
        <f t="shared" si="1"/>
        <v>0</v>
      </c>
      <c r="O59" s="767" t="str">
        <f t="shared" si="2"/>
        <v>-</v>
      </c>
      <c r="P59" s="332">
        <f t="shared" si="13"/>
        <v>0</v>
      </c>
      <c r="Q59" s="133"/>
      <c r="R59" s="332">
        <f t="shared" si="14"/>
        <v>0</v>
      </c>
      <c r="S59" s="332">
        <f t="shared" si="14"/>
        <v>0</v>
      </c>
      <c r="T59" s="332">
        <f t="shared" si="14"/>
        <v>0</v>
      </c>
      <c r="U59" s="332">
        <f t="shared" si="14"/>
        <v>0</v>
      </c>
      <c r="V59" s="332">
        <f t="shared" si="14"/>
        <v>0</v>
      </c>
      <c r="W59" s="133"/>
      <c r="X59" s="332">
        <f t="shared" si="15"/>
        <v>0</v>
      </c>
      <c r="Y59" s="332">
        <f t="shared" si="15"/>
        <v>0</v>
      </c>
      <c r="Z59" s="332">
        <f t="shared" si="15"/>
        <v>0</v>
      </c>
      <c r="AA59" s="332">
        <f t="shared" si="15"/>
        <v>0</v>
      </c>
      <c r="AB59" s="332">
        <f t="shared" si="15"/>
        <v>0</v>
      </c>
      <c r="AC59" s="136"/>
      <c r="AD59" s="93"/>
    </row>
    <row r="60" spans="2:30">
      <c r="B60" s="93"/>
      <c r="C60" s="131"/>
      <c r="D60" s="169"/>
      <c r="E60" s="169"/>
      <c r="F60" s="567"/>
      <c r="G60" s="170"/>
      <c r="H60" s="314"/>
      <c r="I60" s="170"/>
      <c r="J60" s="170"/>
      <c r="K60" s="133"/>
      <c r="L60" s="135">
        <f t="shared" si="6"/>
        <v>0</v>
      </c>
      <c r="M60" s="332">
        <f t="shared" si="0"/>
        <v>0</v>
      </c>
      <c r="N60" s="332">
        <f t="shared" si="1"/>
        <v>0</v>
      </c>
      <c r="O60" s="767" t="str">
        <f t="shared" si="2"/>
        <v>-</v>
      </c>
      <c r="P60" s="332">
        <f t="shared" si="13"/>
        <v>0</v>
      </c>
      <c r="Q60" s="133"/>
      <c r="R60" s="332">
        <f t="shared" si="14"/>
        <v>0</v>
      </c>
      <c r="S60" s="332">
        <f t="shared" si="14"/>
        <v>0</v>
      </c>
      <c r="T60" s="332">
        <f t="shared" si="14"/>
        <v>0</v>
      </c>
      <c r="U60" s="332">
        <f t="shared" si="14"/>
        <v>0</v>
      </c>
      <c r="V60" s="332">
        <f t="shared" si="14"/>
        <v>0</v>
      </c>
      <c r="W60" s="133"/>
      <c r="X60" s="332">
        <f t="shared" si="15"/>
        <v>0</v>
      </c>
      <c r="Y60" s="332">
        <f t="shared" si="15"/>
        <v>0</v>
      </c>
      <c r="Z60" s="332">
        <f t="shared" si="15"/>
        <v>0</v>
      </c>
      <c r="AA60" s="332">
        <f t="shared" si="15"/>
        <v>0</v>
      </c>
      <c r="AB60" s="332">
        <f t="shared" si="15"/>
        <v>0</v>
      </c>
      <c r="AC60" s="136"/>
      <c r="AD60" s="93"/>
    </row>
    <row r="61" spans="2:30">
      <c r="B61" s="93"/>
      <c r="C61" s="131"/>
      <c r="D61" s="169"/>
      <c r="E61" s="169"/>
      <c r="F61" s="567"/>
      <c r="G61" s="170"/>
      <c r="H61" s="314"/>
      <c r="I61" s="170"/>
      <c r="J61" s="170"/>
      <c r="K61" s="133"/>
      <c r="L61" s="135">
        <f t="shared" si="6"/>
        <v>0</v>
      </c>
      <c r="M61" s="332">
        <f t="shared" si="0"/>
        <v>0</v>
      </c>
      <c r="N61" s="332">
        <f t="shared" si="1"/>
        <v>0</v>
      </c>
      <c r="O61" s="767" t="str">
        <f t="shared" si="2"/>
        <v>-</v>
      </c>
      <c r="P61" s="332">
        <f t="shared" si="13"/>
        <v>0</v>
      </c>
      <c r="Q61" s="133"/>
      <c r="R61" s="332">
        <f t="shared" si="14"/>
        <v>0</v>
      </c>
      <c r="S61" s="332">
        <f t="shared" si="14"/>
        <v>0</v>
      </c>
      <c r="T61" s="332">
        <f t="shared" si="14"/>
        <v>0</v>
      </c>
      <c r="U61" s="332">
        <f t="shared" si="14"/>
        <v>0</v>
      </c>
      <c r="V61" s="332">
        <f t="shared" si="14"/>
        <v>0</v>
      </c>
      <c r="W61" s="133"/>
      <c r="X61" s="332">
        <f t="shared" si="15"/>
        <v>0</v>
      </c>
      <c r="Y61" s="332">
        <f t="shared" si="15"/>
        <v>0</v>
      </c>
      <c r="Z61" s="332">
        <f t="shared" si="15"/>
        <v>0</v>
      </c>
      <c r="AA61" s="332">
        <f t="shared" si="15"/>
        <v>0</v>
      </c>
      <c r="AB61" s="332">
        <f t="shared" si="15"/>
        <v>0</v>
      </c>
      <c r="AC61" s="136"/>
      <c r="AD61" s="93"/>
    </row>
    <row r="62" spans="2:30">
      <c r="B62" s="93"/>
      <c r="C62" s="131"/>
      <c r="D62" s="169"/>
      <c r="E62" s="169"/>
      <c r="F62" s="567"/>
      <c r="G62" s="170"/>
      <c r="H62" s="314"/>
      <c r="I62" s="170"/>
      <c r="J62" s="170"/>
      <c r="K62" s="133"/>
      <c r="L62" s="135">
        <f t="shared" si="6"/>
        <v>0</v>
      </c>
      <c r="M62" s="332">
        <f t="shared" si="0"/>
        <v>0</v>
      </c>
      <c r="N62" s="332">
        <f t="shared" si="1"/>
        <v>0</v>
      </c>
      <c r="O62" s="767" t="str">
        <f t="shared" si="2"/>
        <v>-</v>
      </c>
      <c r="P62" s="332">
        <f t="shared" si="13"/>
        <v>0</v>
      </c>
      <c r="Q62" s="133"/>
      <c r="R62" s="332">
        <f t="shared" si="14"/>
        <v>0</v>
      </c>
      <c r="S62" s="332">
        <f t="shared" si="14"/>
        <v>0</v>
      </c>
      <c r="T62" s="332">
        <f t="shared" si="14"/>
        <v>0</v>
      </c>
      <c r="U62" s="332">
        <f t="shared" si="14"/>
        <v>0</v>
      </c>
      <c r="V62" s="332">
        <f t="shared" si="14"/>
        <v>0</v>
      </c>
      <c r="W62" s="133"/>
      <c r="X62" s="332">
        <f t="shared" si="15"/>
        <v>0</v>
      </c>
      <c r="Y62" s="332">
        <f t="shared" si="15"/>
        <v>0</v>
      </c>
      <c r="Z62" s="332">
        <f t="shared" si="15"/>
        <v>0</v>
      </c>
      <c r="AA62" s="332">
        <f t="shared" si="15"/>
        <v>0</v>
      </c>
      <c r="AB62" s="332">
        <f t="shared" si="15"/>
        <v>0</v>
      </c>
      <c r="AC62" s="136"/>
      <c r="AD62" s="93"/>
    </row>
    <row r="63" spans="2:30">
      <c r="B63" s="93"/>
      <c r="C63" s="131"/>
      <c r="D63" s="169"/>
      <c r="E63" s="169"/>
      <c r="F63" s="567"/>
      <c r="G63" s="170"/>
      <c r="H63" s="314"/>
      <c r="I63" s="170"/>
      <c r="J63" s="170"/>
      <c r="K63" s="133"/>
      <c r="L63" s="135">
        <f t="shared" si="6"/>
        <v>0</v>
      </c>
      <c r="M63" s="332">
        <f t="shared" si="0"/>
        <v>0</v>
      </c>
      <c r="N63" s="332">
        <f t="shared" si="1"/>
        <v>0</v>
      </c>
      <c r="O63" s="767" t="str">
        <f t="shared" si="2"/>
        <v>-</v>
      </c>
      <c r="P63" s="332">
        <f t="shared" si="13"/>
        <v>0</v>
      </c>
      <c r="Q63" s="133"/>
      <c r="R63" s="332">
        <f t="shared" si="14"/>
        <v>0</v>
      </c>
      <c r="S63" s="332">
        <f t="shared" si="14"/>
        <v>0</v>
      </c>
      <c r="T63" s="332">
        <f t="shared" si="14"/>
        <v>0</v>
      </c>
      <c r="U63" s="332">
        <f t="shared" si="14"/>
        <v>0</v>
      </c>
      <c r="V63" s="332">
        <f t="shared" si="14"/>
        <v>0</v>
      </c>
      <c r="W63" s="133"/>
      <c r="X63" s="332">
        <f t="shared" si="15"/>
        <v>0</v>
      </c>
      <c r="Y63" s="332">
        <f t="shared" si="15"/>
        <v>0</v>
      </c>
      <c r="Z63" s="332">
        <f t="shared" si="15"/>
        <v>0</v>
      </c>
      <c r="AA63" s="332">
        <f t="shared" si="15"/>
        <v>0</v>
      </c>
      <c r="AB63" s="332">
        <f t="shared" si="15"/>
        <v>0</v>
      </c>
      <c r="AC63" s="136"/>
      <c r="AD63" s="93"/>
    </row>
    <row r="64" spans="2:30">
      <c r="B64" s="93"/>
      <c r="C64" s="131"/>
      <c r="D64" s="169"/>
      <c r="E64" s="169"/>
      <c r="F64" s="567"/>
      <c r="G64" s="170"/>
      <c r="H64" s="314"/>
      <c r="I64" s="170"/>
      <c r="J64" s="170"/>
      <c r="K64" s="133"/>
      <c r="L64" s="135">
        <f t="shared" si="6"/>
        <v>0</v>
      </c>
      <c r="M64" s="332">
        <f t="shared" si="0"/>
        <v>0</v>
      </c>
      <c r="N64" s="332">
        <f t="shared" si="1"/>
        <v>0</v>
      </c>
      <c r="O64" s="767" t="str">
        <f t="shared" si="2"/>
        <v>-</v>
      </c>
      <c r="P64" s="332">
        <f t="shared" si="13"/>
        <v>0</v>
      </c>
      <c r="Q64" s="133"/>
      <c r="R64" s="332">
        <f t="shared" si="14"/>
        <v>0</v>
      </c>
      <c r="S64" s="332">
        <f t="shared" si="14"/>
        <v>0</v>
      </c>
      <c r="T64" s="332">
        <f t="shared" si="14"/>
        <v>0</v>
      </c>
      <c r="U64" s="332">
        <f t="shared" si="14"/>
        <v>0</v>
      </c>
      <c r="V64" s="332">
        <f t="shared" si="14"/>
        <v>0</v>
      </c>
      <c r="W64" s="133"/>
      <c r="X64" s="332">
        <f t="shared" si="15"/>
        <v>0</v>
      </c>
      <c r="Y64" s="332">
        <f t="shared" si="15"/>
        <v>0</v>
      </c>
      <c r="Z64" s="332">
        <f t="shared" si="15"/>
        <v>0</v>
      </c>
      <c r="AA64" s="332">
        <f t="shared" si="15"/>
        <v>0</v>
      </c>
      <c r="AB64" s="332">
        <f t="shared" si="15"/>
        <v>0</v>
      </c>
      <c r="AC64" s="136"/>
      <c r="AD64" s="93"/>
    </row>
    <row r="65" spans="2:30">
      <c r="B65" s="93"/>
      <c r="C65" s="131"/>
      <c r="D65" s="169"/>
      <c r="E65" s="169"/>
      <c r="F65" s="567"/>
      <c r="G65" s="170"/>
      <c r="H65" s="314"/>
      <c r="I65" s="170"/>
      <c r="J65" s="170"/>
      <c r="K65" s="133"/>
      <c r="L65" s="135">
        <f t="shared" si="6"/>
        <v>0</v>
      </c>
      <c r="M65" s="332">
        <f t="shared" si="0"/>
        <v>0</v>
      </c>
      <c r="N65" s="332">
        <f t="shared" si="1"/>
        <v>0</v>
      </c>
      <c r="O65" s="767" t="str">
        <f t="shared" si="2"/>
        <v>-</v>
      </c>
      <c r="P65" s="332">
        <f t="shared" si="13"/>
        <v>0</v>
      </c>
      <c r="Q65" s="133"/>
      <c r="R65" s="332">
        <f t="shared" ref="R65:V74" si="16">(IF(R$9&lt;$I65,0,IF($O65&lt;=R$9-1,0,$N65)))</f>
        <v>0</v>
      </c>
      <c r="S65" s="332">
        <f t="shared" si="16"/>
        <v>0</v>
      </c>
      <c r="T65" s="332">
        <f t="shared" si="16"/>
        <v>0</v>
      </c>
      <c r="U65" s="332">
        <f t="shared" si="16"/>
        <v>0</v>
      </c>
      <c r="V65" s="332">
        <f t="shared" si="16"/>
        <v>0</v>
      </c>
      <c r="W65" s="133"/>
      <c r="X65" s="332">
        <f t="shared" ref="X65:AB74" si="17">IF(X$9=$I65,($G65*$H65),0)</f>
        <v>0</v>
      </c>
      <c r="Y65" s="332">
        <f t="shared" si="17"/>
        <v>0</v>
      </c>
      <c r="Z65" s="332">
        <f t="shared" si="17"/>
        <v>0</v>
      </c>
      <c r="AA65" s="332">
        <f t="shared" si="17"/>
        <v>0</v>
      </c>
      <c r="AB65" s="332">
        <f t="shared" si="17"/>
        <v>0</v>
      </c>
      <c r="AC65" s="136"/>
      <c r="AD65" s="93"/>
    </row>
    <row r="66" spans="2:30">
      <c r="B66" s="93"/>
      <c r="C66" s="131"/>
      <c r="D66" s="169"/>
      <c r="E66" s="169"/>
      <c r="F66" s="567"/>
      <c r="G66" s="170"/>
      <c r="H66" s="314"/>
      <c r="I66" s="170"/>
      <c r="J66" s="170"/>
      <c r="K66" s="133"/>
      <c r="L66" s="135">
        <f t="shared" si="6"/>
        <v>0</v>
      </c>
      <c r="M66" s="332">
        <f t="shared" si="0"/>
        <v>0</v>
      </c>
      <c r="N66" s="332">
        <f t="shared" si="1"/>
        <v>0</v>
      </c>
      <c r="O66" s="767" t="str">
        <f t="shared" si="2"/>
        <v>-</v>
      </c>
      <c r="P66" s="332">
        <f t="shared" si="13"/>
        <v>0</v>
      </c>
      <c r="Q66" s="133"/>
      <c r="R66" s="332">
        <f t="shared" si="16"/>
        <v>0</v>
      </c>
      <c r="S66" s="332">
        <f t="shared" si="16"/>
        <v>0</v>
      </c>
      <c r="T66" s="332">
        <f t="shared" si="16"/>
        <v>0</v>
      </c>
      <c r="U66" s="332">
        <f t="shared" si="16"/>
        <v>0</v>
      </c>
      <c r="V66" s="332">
        <f t="shared" si="16"/>
        <v>0</v>
      </c>
      <c r="W66" s="133"/>
      <c r="X66" s="332">
        <f t="shared" si="17"/>
        <v>0</v>
      </c>
      <c r="Y66" s="332">
        <f t="shared" si="17"/>
        <v>0</v>
      </c>
      <c r="Z66" s="332">
        <f t="shared" si="17"/>
        <v>0</v>
      </c>
      <c r="AA66" s="332">
        <f t="shared" si="17"/>
        <v>0</v>
      </c>
      <c r="AB66" s="332">
        <f t="shared" si="17"/>
        <v>0</v>
      </c>
      <c r="AC66" s="136"/>
      <c r="AD66" s="93"/>
    </row>
    <row r="67" spans="2:30">
      <c r="B67" s="93"/>
      <c r="C67" s="131"/>
      <c r="D67" s="169"/>
      <c r="E67" s="169"/>
      <c r="F67" s="567"/>
      <c r="G67" s="170"/>
      <c r="H67" s="314"/>
      <c r="I67" s="170"/>
      <c r="J67" s="170"/>
      <c r="K67" s="133"/>
      <c r="L67" s="135">
        <f t="shared" si="6"/>
        <v>0</v>
      </c>
      <c r="M67" s="332">
        <f t="shared" si="0"/>
        <v>0</v>
      </c>
      <c r="N67" s="332">
        <f t="shared" si="1"/>
        <v>0</v>
      </c>
      <c r="O67" s="767" t="str">
        <f t="shared" si="2"/>
        <v>-</v>
      </c>
      <c r="P67" s="332">
        <f t="shared" si="13"/>
        <v>0</v>
      </c>
      <c r="Q67" s="133"/>
      <c r="R67" s="332">
        <f t="shared" si="16"/>
        <v>0</v>
      </c>
      <c r="S67" s="332">
        <f t="shared" si="16"/>
        <v>0</v>
      </c>
      <c r="T67" s="332">
        <f t="shared" si="16"/>
        <v>0</v>
      </c>
      <c r="U67" s="332">
        <f t="shared" si="16"/>
        <v>0</v>
      </c>
      <c r="V67" s="332">
        <f t="shared" si="16"/>
        <v>0</v>
      </c>
      <c r="W67" s="133"/>
      <c r="X67" s="332">
        <f t="shared" si="17"/>
        <v>0</v>
      </c>
      <c r="Y67" s="332">
        <f t="shared" si="17"/>
        <v>0</v>
      </c>
      <c r="Z67" s="332">
        <f t="shared" si="17"/>
        <v>0</v>
      </c>
      <c r="AA67" s="332">
        <f t="shared" si="17"/>
        <v>0</v>
      </c>
      <c r="AB67" s="332">
        <f t="shared" si="17"/>
        <v>0</v>
      </c>
      <c r="AC67" s="136"/>
      <c r="AD67" s="93"/>
    </row>
    <row r="68" spans="2:30">
      <c r="B68" s="93"/>
      <c r="C68" s="131"/>
      <c r="D68" s="169"/>
      <c r="E68" s="169"/>
      <c r="F68" s="567"/>
      <c r="G68" s="170"/>
      <c r="H68" s="314"/>
      <c r="I68" s="170"/>
      <c r="J68" s="170"/>
      <c r="K68" s="133"/>
      <c r="L68" s="135">
        <f t="shared" si="6"/>
        <v>0</v>
      </c>
      <c r="M68" s="332">
        <f t="shared" si="0"/>
        <v>0</v>
      </c>
      <c r="N68" s="332">
        <f t="shared" si="1"/>
        <v>0</v>
      </c>
      <c r="O68" s="767" t="str">
        <f t="shared" si="2"/>
        <v>-</v>
      </c>
      <c r="P68" s="332">
        <f t="shared" si="13"/>
        <v>0</v>
      </c>
      <c r="Q68" s="133"/>
      <c r="R68" s="332">
        <f t="shared" si="16"/>
        <v>0</v>
      </c>
      <c r="S68" s="332">
        <f t="shared" si="16"/>
        <v>0</v>
      </c>
      <c r="T68" s="332">
        <f t="shared" si="16"/>
        <v>0</v>
      </c>
      <c r="U68" s="332">
        <f t="shared" si="16"/>
        <v>0</v>
      </c>
      <c r="V68" s="332">
        <f t="shared" si="16"/>
        <v>0</v>
      </c>
      <c r="W68" s="133"/>
      <c r="X68" s="332">
        <f t="shared" si="17"/>
        <v>0</v>
      </c>
      <c r="Y68" s="332">
        <f t="shared" si="17"/>
        <v>0</v>
      </c>
      <c r="Z68" s="332">
        <f t="shared" si="17"/>
        <v>0</v>
      </c>
      <c r="AA68" s="332">
        <f t="shared" si="17"/>
        <v>0</v>
      </c>
      <c r="AB68" s="332">
        <f t="shared" si="17"/>
        <v>0</v>
      </c>
      <c r="AC68" s="136"/>
      <c r="AD68" s="93"/>
    </row>
    <row r="69" spans="2:30">
      <c r="B69" s="93"/>
      <c r="C69" s="131"/>
      <c r="D69" s="169"/>
      <c r="E69" s="169"/>
      <c r="F69" s="567"/>
      <c r="G69" s="170"/>
      <c r="H69" s="314"/>
      <c r="I69" s="170"/>
      <c r="J69" s="170"/>
      <c r="K69" s="133"/>
      <c r="L69" s="135">
        <f t="shared" si="6"/>
        <v>0</v>
      </c>
      <c r="M69" s="332">
        <f t="shared" si="0"/>
        <v>0</v>
      </c>
      <c r="N69" s="332">
        <f t="shared" si="1"/>
        <v>0</v>
      </c>
      <c r="O69" s="767" t="str">
        <f t="shared" si="2"/>
        <v>-</v>
      </c>
      <c r="P69" s="332">
        <f t="shared" si="13"/>
        <v>0</v>
      </c>
      <c r="Q69" s="133"/>
      <c r="R69" s="332">
        <f t="shared" si="16"/>
        <v>0</v>
      </c>
      <c r="S69" s="332">
        <f t="shared" si="16"/>
        <v>0</v>
      </c>
      <c r="T69" s="332">
        <f t="shared" si="16"/>
        <v>0</v>
      </c>
      <c r="U69" s="332">
        <f t="shared" si="16"/>
        <v>0</v>
      </c>
      <c r="V69" s="332">
        <f t="shared" si="16"/>
        <v>0</v>
      </c>
      <c r="W69" s="133"/>
      <c r="X69" s="332">
        <f t="shared" si="17"/>
        <v>0</v>
      </c>
      <c r="Y69" s="332">
        <f t="shared" si="17"/>
        <v>0</v>
      </c>
      <c r="Z69" s="332">
        <f t="shared" si="17"/>
        <v>0</v>
      </c>
      <c r="AA69" s="332">
        <f t="shared" si="17"/>
        <v>0</v>
      </c>
      <c r="AB69" s="332">
        <f t="shared" si="17"/>
        <v>0</v>
      </c>
      <c r="AC69" s="136"/>
      <c r="AD69" s="93"/>
    </row>
    <row r="70" spans="2:30">
      <c r="B70" s="93"/>
      <c r="C70" s="131"/>
      <c r="D70" s="169"/>
      <c r="E70" s="169"/>
      <c r="F70" s="567"/>
      <c r="G70" s="170"/>
      <c r="H70" s="314"/>
      <c r="I70" s="170"/>
      <c r="J70" s="170"/>
      <c r="K70" s="133"/>
      <c r="L70" s="135">
        <f t="shared" si="6"/>
        <v>0</v>
      </c>
      <c r="M70" s="332">
        <f t="shared" si="0"/>
        <v>0</v>
      </c>
      <c r="N70" s="332">
        <f t="shared" si="1"/>
        <v>0</v>
      </c>
      <c r="O70" s="767" t="str">
        <f t="shared" si="2"/>
        <v>-</v>
      </c>
      <c r="P70" s="332">
        <f t="shared" si="13"/>
        <v>0</v>
      </c>
      <c r="Q70" s="133"/>
      <c r="R70" s="332">
        <f t="shared" si="16"/>
        <v>0</v>
      </c>
      <c r="S70" s="332">
        <f t="shared" si="16"/>
        <v>0</v>
      </c>
      <c r="T70" s="332">
        <f t="shared" si="16"/>
        <v>0</v>
      </c>
      <c r="U70" s="332">
        <f t="shared" si="16"/>
        <v>0</v>
      </c>
      <c r="V70" s="332">
        <f t="shared" si="16"/>
        <v>0</v>
      </c>
      <c r="W70" s="133"/>
      <c r="X70" s="332">
        <f t="shared" si="17"/>
        <v>0</v>
      </c>
      <c r="Y70" s="332">
        <f t="shared" si="17"/>
        <v>0</v>
      </c>
      <c r="Z70" s="332">
        <f t="shared" si="17"/>
        <v>0</v>
      </c>
      <c r="AA70" s="332">
        <f t="shared" si="17"/>
        <v>0</v>
      </c>
      <c r="AB70" s="332">
        <f t="shared" si="17"/>
        <v>0</v>
      </c>
      <c r="AC70" s="136"/>
      <c r="AD70" s="93"/>
    </row>
    <row r="71" spans="2:30">
      <c r="B71" s="93"/>
      <c r="C71" s="131"/>
      <c r="D71" s="169"/>
      <c r="E71" s="169"/>
      <c r="F71" s="567"/>
      <c r="G71" s="170"/>
      <c r="H71" s="314"/>
      <c r="I71" s="170"/>
      <c r="J71" s="170"/>
      <c r="K71" s="133"/>
      <c r="L71" s="135">
        <f t="shared" si="6"/>
        <v>0</v>
      </c>
      <c r="M71" s="332">
        <f t="shared" si="0"/>
        <v>0</v>
      </c>
      <c r="N71" s="332">
        <f t="shared" si="1"/>
        <v>0</v>
      </c>
      <c r="O71" s="767" t="str">
        <f t="shared" si="2"/>
        <v>-</v>
      </c>
      <c r="P71" s="332">
        <f t="shared" si="13"/>
        <v>0</v>
      </c>
      <c r="Q71" s="133"/>
      <c r="R71" s="332">
        <f t="shared" si="16"/>
        <v>0</v>
      </c>
      <c r="S71" s="332">
        <f t="shared" si="16"/>
        <v>0</v>
      </c>
      <c r="T71" s="332">
        <f t="shared" si="16"/>
        <v>0</v>
      </c>
      <c r="U71" s="332">
        <f t="shared" si="16"/>
        <v>0</v>
      </c>
      <c r="V71" s="332">
        <f t="shared" si="16"/>
        <v>0</v>
      </c>
      <c r="W71" s="133"/>
      <c r="X71" s="332">
        <f t="shared" si="17"/>
        <v>0</v>
      </c>
      <c r="Y71" s="332">
        <f t="shared" si="17"/>
        <v>0</v>
      </c>
      <c r="Z71" s="332">
        <f t="shared" si="17"/>
        <v>0</v>
      </c>
      <c r="AA71" s="332">
        <f t="shared" si="17"/>
        <v>0</v>
      </c>
      <c r="AB71" s="332">
        <f t="shared" si="17"/>
        <v>0</v>
      </c>
      <c r="AC71" s="136"/>
      <c r="AD71" s="93"/>
    </row>
    <row r="72" spans="2:30">
      <c r="B72" s="93"/>
      <c r="C72" s="131"/>
      <c r="D72" s="169"/>
      <c r="E72" s="169"/>
      <c r="F72" s="567"/>
      <c r="G72" s="170"/>
      <c r="H72" s="314"/>
      <c r="I72" s="170"/>
      <c r="J72" s="170"/>
      <c r="K72" s="133"/>
      <c r="L72" s="135">
        <f t="shared" si="6"/>
        <v>0</v>
      </c>
      <c r="M72" s="332">
        <f t="shared" si="0"/>
        <v>0</v>
      </c>
      <c r="N72" s="332">
        <f t="shared" si="1"/>
        <v>0</v>
      </c>
      <c r="O72" s="767" t="str">
        <f t="shared" si="2"/>
        <v>-</v>
      </c>
      <c r="P72" s="332">
        <f t="shared" si="13"/>
        <v>0</v>
      </c>
      <c r="Q72" s="133"/>
      <c r="R72" s="332">
        <f t="shared" si="16"/>
        <v>0</v>
      </c>
      <c r="S72" s="332">
        <f t="shared" si="16"/>
        <v>0</v>
      </c>
      <c r="T72" s="332">
        <f t="shared" si="16"/>
        <v>0</v>
      </c>
      <c r="U72" s="332">
        <f t="shared" si="16"/>
        <v>0</v>
      </c>
      <c r="V72" s="332">
        <f t="shared" si="16"/>
        <v>0</v>
      </c>
      <c r="W72" s="133"/>
      <c r="X72" s="332">
        <f t="shared" si="17"/>
        <v>0</v>
      </c>
      <c r="Y72" s="332">
        <f t="shared" si="17"/>
        <v>0</v>
      </c>
      <c r="Z72" s="332">
        <f t="shared" si="17"/>
        <v>0</v>
      </c>
      <c r="AA72" s="332">
        <f t="shared" si="17"/>
        <v>0</v>
      </c>
      <c r="AB72" s="332">
        <f t="shared" si="17"/>
        <v>0</v>
      </c>
      <c r="AC72" s="136"/>
      <c r="AD72" s="93"/>
    </row>
    <row r="73" spans="2:30">
      <c r="B73" s="93"/>
      <c r="C73" s="131"/>
      <c r="D73" s="169"/>
      <c r="E73" s="169"/>
      <c r="F73" s="567"/>
      <c r="G73" s="170"/>
      <c r="H73" s="314"/>
      <c r="I73" s="170"/>
      <c r="J73" s="170"/>
      <c r="K73" s="133"/>
      <c r="L73" s="135">
        <f t="shared" si="6"/>
        <v>0</v>
      </c>
      <c r="M73" s="332">
        <f t="shared" si="0"/>
        <v>0</v>
      </c>
      <c r="N73" s="332">
        <f t="shared" si="1"/>
        <v>0</v>
      </c>
      <c r="O73" s="767" t="str">
        <f t="shared" si="2"/>
        <v>-</v>
      </c>
      <c r="P73" s="332">
        <f t="shared" si="13"/>
        <v>0</v>
      </c>
      <c r="Q73" s="133"/>
      <c r="R73" s="332">
        <f t="shared" si="16"/>
        <v>0</v>
      </c>
      <c r="S73" s="332">
        <f t="shared" si="16"/>
        <v>0</v>
      </c>
      <c r="T73" s="332">
        <f t="shared" si="16"/>
        <v>0</v>
      </c>
      <c r="U73" s="332">
        <f t="shared" si="16"/>
        <v>0</v>
      </c>
      <c r="V73" s="332">
        <f t="shared" si="16"/>
        <v>0</v>
      </c>
      <c r="W73" s="133"/>
      <c r="X73" s="332">
        <f t="shared" si="17"/>
        <v>0</v>
      </c>
      <c r="Y73" s="332">
        <f t="shared" si="17"/>
        <v>0</v>
      </c>
      <c r="Z73" s="332">
        <f t="shared" si="17"/>
        <v>0</v>
      </c>
      <c r="AA73" s="332">
        <f t="shared" si="17"/>
        <v>0</v>
      </c>
      <c r="AB73" s="332">
        <f t="shared" si="17"/>
        <v>0</v>
      </c>
      <c r="AC73" s="136"/>
      <c r="AD73" s="93"/>
    </row>
    <row r="74" spans="2:30">
      <c r="B74" s="93"/>
      <c r="C74" s="131"/>
      <c r="D74" s="169"/>
      <c r="E74" s="169"/>
      <c r="F74" s="567"/>
      <c r="G74" s="170"/>
      <c r="H74" s="314"/>
      <c r="I74" s="170"/>
      <c r="J74" s="170"/>
      <c r="K74" s="133"/>
      <c r="L74" s="135">
        <f t="shared" si="6"/>
        <v>0</v>
      </c>
      <c r="M74" s="332">
        <f t="shared" si="0"/>
        <v>0</v>
      </c>
      <c r="N74" s="332">
        <f t="shared" si="1"/>
        <v>0</v>
      </c>
      <c r="O74" s="767" t="str">
        <f t="shared" si="2"/>
        <v>-</v>
      </c>
      <c r="P74" s="332">
        <f t="shared" si="13"/>
        <v>0</v>
      </c>
      <c r="Q74" s="133"/>
      <c r="R74" s="332">
        <f t="shared" si="16"/>
        <v>0</v>
      </c>
      <c r="S74" s="332">
        <f t="shared" si="16"/>
        <v>0</v>
      </c>
      <c r="T74" s="332">
        <f t="shared" si="16"/>
        <v>0</v>
      </c>
      <c r="U74" s="332">
        <f t="shared" si="16"/>
        <v>0</v>
      </c>
      <c r="V74" s="332">
        <f t="shared" si="16"/>
        <v>0</v>
      </c>
      <c r="W74" s="133"/>
      <c r="X74" s="332">
        <f t="shared" si="17"/>
        <v>0</v>
      </c>
      <c r="Y74" s="332">
        <f t="shared" si="17"/>
        <v>0</v>
      </c>
      <c r="Z74" s="332">
        <f t="shared" si="17"/>
        <v>0</v>
      </c>
      <c r="AA74" s="332">
        <f t="shared" si="17"/>
        <v>0</v>
      </c>
      <c r="AB74" s="332">
        <f t="shared" si="17"/>
        <v>0</v>
      </c>
      <c r="AC74" s="136"/>
      <c r="AD74" s="93"/>
    </row>
    <row r="75" spans="2:30">
      <c r="B75" s="93"/>
      <c r="C75" s="131"/>
      <c r="D75" s="169"/>
      <c r="E75" s="169"/>
      <c r="F75" s="567"/>
      <c r="G75" s="170"/>
      <c r="H75" s="314"/>
      <c r="I75" s="170"/>
      <c r="J75" s="170"/>
      <c r="K75" s="133"/>
      <c r="L75" s="135">
        <f t="shared" si="6"/>
        <v>0</v>
      </c>
      <c r="M75" s="332">
        <f t="shared" si="0"/>
        <v>0</v>
      </c>
      <c r="N75" s="332">
        <f t="shared" si="1"/>
        <v>0</v>
      </c>
      <c r="O75" s="767" t="str">
        <f t="shared" si="2"/>
        <v>-</v>
      </c>
      <c r="P75" s="332">
        <f t="shared" si="13"/>
        <v>0</v>
      </c>
      <c r="Q75" s="133"/>
      <c r="R75" s="332">
        <f t="shared" ref="R75:V84" si="18">(IF(R$9&lt;$I75,0,IF($O75&lt;=R$9-1,0,$N75)))</f>
        <v>0</v>
      </c>
      <c r="S75" s="332">
        <f t="shared" si="18"/>
        <v>0</v>
      </c>
      <c r="T75" s="332">
        <f t="shared" si="18"/>
        <v>0</v>
      </c>
      <c r="U75" s="332">
        <f t="shared" si="18"/>
        <v>0</v>
      </c>
      <c r="V75" s="332">
        <f t="shared" si="18"/>
        <v>0</v>
      </c>
      <c r="W75" s="133"/>
      <c r="X75" s="332">
        <f t="shared" ref="X75:AB84" si="19">IF(X$9=$I75,($G75*$H75),0)</f>
        <v>0</v>
      </c>
      <c r="Y75" s="332">
        <f t="shared" si="19"/>
        <v>0</v>
      </c>
      <c r="Z75" s="332">
        <f t="shared" si="19"/>
        <v>0</v>
      </c>
      <c r="AA75" s="332">
        <f t="shared" si="19"/>
        <v>0</v>
      </c>
      <c r="AB75" s="332">
        <f t="shared" si="19"/>
        <v>0</v>
      </c>
      <c r="AC75" s="136"/>
      <c r="AD75" s="93"/>
    </row>
    <row r="76" spans="2:30">
      <c r="B76" s="93"/>
      <c r="C76" s="131"/>
      <c r="D76" s="169"/>
      <c r="E76" s="169"/>
      <c r="F76" s="567"/>
      <c r="G76" s="170"/>
      <c r="H76" s="314"/>
      <c r="I76" s="170"/>
      <c r="J76" s="170"/>
      <c r="K76" s="133"/>
      <c r="L76" s="135">
        <f t="shared" si="6"/>
        <v>0</v>
      </c>
      <c r="M76" s="332">
        <f t="shared" si="0"/>
        <v>0</v>
      </c>
      <c r="N76" s="332">
        <f t="shared" si="1"/>
        <v>0</v>
      </c>
      <c r="O76" s="767" t="str">
        <f t="shared" si="2"/>
        <v>-</v>
      </c>
      <c r="P76" s="332">
        <f t="shared" si="13"/>
        <v>0</v>
      </c>
      <c r="Q76" s="133"/>
      <c r="R76" s="332">
        <f t="shared" si="18"/>
        <v>0</v>
      </c>
      <c r="S76" s="332">
        <f t="shared" si="18"/>
        <v>0</v>
      </c>
      <c r="T76" s="332">
        <f t="shared" si="18"/>
        <v>0</v>
      </c>
      <c r="U76" s="332">
        <f t="shared" si="18"/>
        <v>0</v>
      </c>
      <c r="V76" s="332">
        <f t="shared" si="18"/>
        <v>0</v>
      </c>
      <c r="W76" s="133"/>
      <c r="X76" s="332">
        <f t="shared" si="19"/>
        <v>0</v>
      </c>
      <c r="Y76" s="332">
        <f t="shared" si="19"/>
        <v>0</v>
      </c>
      <c r="Z76" s="332">
        <f t="shared" si="19"/>
        <v>0</v>
      </c>
      <c r="AA76" s="332">
        <f t="shared" si="19"/>
        <v>0</v>
      </c>
      <c r="AB76" s="332">
        <f t="shared" si="19"/>
        <v>0</v>
      </c>
      <c r="AC76" s="136"/>
      <c r="AD76" s="93"/>
    </row>
    <row r="77" spans="2:30">
      <c r="B77" s="93"/>
      <c r="C77" s="131"/>
      <c r="D77" s="169"/>
      <c r="E77" s="169"/>
      <c r="F77" s="567"/>
      <c r="G77" s="170"/>
      <c r="H77" s="314"/>
      <c r="I77" s="170"/>
      <c r="J77" s="170"/>
      <c r="K77" s="133"/>
      <c r="L77" s="135">
        <f t="shared" si="6"/>
        <v>0</v>
      </c>
      <c r="M77" s="332">
        <f t="shared" si="0"/>
        <v>0</v>
      </c>
      <c r="N77" s="332">
        <f t="shared" si="1"/>
        <v>0</v>
      </c>
      <c r="O77" s="767" t="str">
        <f t="shared" si="2"/>
        <v>-</v>
      </c>
      <c r="P77" s="332">
        <f t="shared" si="13"/>
        <v>0</v>
      </c>
      <c r="Q77" s="133"/>
      <c r="R77" s="332">
        <f t="shared" si="18"/>
        <v>0</v>
      </c>
      <c r="S77" s="332">
        <f t="shared" si="18"/>
        <v>0</v>
      </c>
      <c r="T77" s="332">
        <f t="shared" si="18"/>
        <v>0</v>
      </c>
      <c r="U77" s="332">
        <f t="shared" si="18"/>
        <v>0</v>
      </c>
      <c r="V77" s="332">
        <f t="shared" si="18"/>
        <v>0</v>
      </c>
      <c r="W77" s="133"/>
      <c r="X77" s="332">
        <f t="shared" si="19"/>
        <v>0</v>
      </c>
      <c r="Y77" s="332">
        <f t="shared" si="19"/>
        <v>0</v>
      </c>
      <c r="Z77" s="332">
        <f t="shared" si="19"/>
        <v>0</v>
      </c>
      <c r="AA77" s="332">
        <f t="shared" si="19"/>
        <v>0</v>
      </c>
      <c r="AB77" s="332">
        <f t="shared" si="19"/>
        <v>0</v>
      </c>
      <c r="AC77" s="136"/>
      <c r="AD77" s="93"/>
    </row>
    <row r="78" spans="2:30">
      <c r="B78" s="93"/>
      <c r="C78" s="131"/>
      <c r="D78" s="169"/>
      <c r="E78" s="169"/>
      <c r="F78" s="567"/>
      <c r="G78" s="170"/>
      <c r="H78" s="314"/>
      <c r="I78" s="170"/>
      <c r="J78" s="170"/>
      <c r="K78" s="133"/>
      <c r="L78" s="135">
        <f t="shared" si="6"/>
        <v>0</v>
      </c>
      <c r="M78" s="332">
        <f t="shared" si="0"/>
        <v>0</v>
      </c>
      <c r="N78" s="332">
        <f t="shared" si="1"/>
        <v>0</v>
      </c>
      <c r="O78" s="767" t="str">
        <f t="shared" si="2"/>
        <v>-</v>
      </c>
      <c r="P78" s="332">
        <f t="shared" si="13"/>
        <v>0</v>
      </c>
      <c r="Q78" s="133"/>
      <c r="R78" s="332">
        <f t="shared" si="18"/>
        <v>0</v>
      </c>
      <c r="S78" s="332">
        <f t="shared" si="18"/>
        <v>0</v>
      </c>
      <c r="T78" s="332">
        <f t="shared" si="18"/>
        <v>0</v>
      </c>
      <c r="U78" s="332">
        <f t="shared" si="18"/>
        <v>0</v>
      </c>
      <c r="V78" s="332">
        <f t="shared" si="18"/>
        <v>0</v>
      </c>
      <c r="W78" s="133"/>
      <c r="X78" s="332">
        <f t="shared" si="19"/>
        <v>0</v>
      </c>
      <c r="Y78" s="332">
        <f t="shared" si="19"/>
        <v>0</v>
      </c>
      <c r="Z78" s="332">
        <f t="shared" si="19"/>
        <v>0</v>
      </c>
      <c r="AA78" s="332">
        <f t="shared" si="19"/>
        <v>0</v>
      </c>
      <c r="AB78" s="332">
        <f t="shared" si="19"/>
        <v>0</v>
      </c>
      <c r="AC78" s="136"/>
      <c r="AD78" s="93"/>
    </row>
    <row r="79" spans="2:30">
      <c r="B79" s="93"/>
      <c r="C79" s="131"/>
      <c r="D79" s="169"/>
      <c r="E79" s="169"/>
      <c r="F79" s="567"/>
      <c r="G79" s="170"/>
      <c r="H79" s="314"/>
      <c r="I79" s="170"/>
      <c r="J79" s="170"/>
      <c r="K79" s="133"/>
      <c r="L79" s="135">
        <f t="shared" si="6"/>
        <v>0</v>
      </c>
      <c r="M79" s="332">
        <f t="shared" ref="M79:M141" si="20">G79*H79</f>
        <v>0</v>
      </c>
      <c r="N79" s="332">
        <f t="shared" ref="N79:N141" si="21">IF(G79=0,0,(G79*H79)/L79)</f>
        <v>0</v>
      </c>
      <c r="O79" s="767" t="str">
        <f t="shared" ref="O79:O141" si="22">IF(L79=0,"-",(IF(L79&gt;3000,"-",I79+L79-1)))</f>
        <v>-</v>
      </c>
      <c r="P79" s="332">
        <f t="shared" ref="P79:P109" si="23">IF(J79="geen",IF(I79&lt;$R$9,G79*H79,0),IF(I79&gt;=$R$9,0,IF((H79*G79-(R$9-I79)*N79)&lt;0,0,H79*G79-(R$9-I79)*N79)))</f>
        <v>0</v>
      </c>
      <c r="Q79" s="133"/>
      <c r="R79" s="332">
        <f t="shared" si="18"/>
        <v>0</v>
      </c>
      <c r="S79" s="332">
        <f t="shared" si="18"/>
        <v>0</v>
      </c>
      <c r="T79" s="332">
        <f t="shared" si="18"/>
        <v>0</v>
      </c>
      <c r="U79" s="332">
        <f t="shared" si="18"/>
        <v>0</v>
      </c>
      <c r="V79" s="332">
        <f t="shared" si="18"/>
        <v>0</v>
      </c>
      <c r="W79" s="133"/>
      <c r="X79" s="332">
        <f t="shared" si="19"/>
        <v>0</v>
      </c>
      <c r="Y79" s="332">
        <f t="shared" si="19"/>
        <v>0</v>
      </c>
      <c r="Z79" s="332">
        <f t="shared" si="19"/>
        <v>0</v>
      </c>
      <c r="AA79" s="332">
        <f t="shared" si="19"/>
        <v>0</v>
      </c>
      <c r="AB79" s="332">
        <f t="shared" si="19"/>
        <v>0</v>
      </c>
      <c r="AC79" s="136"/>
      <c r="AD79" s="93"/>
    </row>
    <row r="80" spans="2:30">
      <c r="B80" s="93"/>
      <c r="C80" s="131"/>
      <c r="D80" s="169"/>
      <c r="E80" s="169"/>
      <c r="F80" s="567"/>
      <c r="G80" s="170"/>
      <c r="H80" s="314"/>
      <c r="I80" s="170"/>
      <c r="J80" s="170"/>
      <c r="K80" s="133"/>
      <c r="L80" s="135">
        <f t="shared" ref="L80:L142" si="24">IF(J80="geen",9999999999,J80)</f>
        <v>0</v>
      </c>
      <c r="M80" s="332">
        <f t="shared" si="20"/>
        <v>0</v>
      </c>
      <c r="N80" s="332">
        <f t="shared" si="21"/>
        <v>0</v>
      </c>
      <c r="O80" s="767" t="str">
        <f t="shared" si="22"/>
        <v>-</v>
      </c>
      <c r="P80" s="332">
        <f t="shared" si="23"/>
        <v>0</v>
      </c>
      <c r="Q80" s="133"/>
      <c r="R80" s="332">
        <f t="shared" si="18"/>
        <v>0</v>
      </c>
      <c r="S80" s="332">
        <f t="shared" si="18"/>
        <v>0</v>
      </c>
      <c r="T80" s="332">
        <f t="shared" si="18"/>
        <v>0</v>
      </c>
      <c r="U80" s="332">
        <f t="shared" si="18"/>
        <v>0</v>
      </c>
      <c r="V80" s="332">
        <f t="shared" si="18"/>
        <v>0</v>
      </c>
      <c r="W80" s="133"/>
      <c r="X80" s="332">
        <f t="shared" si="19"/>
        <v>0</v>
      </c>
      <c r="Y80" s="332">
        <f t="shared" si="19"/>
        <v>0</v>
      </c>
      <c r="Z80" s="332">
        <f t="shared" si="19"/>
        <v>0</v>
      </c>
      <c r="AA80" s="332">
        <f t="shared" si="19"/>
        <v>0</v>
      </c>
      <c r="AB80" s="332">
        <f t="shared" si="19"/>
        <v>0</v>
      </c>
      <c r="AC80" s="136"/>
      <c r="AD80" s="93"/>
    </row>
    <row r="81" spans="2:30">
      <c r="B81" s="93"/>
      <c r="C81" s="131"/>
      <c r="D81" s="169"/>
      <c r="E81" s="169"/>
      <c r="F81" s="567"/>
      <c r="G81" s="170"/>
      <c r="H81" s="314"/>
      <c r="I81" s="170"/>
      <c r="J81" s="170"/>
      <c r="K81" s="133"/>
      <c r="L81" s="135">
        <f t="shared" si="24"/>
        <v>0</v>
      </c>
      <c r="M81" s="332">
        <f t="shared" si="20"/>
        <v>0</v>
      </c>
      <c r="N81" s="332">
        <f t="shared" si="21"/>
        <v>0</v>
      </c>
      <c r="O81" s="767" t="str">
        <f t="shared" si="22"/>
        <v>-</v>
      </c>
      <c r="P81" s="332">
        <f t="shared" si="23"/>
        <v>0</v>
      </c>
      <c r="Q81" s="133"/>
      <c r="R81" s="332">
        <f t="shared" si="18"/>
        <v>0</v>
      </c>
      <c r="S81" s="332">
        <f t="shared" si="18"/>
        <v>0</v>
      </c>
      <c r="T81" s="332">
        <f t="shared" si="18"/>
        <v>0</v>
      </c>
      <c r="U81" s="332">
        <f t="shared" si="18"/>
        <v>0</v>
      </c>
      <c r="V81" s="332">
        <f t="shared" si="18"/>
        <v>0</v>
      </c>
      <c r="W81" s="133"/>
      <c r="X81" s="332">
        <f t="shared" si="19"/>
        <v>0</v>
      </c>
      <c r="Y81" s="332">
        <f t="shared" si="19"/>
        <v>0</v>
      </c>
      <c r="Z81" s="332">
        <f t="shared" si="19"/>
        <v>0</v>
      </c>
      <c r="AA81" s="332">
        <f t="shared" si="19"/>
        <v>0</v>
      </c>
      <c r="AB81" s="332">
        <f t="shared" si="19"/>
        <v>0</v>
      </c>
      <c r="AC81" s="136"/>
      <c r="AD81" s="93"/>
    </row>
    <row r="82" spans="2:30">
      <c r="B82" s="93"/>
      <c r="C82" s="131"/>
      <c r="D82" s="169"/>
      <c r="E82" s="169"/>
      <c r="F82" s="567"/>
      <c r="G82" s="170"/>
      <c r="H82" s="314"/>
      <c r="I82" s="170"/>
      <c r="J82" s="170"/>
      <c r="K82" s="133"/>
      <c r="L82" s="135">
        <f t="shared" si="24"/>
        <v>0</v>
      </c>
      <c r="M82" s="332">
        <f t="shared" si="20"/>
        <v>0</v>
      </c>
      <c r="N82" s="332">
        <f t="shared" si="21"/>
        <v>0</v>
      </c>
      <c r="O82" s="767" t="str">
        <f t="shared" si="22"/>
        <v>-</v>
      </c>
      <c r="P82" s="332">
        <f t="shared" si="23"/>
        <v>0</v>
      </c>
      <c r="Q82" s="133"/>
      <c r="R82" s="332">
        <f t="shared" si="18"/>
        <v>0</v>
      </c>
      <c r="S82" s="332">
        <f t="shared" si="18"/>
        <v>0</v>
      </c>
      <c r="T82" s="332">
        <f t="shared" si="18"/>
        <v>0</v>
      </c>
      <c r="U82" s="332">
        <f t="shared" si="18"/>
        <v>0</v>
      </c>
      <c r="V82" s="332">
        <f t="shared" si="18"/>
        <v>0</v>
      </c>
      <c r="W82" s="133"/>
      <c r="X82" s="332">
        <f t="shared" si="19"/>
        <v>0</v>
      </c>
      <c r="Y82" s="332">
        <f t="shared" si="19"/>
        <v>0</v>
      </c>
      <c r="Z82" s="332">
        <f t="shared" si="19"/>
        <v>0</v>
      </c>
      <c r="AA82" s="332">
        <f t="shared" si="19"/>
        <v>0</v>
      </c>
      <c r="AB82" s="332">
        <f t="shared" si="19"/>
        <v>0</v>
      </c>
      <c r="AC82" s="136"/>
      <c r="AD82" s="93"/>
    </row>
    <row r="83" spans="2:30">
      <c r="B83" s="93"/>
      <c r="C83" s="131"/>
      <c r="D83" s="169"/>
      <c r="E83" s="169"/>
      <c r="F83" s="567"/>
      <c r="G83" s="170"/>
      <c r="H83" s="314"/>
      <c r="I83" s="170"/>
      <c r="J83" s="170"/>
      <c r="K83" s="133"/>
      <c r="L83" s="135">
        <f t="shared" si="24"/>
        <v>0</v>
      </c>
      <c r="M83" s="332">
        <f t="shared" si="20"/>
        <v>0</v>
      </c>
      <c r="N83" s="332">
        <f t="shared" si="21"/>
        <v>0</v>
      </c>
      <c r="O83" s="767" t="str">
        <f t="shared" si="22"/>
        <v>-</v>
      </c>
      <c r="P83" s="332">
        <f t="shared" si="23"/>
        <v>0</v>
      </c>
      <c r="Q83" s="133"/>
      <c r="R83" s="332">
        <f t="shared" si="18"/>
        <v>0</v>
      </c>
      <c r="S83" s="332">
        <f t="shared" si="18"/>
        <v>0</v>
      </c>
      <c r="T83" s="332">
        <f t="shared" si="18"/>
        <v>0</v>
      </c>
      <c r="U83" s="332">
        <f t="shared" si="18"/>
        <v>0</v>
      </c>
      <c r="V83" s="332">
        <f t="shared" si="18"/>
        <v>0</v>
      </c>
      <c r="W83" s="133"/>
      <c r="X83" s="332">
        <f t="shared" si="19"/>
        <v>0</v>
      </c>
      <c r="Y83" s="332">
        <f t="shared" si="19"/>
        <v>0</v>
      </c>
      <c r="Z83" s="332">
        <f t="shared" si="19"/>
        <v>0</v>
      </c>
      <c r="AA83" s="332">
        <f t="shared" si="19"/>
        <v>0</v>
      </c>
      <c r="AB83" s="332">
        <f t="shared" si="19"/>
        <v>0</v>
      </c>
      <c r="AC83" s="136"/>
      <c r="AD83" s="93"/>
    </row>
    <row r="84" spans="2:30">
      <c r="B84" s="93"/>
      <c r="C84" s="131"/>
      <c r="D84" s="169"/>
      <c r="E84" s="169"/>
      <c r="F84" s="567"/>
      <c r="G84" s="170"/>
      <c r="H84" s="314"/>
      <c r="I84" s="170"/>
      <c r="J84" s="170"/>
      <c r="K84" s="133"/>
      <c r="L84" s="135">
        <f t="shared" si="24"/>
        <v>0</v>
      </c>
      <c r="M84" s="332">
        <f t="shared" si="20"/>
        <v>0</v>
      </c>
      <c r="N84" s="332">
        <f t="shared" si="21"/>
        <v>0</v>
      </c>
      <c r="O84" s="767" t="str">
        <f t="shared" si="22"/>
        <v>-</v>
      </c>
      <c r="P84" s="332">
        <f t="shared" si="23"/>
        <v>0</v>
      </c>
      <c r="Q84" s="133"/>
      <c r="R84" s="332">
        <f t="shared" si="18"/>
        <v>0</v>
      </c>
      <c r="S84" s="332">
        <f t="shared" si="18"/>
        <v>0</v>
      </c>
      <c r="T84" s="332">
        <f t="shared" si="18"/>
        <v>0</v>
      </c>
      <c r="U84" s="332">
        <f t="shared" si="18"/>
        <v>0</v>
      </c>
      <c r="V84" s="332">
        <f t="shared" si="18"/>
        <v>0</v>
      </c>
      <c r="W84" s="133"/>
      <c r="X84" s="332">
        <f t="shared" si="19"/>
        <v>0</v>
      </c>
      <c r="Y84" s="332">
        <f t="shared" si="19"/>
        <v>0</v>
      </c>
      <c r="Z84" s="332">
        <f t="shared" si="19"/>
        <v>0</v>
      </c>
      <c r="AA84" s="332">
        <f t="shared" si="19"/>
        <v>0</v>
      </c>
      <c r="AB84" s="332">
        <f t="shared" si="19"/>
        <v>0</v>
      </c>
      <c r="AC84" s="136"/>
      <c r="AD84" s="93"/>
    </row>
    <row r="85" spans="2:30">
      <c r="B85" s="93"/>
      <c r="C85" s="131"/>
      <c r="D85" s="169"/>
      <c r="E85" s="169"/>
      <c r="F85" s="567"/>
      <c r="G85" s="170"/>
      <c r="H85" s="314"/>
      <c r="I85" s="170"/>
      <c r="J85" s="170"/>
      <c r="K85" s="133"/>
      <c r="L85" s="135">
        <f t="shared" si="24"/>
        <v>0</v>
      </c>
      <c r="M85" s="332">
        <f t="shared" si="20"/>
        <v>0</v>
      </c>
      <c r="N85" s="332">
        <f t="shared" si="21"/>
        <v>0</v>
      </c>
      <c r="O85" s="767" t="str">
        <f t="shared" si="22"/>
        <v>-</v>
      </c>
      <c r="P85" s="332">
        <f t="shared" si="23"/>
        <v>0</v>
      </c>
      <c r="Q85" s="133"/>
      <c r="R85" s="332">
        <f t="shared" ref="R85:V94" si="25">(IF(R$9&lt;$I85,0,IF($O85&lt;=R$9-1,0,$N85)))</f>
        <v>0</v>
      </c>
      <c r="S85" s="332">
        <f t="shared" si="25"/>
        <v>0</v>
      </c>
      <c r="T85" s="332">
        <f t="shared" si="25"/>
        <v>0</v>
      </c>
      <c r="U85" s="332">
        <f t="shared" si="25"/>
        <v>0</v>
      </c>
      <c r="V85" s="332">
        <f t="shared" si="25"/>
        <v>0</v>
      </c>
      <c r="W85" s="133"/>
      <c r="X85" s="332">
        <f t="shared" ref="X85:AB94" si="26">IF(X$9=$I85,($G85*$H85),0)</f>
        <v>0</v>
      </c>
      <c r="Y85" s="332">
        <f t="shared" si="26"/>
        <v>0</v>
      </c>
      <c r="Z85" s="332">
        <f t="shared" si="26"/>
        <v>0</v>
      </c>
      <c r="AA85" s="332">
        <f t="shared" si="26"/>
        <v>0</v>
      </c>
      <c r="AB85" s="332">
        <f t="shared" si="26"/>
        <v>0</v>
      </c>
      <c r="AC85" s="136"/>
      <c r="AD85" s="93"/>
    </row>
    <row r="86" spans="2:30">
      <c r="B86" s="93"/>
      <c r="C86" s="131"/>
      <c r="D86" s="169"/>
      <c r="E86" s="169"/>
      <c r="F86" s="567"/>
      <c r="G86" s="170"/>
      <c r="H86" s="314"/>
      <c r="I86" s="170"/>
      <c r="J86" s="170"/>
      <c r="K86" s="133"/>
      <c r="L86" s="135">
        <f t="shared" si="24"/>
        <v>0</v>
      </c>
      <c r="M86" s="332">
        <f t="shared" si="20"/>
        <v>0</v>
      </c>
      <c r="N86" s="332">
        <f t="shared" si="21"/>
        <v>0</v>
      </c>
      <c r="O86" s="767" t="str">
        <f t="shared" si="22"/>
        <v>-</v>
      </c>
      <c r="P86" s="332">
        <f t="shared" si="23"/>
        <v>0</v>
      </c>
      <c r="Q86" s="133"/>
      <c r="R86" s="332">
        <f t="shared" si="25"/>
        <v>0</v>
      </c>
      <c r="S86" s="332">
        <f t="shared" si="25"/>
        <v>0</v>
      </c>
      <c r="T86" s="332">
        <f t="shared" si="25"/>
        <v>0</v>
      </c>
      <c r="U86" s="332">
        <f t="shared" si="25"/>
        <v>0</v>
      </c>
      <c r="V86" s="332">
        <f t="shared" si="25"/>
        <v>0</v>
      </c>
      <c r="W86" s="133"/>
      <c r="X86" s="332">
        <f t="shared" si="26"/>
        <v>0</v>
      </c>
      <c r="Y86" s="332">
        <f t="shared" si="26"/>
        <v>0</v>
      </c>
      <c r="Z86" s="332">
        <f t="shared" si="26"/>
        <v>0</v>
      </c>
      <c r="AA86" s="332">
        <f t="shared" si="26"/>
        <v>0</v>
      </c>
      <c r="AB86" s="332">
        <f t="shared" si="26"/>
        <v>0</v>
      </c>
      <c r="AC86" s="136"/>
      <c r="AD86" s="93"/>
    </row>
    <row r="87" spans="2:30">
      <c r="B87" s="93"/>
      <c r="C87" s="131"/>
      <c r="D87" s="169"/>
      <c r="E87" s="169"/>
      <c r="F87" s="567"/>
      <c r="G87" s="170"/>
      <c r="H87" s="314"/>
      <c r="I87" s="170"/>
      <c r="J87" s="170"/>
      <c r="K87" s="133"/>
      <c r="L87" s="135">
        <f t="shared" si="24"/>
        <v>0</v>
      </c>
      <c r="M87" s="332">
        <f t="shared" si="20"/>
        <v>0</v>
      </c>
      <c r="N87" s="332">
        <f t="shared" si="21"/>
        <v>0</v>
      </c>
      <c r="O87" s="767" t="str">
        <f t="shared" si="22"/>
        <v>-</v>
      </c>
      <c r="P87" s="332">
        <f t="shared" si="23"/>
        <v>0</v>
      </c>
      <c r="Q87" s="133"/>
      <c r="R87" s="332">
        <f t="shared" si="25"/>
        <v>0</v>
      </c>
      <c r="S87" s="332">
        <f t="shared" si="25"/>
        <v>0</v>
      </c>
      <c r="T87" s="332">
        <f t="shared" si="25"/>
        <v>0</v>
      </c>
      <c r="U87" s="332">
        <f t="shared" si="25"/>
        <v>0</v>
      </c>
      <c r="V87" s="332">
        <f t="shared" si="25"/>
        <v>0</v>
      </c>
      <c r="W87" s="133"/>
      <c r="X87" s="332">
        <f t="shared" si="26"/>
        <v>0</v>
      </c>
      <c r="Y87" s="332">
        <f t="shared" si="26"/>
        <v>0</v>
      </c>
      <c r="Z87" s="332">
        <f t="shared" si="26"/>
        <v>0</v>
      </c>
      <c r="AA87" s="332">
        <f t="shared" si="26"/>
        <v>0</v>
      </c>
      <c r="AB87" s="332">
        <f t="shared" si="26"/>
        <v>0</v>
      </c>
      <c r="AC87" s="136"/>
      <c r="AD87" s="93"/>
    </row>
    <row r="88" spans="2:30">
      <c r="B88" s="93"/>
      <c r="C88" s="131"/>
      <c r="D88" s="169"/>
      <c r="E88" s="169"/>
      <c r="F88" s="567"/>
      <c r="G88" s="170"/>
      <c r="H88" s="314"/>
      <c r="I88" s="170"/>
      <c r="J88" s="170"/>
      <c r="K88" s="133"/>
      <c r="L88" s="135">
        <f t="shared" si="24"/>
        <v>0</v>
      </c>
      <c r="M88" s="332">
        <f t="shared" si="20"/>
        <v>0</v>
      </c>
      <c r="N88" s="332">
        <f t="shared" si="21"/>
        <v>0</v>
      </c>
      <c r="O88" s="767" t="str">
        <f t="shared" si="22"/>
        <v>-</v>
      </c>
      <c r="P88" s="332">
        <f t="shared" si="23"/>
        <v>0</v>
      </c>
      <c r="Q88" s="133"/>
      <c r="R88" s="332">
        <f t="shared" si="25"/>
        <v>0</v>
      </c>
      <c r="S88" s="332">
        <f t="shared" si="25"/>
        <v>0</v>
      </c>
      <c r="T88" s="332">
        <f t="shared" si="25"/>
        <v>0</v>
      </c>
      <c r="U88" s="332">
        <f t="shared" si="25"/>
        <v>0</v>
      </c>
      <c r="V88" s="332">
        <f t="shared" si="25"/>
        <v>0</v>
      </c>
      <c r="W88" s="133"/>
      <c r="X88" s="332">
        <f t="shared" si="26"/>
        <v>0</v>
      </c>
      <c r="Y88" s="332">
        <f t="shared" si="26"/>
        <v>0</v>
      </c>
      <c r="Z88" s="332">
        <f t="shared" si="26"/>
        <v>0</v>
      </c>
      <c r="AA88" s="332">
        <f t="shared" si="26"/>
        <v>0</v>
      </c>
      <c r="AB88" s="332">
        <f t="shared" si="26"/>
        <v>0</v>
      </c>
      <c r="AC88" s="136"/>
      <c r="AD88" s="93"/>
    </row>
    <row r="89" spans="2:30" ht="12.75" customHeight="1">
      <c r="B89" s="93"/>
      <c r="C89" s="131"/>
      <c r="D89" s="169"/>
      <c r="E89" s="169"/>
      <c r="F89" s="567"/>
      <c r="G89" s="170"/>
      <c r="H89" s="314"/>
      <c r="I89" s="170"/>
      <c r="J89" s="170"/>
      <c r="K89" s="133"/>
      <c r="L89" s="135">
        <f t="shared" si="24"/>
        <v>0</v>
      </c>
      <c r="M89" s="332">
        <f t="shared" si="20"/>
        <v>0</v>
      </c>
      <c r="N89" s="332">
        <f t="shared" si="21"/>
        <v>0</v>
      </c>
      <c r="O89" s="767" t="str">
        <f t="shared" si="22"/>
        <v>-</v>
      </c>
      <c r="P89" s="332">
        <f t="shared" si="23"/>
        <v>0</v>
      </c>
      <c r="Q89" s="133"/>
      <c r="R89" s="332">
        <f t="shared" si="25"/>
        <v>0</v>
      </c>
      <c r="S89" s="332">
        <f t="shared" si="25"/>
        <v>0</v>
      </c>
      <c r="T89" s="332">
        <f t="shared" si="25"/>
        <v>0</v>
      </c>
      <c r="U89" s="332">
        <f t="shared" si="25"/>
        <v>0</v>
      </c>
      <c r="V89" s="332">
        <f t="shared" si="25"/>
        <v>0</v>
      </c>
      <c r="W89" s="133"/>
      <c r="X89" s="332">
        <f t="shared" si="26"/>
        <v>0</v>
      </c>
      <c r="Y89" s="332">
        <f t="shared" si="26"/>
        <v>0</v>
      </c>
      <c r="Z89" s="332">
        <f t="shared" si="26"/>
        <v>0</v>
      </c>
      <c r="AA89" s="332">
        <f t="shared" si="26"/>
        <v>0</v>
      </c>
      <c r="AB89" s="332">
        <f t="shared" si="26"/>
        <v>0</v>
      </c>
      <c r="AC89" s="136"/>
      <c r="AD89" s="93"/>
    </row>
    <row r="90" spans="2:30" ht="12.75" customHeight="1">
      <c r="B90" s="93"/>
      <c r="C90" s="131"/>
      <c r="D90" s="169"/>
      <c r="E90" s="169"/>
      <c r="F90" s="567"/>
      <c r="G90" s="170"/>
      <c r="H90" s="314"/>
      <c r="I90" s="170"/>
      <c r="J90" s="170"/>
      <c r="K90" s="133"/>
      <c r="L90" s="135">
        <f t="shared" si="24"/>
        <v>0</v>
      </c>
      <c r="M90" s="332">
        <f t="shared" si="20"/>
        <v>0</v>
      </c>
      <c r="N90" s="332">
        <f t="shared" si="21"/>
        <v>0</v>
      </c>
      <c r="O90" s="767" t="str">
        <f t="shared" si="22"/>
        <v>-</v>
      </c>
      <c r="P90" s="332">
        <f t="shared" si="23"/>
        <v>0</v>
      </c>
      <c r="Q90" s="133"/>
      <c r="R90" s="332">
        <f t="shared" si="25"/>
        <v>0</v>
      </c>
      <c r="S90" s="332">
        <f t="shared" si="25"/>
        <v>0</v>
      </c>
      <c r="T90" s="332">
        <f t="shared" si="25"/>
        <v>0</v>
      </c>
      <c r="U90" s="332">
        <f t="shared" si="25"/>
        <v>0</v>
      </c>
      <c r="V90" s="332">
        <f t="shared" si="25"/>
        <v>0</v>
      </c>
      <c r="W90" s="133"/>
      <c r="X90" s="332">
        <f t="shared" si="26"/>
        <v>0</v>
      </c>
      <c r="Y90" s="332">
        <f t="shared" si="26"/>
        <v>0</v>
      </c>
      <c r="Z90" s="332">
        <f t="shared" si="26"/>
        <v>0</v>
      </c>
      <c r="AA90" s="332">
        <f t="shared" si="26"/>
        <v>0</v>
      </c>
      <c r="AB90" s="332">
        <f t="shared" si="26"/>
        <v>0</v>
      </c>
      <c r="AC90" s="136"/>
      <c r="AD90" s="93"/>
    </row>
    <row r="91" spans="2:30" ht="12.75" customHeight="1">
      <c r="B91" s="93"/>
      <c r="C91" s="131"/>
      <c r="D91" s="169"/>
      <c r="E91" s="169"/>
      <c r="F91" s="567"/>
      <c r="G91" s="170"/>
      <c r="H91" s="314"/>
      <c r="I91" s="170"/>
      <c r="J91" s="170"/>
      <c r="K91" s="133"/>
      <c r="L91" s="135">
        <f t="shared" si="24"/>
        <v>0</v>
      </c>
      <c r="M91" s="332">
        <f t="shared" si="20"/>
        <v>0</v>
      </c>
      <c r="N91" s="332">
        <f t="shared" si="21"/>
        <v>0</v>
      </c>
      <c r="O91" s="767" t="str">
        <f t="shared" si="22"/>
        <v>-</v>
      </c>
      <c r="P91" s="332">
        <f t="shared" si="23"/>
        <v>0</v>
      </c>
      <c r="Q91" s="133"/>
      <c r="R91" s="332">
        <f t="shared" si="25"/>
        <v>0</v>
      </c>
      <c r="S91" s="332">
        <f t="shared" si="25"/>
        <v>0</v>
      </c>
      <c r="T91" s="332">
        <f t="shared" si="25"/>
        <v>0</v>
      </c>
      <c r="U91" s="332">
        <f t="shared" si="25"/>
        <v>0</v>
      </c>
      <c r="V91" s="332">
        <f t="shared" si="25"/>
        <v>0</v>
      </c>
      <c r="W91" s="133"/>
      <c r="X91" s="332">
        <f t="shared" si="26"/>
        <v>0</v>
      </c>
      <c r="Y91" s="332">
        <f t="shared" si="26"/>
        <v>0</v>
      </c>
      <c r="Z91" s="332">
        <f t="shared" si="26"/>
        <v>0</v>
      </c>
      <c r="AA91" s="332">
        <f t="shared" si="26"/>
        <v>0</v>
      </c>
      <c r="AB91" s="332">
        <f t="shared" si="26"/>
        <v>0</v>
      </c>
      <c r="AC91" s="136"/>
      <c r="AD91" s="93"/>
    </row>
    <row r="92" spans="2:30" ht="12.75" customHeight="1">
      <c r="B92" s="93"/>
      <c r="C92" s="131"/>
      <c r="D92" s="169"/>
      <c r="E92" s="169"/>
      <c r="F92" s="567"/>
      <c r="G92" s="170"/>
      <c r="H92" s="314"/>
      <c r="I92" s="170"/>
      <c r="J92" s="170"/>
      <c r="K92" s="133"/>
      <c r="L92" s="135">
        <f>IF(J92="geen",9999999999,J92)</f>
        <v>0</v>
      </c>
      <c r="M92" s="332">
        <f>G92*H92</f>
        <v>0</v>
      </c>
      <c r="N92" s="332">
        <f>IF(G92=0,0,(G92*H92)/L92)</f>
        <v>0</v>
      </c>
      <c r="O92" s="767" t="str">
        <f>IF(L92=0,"-",(IF(L92&gt;3000,"-",I92+L92-1)))</f>
        <v>-</v>
      </c>
      <c r="P92" s="332">
        <f t="shared" si="23"/>
        <v>0</v>
      </c>
      <c r="Q92" s="133"/>
      <c r="R92" s="332">
        <f t="shared" si="25"/>
        <v>0</v>
      </c>
      <c r="S92" s="332">
        <f t="shared" si="25"/>
        <v>0</v>
      </c>
      <c r="T92" s="332">
        <f t="shared" si="25"/>
        <v>0</v>
      </c>
      <c r="U92" s="332">
        <f t="shared" si="25"/>
        <v>0</v>
      </c>
      <c r="V92" s="332">
        <f t="shared" si="25"/>
        <v>0</v>
      </c>
      <c r="W92" s="133"/>
      <c r="X92" s="332">
        <f t="shared" si="26"/>
        <v>0</v>
      </c>
      <c r="Y92" s="332">
        <f t="shared" si="26"/>
        <v>0</v>
      </c>
      <c r="Z92" s="332">
        <f t="shared" si="26"/>
        <v>0</v>
      </c>
      <c r="AA92" s="332">
        <f t="shared" si="26"/>
        <v>0</v>
      </c>
      <c r="AB92" s="332">
        <f t="shared" si="26"/>
        <v>0</v>
      </c>
      <c r="AC92" s="136"/>
      <c r="AD92" s="93"/>
    </row>
    <row r="93" spans="2:30" ht="12.75" customHeight="1">
      <c r="B93" s="93"/>
      <c r="C93" s="131"/>
      <c r="D93" s="169"/>
      <c r="E93" s="169"/>
      <c r="F93" s="567"/>
      <c r="G93" s="170"/>
      <c r="H93" s="314"/>
      <c r="I93" s="170"/>
      <c r="J93" s="170"/>
      <c r="K93" s="133"/>
      <c r="L93" s="135">
        <f t="shared" si="24"/>
        <v>0</v>
      </c>
      <c r="M93" s="332">
        <f t="shared" si="20"/>
        <v>0</v>
      </c>
      <c r="N93" s="332">
        <f t="shared" si="21"/>
        <v>0</v>
      </c>
      <c r="O93" s="767" t="str">
        <f t="shared" si="22"/>
        <v>-</v>
      </c>
      <c r="P93" s="332">
        <f t="shared" si="23"/>
        <v>0</v>
      </c>
      <c r="Q93" s="133"/>
      <c r="R93" s="332">
        <f t="shared" si="25"/>
        <v>0</v>
      </c>
      <c r="S93" s="332">
        <f t="shared" si="25"/>
        <v>0</v>
      </c>
      <c r="T93" s="332">
        <f t="shared" si="25"/>
        <v>0</v>
      </c>
      <c r="U93" s="332">
        <f t="shared" si="25"/>
        <v>0</v>
      </c>
      <c r="V93" s="332">
        <f t="shared" si="25"/>
        <v>0</v>
      </c>
      <c r="W93" s="133"/>
      <c r="X93" s="332">
        <f t="shared" si="26"/>
        <v>0</v>
      </c>
      <c r="Y93" s="332">
        <f t="shared" si="26"/>
        <v>0</v>
      </c>
      <c r="Z93" s="332">
        <f t="shared" si="26"/>
        <v>0</v>
      </c>
      <c r="AA93" s="332">
        <f t="shared" si="26"/>
        <v>0</v>
      </c>
      <c r="AB93" s="332">
        <f t="shared" si="26"/>
        <v>0</v>
      </c>
      <c r="AC93" s="136"/>
      <c r="AD93" s="93"/>
    </row>
    <row r="94" spans="2:30" ht="12.75" customHeight="1">
      <c r="B94" s="93"/>
      <c r="C94" s="131"/>
      <c r="D94" s="169"/>
      <c r="E94" s="169"/>
      <c r="F94" s="567"/>
      <c r="G94" s="170"/>
      <c r="H94" s="314"/>
      <c r="I94" s="170"/>
      <c r="J94" s="170"/>
      <c r="K94" s="133"/>
      <c r="L94" s="135">
        <f t="shared" si="24"/>
        <v>0</v>
      </c>
      <c r="M94" s="332">
        <f t="shared" si="20"/>
        <v>0</v>
      </c>
      <c r="N94" s="332">
        <f t="shared" si="21"/>
        <v>0</v>
      </c>
      <c r="O94" s="767" t="str">
        <f t="shared" si="22"/>
        <v>-</v>
      </c>
      <c r="P94" s="332">
        <f t="shared" si="23"/>
        <v>0</v>
      </c>
      <c r="Q94" s="133"/>
      <c r="R94" s="332">
        <f t="shared" si="25"/>
        <v>0</v>
      </c>
      <c r="S94" s="332">
        <f t="shared" si="25"/>
        <v>0</v>
      </c>
      <c r="T94" s="332">
        <f t="shared" si="25"/>
        <v>0</v>
      </c>
      <c r="U94" s="332">
        <f t="shared" si="25"/>
        <v>0</v>
      </c>
      <c r="V94" s="332">
        <f t="shared" si="25"/>
        <v>0</v>
      </c>
      <c r="W94" s="133"/>
      <c r="X94" s="332">
        <f t="shared" si="26"/>
        <v>0</v>
      </c>
      <c r="Y94" s="332">
        <f t="shared" si="26"/>
        <v>0</v>
      </c>
      <c r="Z94" s="332">
        <f t="shared" si="26"/>
        <v>0</v>
      </c>
      <c r="AA94" s="332">
        <f t="shared" si="26"/>
        <v>0</v>
      </c>
      <c r="AB94" s="332">
        <f t="shared" si="26"/>
        <v>0</v>
      </c>
      <c r="AC94" s="136"/>
      <c r="AD94" s="93"/>
    </row>
    <row r="95" spans="2:30" ht="12.75" customHeight="1">
      <c r="B95" s="93"/>
      <c r="C95" s="131"/>
      <c r="D95" s="169"/>
      <c r="E95" s="169"/>
      <c r="F95" s="567"/>
      <c r="G95" s="170"/>
      <c r="H95" s="314"/>
      <c r="I95" s="170"/>
      <c r="J95" s="170"/>
      <c r="K95" s="133"/>
      <c r="L95" s="135">
        <f t="shared" si="24"/>
        <v>0</v>
      </c>
      <c r="M95" s="332">
        <f t="shared" si="20"/>
        <v>0</v>
      </c>
      <c r="N95" s="332">
        <f t="shared" si="21"/>
        <v>0</v>
      </c>
      <c r="O95" s="767" t="str">
        <f t="shared" si="22"/>
        <v>-</v>
      </c>
      <c r="P95" s="332">
        <f t="shared" si="23"/>
        <v>0</v>
      </c>
      <c r="Q95" s="133"/>
      <c r="R95" s="332">
        <f t="shared" ref="R95:V104" si="27">(IF(R$9&lt;$I95,0,IF($O95&lt;=R$9-1,0,$N95)))</f>
        <v>0</v>
      </c>
      <c r="S95" s="332">
        <f t="shared" si="27"/>
        <v>0</v>
      </c>
      <c r="T95" s="332">
        <f t="shared" si="27"/>
        <v>0</v>
      </c>
      <c r="U95" s="332">
        <f t="shared" si="27"/>
        <v>0</v>
      </c>
      <c r="V95" s="332">
        <f t="shared" si="27"/>
        <v>0</v>
      </c>
      <c r="W95" s="133"/>
      <c r="X95" s="332">
        <f t="shared" ref="X95:AB104" si="28">IF(X$9=$I95,($G95*$H95),0)</f>
        <v>0</v>
      </c>
      <c r="Y95" s="332">
        <f t="shared" si="28"/>
        <v>0</v>
      </c>
      <c r="Z95" s="332">
        <f t="shared" si="28"/>
        <v>0</v>
      </c>
      <c r="AA95" s="332">
        <f t="shared" si="28"/>
        <v>0</v>
      </c>
      <c r="AB95" s="332">
        <f t="shared" si="28"/>
        <v>0</v>
      </c>
      <c r="AC95" s="136"/>
      <c r="AD95" s="93"/>
    </row>
    <row r="96" spans="2:30" ht="12.75" customHeight="1">
      <c r="B96" s="93"/>
      <c r="C96" s="131"/>
      <c r="D96" s="169"/>
      <c r="E96" s="169"/>
      <c r="F96" s="567"/>
      <c r="G96" s="170"/>
      <c r="H96" s="314"/>
      <c r="I96" s="170"/>
      <c r="J96" s="170"/>
      <c r="K96" s="133"/>
      <c r="L96" s="135">
        <f t="shared" si="24"/>
        <v>0</v>
      </c>
      <c r="M96" s="332">
        <f t="shared" si="20"/>
        <v>0</v>
      </c>
      <c r="N96" s="332">
        <f t="shared" si="21"/>
        <v>0</v>
      </c>
      <c r="O96" s="767" t="str">
        <f t="shared" si="22"/>
        <v>-</v>
      </c>
      <c r="P96" s="332">
        <f t="shared" si="23"/>
        <v>0</v>
      </c>
      <c r="Q96" s="133"/>
      <c r="R96" s="332">
        <f t="shared" si="27"/>
        <v>0</v>
      </c>
      <c r="S96" s="332">
        <f t="shared" si="27"/>
        <v>0</v>
      </c>
      <c r="T96" s="332">
        <f t="shared" si="27"/>
        <v>0</v>
      </c>
      <c r="U96" s="332">
        <f t="shared" si="27"/>
        <v>0</v>
      </c>
      <c r="V96" s="332">
        <f t="shared" si="27"/>
        <v>0</v>
      </c>
      <c r="W96" s="133"/>
      <c r="X96" s="332">
        <f t="shared" si="28"/>
        <v>0</v>
      </c>
      <c r="Y96" s="332">
        <f t="shared" si="28"/>
        <v>0</v>
      </c>
      <c r="Z96" s="332">
        <f t="shared" si="28"/>
        <v>0</v>
      </c>
      <c r="AA96" s="332">
        <f t="shared" si="28"/>
        <v>0</v>
      </c>
      <c r="AB96" s="332">
        <f t="shared" si="28"/>
        <v>0</v>
      </c>
      <c r="AC96" s="136"/>
      <c r="AD96" s="93"/>
    </row>
    <row r="97" spans="2:30" ht="12.75" customHeight="1">
      <c r="B97" s="93"/>
      <c r="C97" s="131"/>
      <c r="D97" s="169"/>
      <c r="E97" s="169"/>
      <c r="F97" s="567"/>
      <c r="G97" s="170"/>
      <c r="H97" s="314"/>
      <c r="I97" s="170"/>
      <c r="J97" s="170"/>
      <c r="K97" s="133"/>
      <c r="L97" s="135">
        <f t="shared" si="24"/>
        <v>0</v>
      </c>
      <c r="M97" s="332">
        <f t="shared" si="20"/>
        <v>0</v>
      </c>
      <c r="N97" s="332">
        <f t="shared" si="21"/>
        <v>0</v>
      </c>
      <c r="O97" s="767" t="str">
        <f t="shared" si="22"/>
        <v>-</v>
      </c>
      <c r="P97" s="332">
        <f t="shared" si="23"/>
        <v>0</v>
      </c>
      <c r="Q97" s="133"/>
      <c r="R97" s="332">
        <f t="shared" si="27"/>
        <v>0</v>
      </c>
      <c r="S97" s="332">
        <f t="shared" si="27"/>
        <v>0</v>
      </c>
      <c r="T97" s="332">
        <f t="shared" si="27"/>
        <v>0</v>
      </c>
      <c r="U97" s="332">
        <f t="shared" si="27"/>
        <v>0</v>
      </c>
      <c r="V97" s="332">
        <f t="shared" si="27"/>
        <v>0</v>
      </c>
      <c r="W97" s="133"/>
      <c r="X97" s="332">
        <f t="shared" si="28"/>
        <v>0</v>
      </c>
      <c r="Y97" s="332">
        <f t="shared" si="28"/>
        <v>0</v>
      </c>
      <c r="Z97" s="332">
        <f t="shared" si="28"/>
        <v>0</v>
      </c>
      <c r="AA97" s="332">
        <f t="shared" si="28"/>
        <v>0</v>
      </c>
      <c r="AB97" s="332">
        <f t="shared" si="28"/>
        <v>0</v>
      </c>
      <c r="AC97" s="136"/>
      <c r="AD97" s="93"/>
    </row>
    <row r="98" spans="2:30" ht="12.75" customHeight="1">
      <c r="B98" s="93"/>
      <c r="C98" s="131"/>
      <c r="D98" s="169"/>
      <c r="E98" s="169"/>
      <c r="F98" s="567"/>
      <c r="G98" s="170"/>
      <c r="H98" s="314"/>
      <c r="I98" s="170"/>
      <c r="J98" s="170"/>
      <c r="K98" s="133"/>
      <c r="L98" s="135">
        <f t="shared" si="24"/>
        <v>0</v>
      </c>
      <c r="M98" s="332">
        <f t="shared" si="20"/>
        <v>0</v>
      </c>
      <c r="N98" s="332">
        <f t="shared" si="21"/>
        <v>0</v>
      </c>
      <c r="O98" s="767" t="str">
        <f t="shared" si="22"/>
        <v>-</v>
      </c>
      <c r="P98" s="332">
        <f t="shared" si="23"/>
        <v>0</v>
      </c>
      <c r="Q98" s="133"/>
      <c r="R98" s="332">
        <f t="shared" si="27"/>
        <v>0</v>
      </c>
      <c r="S98" s="332">
        <f t="shared" si="27"/>
        <v>0</v>
      </c>
      <c r="T98" s="332">
        <f t="shared" si="27"/>
        <v>0</v>
      </c>
      <c r="U98" s="332">
        <f t="shared" si="27"/>
        <v>0</v>
      </c>
      <c r="V98" s="332">
        <f t="shared" si="27"/>
        <v>0</v>
      </c>
      <c r="W98" s="133"/>
      <c r="X98" s="332">
        <f t="shared" si="28"/>
        <v>0</v>
      </c>
      <c r="Y98" s="332">
        <f t="shared" si="28"/>
        <v>0</v>
      </c>
      <c r="Z98" s="332">
        <f t="shared" si="28"/>
        <v>0</v>
      </c>
      <c r="AA98" s="332">
        <f t="shared" si="28"/>
        <v>0</v>
      </c>
      <c r="AB98" s="332">
        <f t="shared" si="28"/>
        <v>0</v>
      </c>
      <c r="AC98" s="136"/>
      <c r="AD98" s="93"/>
    </row>
    <row r="99" spans="2:30" ht="12.75" customHeight="1">
      <c r="B99" s="93"/>
      <c r="C99" s="131"/>
      <c r="D99" s="169"/>
      <c r="E99" s="169"/>
      <c r="F99" s="567"/>
      <c r="G99" s="170"/>
      <c r="H99" s="314"/>
      <c r="I99" s="170"/>
      <c r="J99" s="170"/>
      <c r="K99" s="133"/>
      <c r="L99" s="135">
        <f t="shared" si="24"/>
        <v>0</v>
      </c>
      <c r="M99" s="332">
        <f t="shared" si="20"/>
        <v>0</v>
      </c>
      <c r="N99" s="332">
        <f t="shared" si="21"/>
        <v>0</v>
      </c>
      <c r="O99" s="767" t="str">
        <f t="shared" si="22"/>
        <v>-</v>
      </c>
      <c r="P99" s="332">
        <f t="shared" si="23"/>
        <v>0</v>
      </c>
      <c r="Q99" s="133"/>
      <c r="R99" s="332">
        <f t="shared" si="27"/>
        <v>0</v>
      </c>
      <c r="S99" s="332">
        <f t="shared" si="27"/>
        <v>0</v>
      </c>
      <c r="T99" s="332">
        <f t="shared" si="27"/>
        <v>0</v>
      </c>
      <c r="U99" s="332">
        <f t="shared" si="27"/>
        <v>0</v>
      </c>
      <c r="V99" s="332">
        <f t="shared" si="27"/>
        <v>0</v>
      </c>
      <c r="W99" s="133"/>
      <c r="X99" s="332">
        <f t="shared" si="28"/>
        <v>0</v>
      </c>
      <c r="Y99" s="332">
        <f t="shared" si="28"/>
        <v>0</v>
      </c>
      <c r="Z99" s="332">
        <f t="shared" si="28"/>
        <v>0</v>
      </c>
      <c r="AA99" s="332">
        <f t="shared" si="28"/>
        <v>0</v>
      </c>
      <c r="AB99" s="332">
        <f t="shared" si="28"/>
        <v>0</v>
      </c>
      <c r="AC99" s="136"/>
      <c r="AD99" s="93"/>
    </row>
    <row r="100" spans="2:30" ht="12.75" customHeight="1">
      <c r="B100" s="93"/>
      <c r="C100" s="131"/>
      <c r="D100" s="169"/>
      <c r="E100" s="169"/>
      <c r="F100" s="567"/>
      <c r="G100" s="170"/>
      <c r="H100" s="314"/>
      <c r="I100" s="170"/>
      <c r="J100" s="170"/>
      <c r="K100" s="133"/>
      <c r="L100" s="135">
        <f t="shared" si="24"/>
        <v>0</v>
      </c>
      <c r="M100" s="332">
        <f t="shared" si="20"/>
        <v>0</v>
      </c>
      <c r="N100" s="332">
        <f t="shared" si="21"/>
        <v>0</v>
      </c>
      <c r="O100" s="767" t="str">
        <f t="shared" si="22"/>
        <v>-</v>
      </c>
      <c r="P100" s="332">
        <f t="shared" si="23"/>
        <v>0</v>
      </c>
      <c r="Q100" s="133"/>
      <c r="R100" s="332">
        <f t="shared" si="27"/>
        <v>0</v>
      </c>
      <c r="S100" s="332">
        <f t="shared" si="27"/>
        <v>0</v>
      </c>
      <c r="T100" s="332">
        <f t="shared" si="27"/>
        <v>0</v>
      </c>
      <c r="U100" s="332">
        <f t="shared" si="27"/>
        <v>0</v>
      </c>
      <c r="V100" s="332">
        <f t="shared" si="27"/>
        <v>0</v>
      </c>
      <c r="W100" s="133"/>
      <c r="X100" s="332">
        <f t="shared" si="28"/>
        <v>0</v>
      </c>
      <c r="Y100" s="332">
        <f t="shared" si="28"/>
        <v>0</v>
      </c>
      <c r="Z100" s="332">
        <f t="shared" si="28"/>
        <v>0</v>
      </c>
      <c r="AA100" s="332">
        <f t="shared" si="28"/>
        <v>0</v>
      </c>
      <c r="AB100" s="332">
        <f t="shared" si="28"/>
        <v>0</v>
      </c>
      <c r="AC100" s="136"/>
      <c r="AD100" s="93"/>
    </row>
    <row r="101" spans="2:30" ht="12.75" customHeight="1">
      <c r="B101" s="93"/>
      <c r="C101" s="131"/>
      <c r="D101" s="169"/>
      <c r="E101" s="169"/>
      <c r="F101" s="567"/>
      <c r="G101" s="170"/>
      <c r="H101" s="314"/>
      <c r="I101" s="170"/>
      <c r="J101" s="170"/>
      <c r="K101" s="133"/>
      <c r="L101" s="135">
        <f t="shared" si="24"/>
        <v>0</v>
      </c>
      <c r="M101" s="332">
        <f t="shared" si="20"/>
        <v>0</v>
      </c>
      <c r="N101" s="332">
        <f t="shared" si="21"/>
        <v>0</v>
      </c>
      <c r="O101" s="767" t="str">
        <f t="shared" si="22"/>
        <v>-</v>
      </c>
      <c r="P101" s="332">
        <f t="shared" si="23"/>
        <v>0</v>
      </c>
      <c r="Q101" s="133"/>
      <c r="R101" s="332">
        <f t="shared" si="27"/>
        <v>0</v>
      </c>
      <c r="S101" s="332">
        <f t="shared" si="27"/>
        <v>0</v>
      </c>
      <c r="T101" s="332">
        <f t="shared" si="27"/>
        <v>0</v>
      </c>
      <c r="U101" s="332">
        <f t="shared" si="27"/>
        <v>0</v>
      </c>
      <c r="V101" s="332">
        <f t="shared" si="27"/>
        <v>0</v>
      </c>
      <c r="W101" s="133"/>
      <c r="X101" s="332">
        <f t="shared" si="28"/>
        <v>0</v>
      </c>
      <c r="Y101" s="332">
        <f t="shared" si="28"/>
        <v>0</v>
      </c>
      <c r="Z101" s="332">
        <f t="shared" si="28"/>
        <v>0</v>
      </c>
      <c r="AA101" s="332">
        <f t="shared" si="28"/>
        <v>0</v>
      </c>
      <c r="AB101" s="332">
        <f t="shared" si="28"/>
        <v>0</v>
      </c>
      <c r="AC101" s="136"/>
      <c r="AD101" s="93"/>
    </row>
    <row r="102" spans="2:30" ht="12.75" customHeight="1">
      <c r="B102" s="93"/>
      <c r="C102" s="131"/>
      <c r="D102" s="169"/>
      <c r="E102" s="169"/>
      <c r="F102" s="567"/>
      <c r="G102" s="170"/>
      <c r="H102" s="314"/>
      <c r="I102" s="170"/>
      <c r="J102" s="170"/>
      <c r="K102" s="133"/>
      <c r="L102" s="135">
        <f t="shared" si="24"/>
        <v>0</v>
      </c>
      <c r="M102" s="332">
        <f t="shared" si="20"/>
        <v>0</v>
      </c>
      <c r="N102" s="332">
        <f t="shared" si="21"/>
        <v>0</v>
      </c>
      <c r="O102" s="767" t="str">
        <f t="shared" si="22"/>
        <v>-</v>
      </c>
      <c r="P102" s="332">
        <f t="shared" si="23"/>
        <v>0</v>
      </c>
      <c r="Q102" s="133"/>
      <c r="R102" s="332">
        <f t="shared" si="27"/>
        <v>0</v>
      </c>
      <c r="S102" s="332">
        <f t="shared" si="27"/>
        <v>0</v>
      </c>
      <c r="T102" s="332">
        <f t="shared" si="27"/>
        <v>0</v>
      </c>
      <c r="U102" s="332">
        <f t="shared" si="27"/>
        <v>0</v>
      </c>
      <c r="V102" s="332">
        <f t="shared" si="27"/>
        <v>0</v>
      </c>
      <c r="W102" s="133"/>
      <c r="X102" s="332">
        <f t="shared" si="28"/>
        <v>0</v>
      </c>
      <c r="Y102" s="332">
        <f t="shared" si="28"/>
        <v>0</v>
      </c>
      <c r="Z102" s="332">
        <f t="shared" si="28"/>
        <v>0</v>
      </c>
      <c r="AA102" s="332">
        <f t="shared" si="28"/>
        <v>0</v>
      </c>
      <c r="AB102" s="332">
        <f t="shared" si="28"/>
        <v>0</v>
      </c>
      <c r="AC102" s="136"/>
      <c r="AD102" s="93"/>
    </row>
    <row r="103" spans="2:30" ht="12.75" customHeight="1">
      <c r="B103" s="93"/>
      <c r="C103" s="131"/>
      <c r="D103" s="169"/>
      <c r="E103" s="169"/>
      <c r="F103" s="567"/>
      <c r="G103" s="170"/>
      <c r="H103" s="314"/>
      <c r="I103" s="170"/>
      <c r="J103" s="170"/>
      <c r="K103" s="133"/>
      <c r="L103" s="135">
        <f t="shared" si="24"/>
        <v>0</v>
      </c>
      <c r="M103" s="332">
        <f t="shared" si="20"/>
        <v>0</v>
      </c>
      <c r="N103" s="332">
        <f t="shared" si="21"/>
        <v>0</v>
      </c>
      <c r="O103" s="767" t="str">
        <f t="shared" si="22"/>
        <v>-</v>
      </c>
      <c r="P103" s="332">
        <f t="shared" si="23"/>
        <v>0</v>
      </c>
      <c r="Q103" s="133"/>
      <c r="R103" s="332">
        <f t="shared" si="27"/>
        <v>0</v>
      </c>
      <c r="S103" s="332">
        <f t="shared" si="27"/>
        <v>0</v>
      </c>
      <c r="T103" s="332">
        <f t="shared" si="27"/>
        <v>0</v>
      </c>
      <c r="U103" s="332">
        <f t="shared" si="27"/>
        <v>0</v>
      </c>
      <c r="V103" s="332">
        <f t="shared" si="27"/>
        <v>0</v>
      </c>
      <c r="W103" s="133"/>
      <c r="X103" s="332">
        <f t="shared" si="28"/>
        <v>0</v>
      </c>
      <c r="Y103" s="332">
        <f t="shared" si="28"/>
        <v>0</v>
      </c>
      <c r="Z103" s="332">
        <f t="shared" si="28"/>
        <v>0</v>
      </c>
      <c r="AA103" s="332">
        <f t="shared" si="28"/>
        <v>0</v>
      </c>
      <c r="AB103" s="332">
        <f t="shared" si="28"/>
        <v>0</v>
      </c>
      <c r="AC103" s="136"/>
      <c r="AD103" s="93"/>
    </row>
    <row r="104" spans="2:30" ht="12.75" customHeight="1">
      <c r="B104" s="93"/>
      <c r="C104" s="131"/>
      <c r="D104" s="169"/>
      <c r="E104" s="169"/>
      <c r="F104" s="567"/>
      <c r="G104" s="170"/>
      <c r="H104" s="314"/>
      <c r="I104" s="170"/>
      <c r="J104" s="170"/>
      <c r="K104" s="133"/>
      <c r="L104" s="135">
        <f t="shared" si="24"/>
        <v>0</v>
      </c>
      <c r="M104" s="332">
        <f t="shared" si="20"/>
        <v>0</v>
      </c>
      <c r="N104" s="332">
        <f t="shared" si="21"/>
        <v>0</v>
      </c>
      <c r="O104" s="767" t="str">
        <f t="shared" si="22"/>
        <v>-</v>
      </c>
      <c r="P104" s="332">
        <f t="shared" si="23"/>
        <v>0</v>
      </c>
      <c r="Q104" s="133"/>
      <c r="R104" s="332">
        <f t="shared" si="27"/>
        <v>0</v>
      </c>
      <c r="S104" s="332">
        <f t="shared" si="27"/>
        <v>0</v>
      </c>
      <c r="T104" s="332">
        <f t="shared" si="27"/>
        <v>0</v>
      </c>
      <c r="U104" s="332">
        <f t="shared" si="27"/>
        <v>0</v>
      </c>
      <c r="V104" s="332">
        <f t="shared" si="27"/>
        <v>0</v>
      </c>
      <c r="W104" s="133"/>
      <c r="X104" s="332">
        <f t="shared" si="28"/>
        <v>0</v>
      </c>
      <c r="Y104" s="332">
        <f t="shared" si="28"/>
        <v>0</v>
      </c>
      <c r="Z104" s="332">
        <f t="shared" si="28"/>
        <v>0</v>
      </c>
      <c r="AA104" s="332">
        <f t="shared" si="28"/>
        <v>0</v>
      </c>
      <c r="AB104" s="332">
        <f t="shared" si="28"/>
        <v>0</v>
      </c>
      <c r="AC104" s="136"/>
      <c r="AD104" s="93"/>
    </row>
    <row r="105" spans="2:30" ht="12.75" customHeight="1">
      <c r="B105" s="93"/>
      <c r="C105" s="131"/>
      <c r="D105" s="169"/>
      <c r="E105" s="169"/>
      <c r="F105" s="567"/>
      <c r="G105" s="170"/>
      <c r="H105" s="314"/>
      <c r="I105" s="170"/>
      <c r="J105" s="170"/>
      <c r="K105" s="133"/>
      <c r="L105" s="135">
        <f t="shared" si="24"/>
        <v>0</v>
      </c>
      <c r="M105" s="332">
        <f t="shared" si="20"/>
        <v>0</v>
      </c>
      <c r="N105" s="332">
        <f t="shared" si="21"/>
        <v>0</v>
      </c>
      <c r="O105" s="767" t="str">
        <f t="shared" si="22"/>
        <v>-</v>
      </c>
      <c r="P105" s="332">
        <f t="shared" si="23"/>
        <v>0</v>
      </c>
      <c r="Q105" s="133"/>
      <c r="R105" s="332">
        <f t="shared" ref="R105:V114" si="29">(IF(R$9&lt;$I105,0,IF($O105&lt;=R$9-1,0,$N105)))</f>
        <v>0</v>
      </c>
      <c r="S105" s="332">
        <f t="shared" si="29"/>
        <v>0</v>
      </c>
      <c r="T105" s="332">
        <f t="shared" si="29"/>
        <v>0</v>
      </c>
      <c r="U105" s="332">
        <f t="shared" si="29"/>
        <v>0</v>
      </c>
      <c r="V105" s="332">
        <f t="shared" si="29"/>
        <v>0</v>
      </c>
      <c r="W105" s="133"/>
      <c r="X105" s="332">
        <f t="shared" ref="X105:AB114" si="30">IF(X$9=$I105,($G105*$H105),0)</f>
        <v>0</v>
      </c>
      <c r="Y105" s="332">
        <f t="shared" si="30"/>
        <v>0</v>
      </c>
      <c r="Z105" s="332">
        <f t="shared" si="30"/>
        <v>0</v>
      </c>
      <c r="AA105" s="332">
        <f t="shared" si="30"/>
        <v>0</v>
      </c>
      <c r="AB105" s="332">
        <f t="shared" si="30"/>
        <v>0</v>
      </c>
      <c r="AC105" s="136"/>
      <c r="AD105" s="93"/>
    </row>
    <row r="106" spans="2:30" ht="12.75" customHeight="1">
      <c r="B106" s="93"/>
      <c r="C106" s="131"/>
      <c r="D106" s="169"/>
      <c r="E106" s="169"/>
      <c r="F106" s="567"/>
      <c r="G106" s="170"/>
      <c r="H106" s="314"/>
      <c r="I106" s="170"/>
      <c r="J106" s="170"/>
      <c r="K106" s="133"/>
      <c r="L106" s="135">
        <f t="shared" si="24"/>
        <v>0</v>
      </c>
      <c r="M106" s="332">
        <f t="shared" si="20"/>
        <v>0</v>
      </c>
      <c r="N106" s="332">
        <f t="shared" si="21"/>
        <v>0</v>
      </c>
      <c r="O106" s="767" t="str">
        <f t="shared" si="22"/>
        <v>-</v>
      </c>
      <c r="P106" s="332">
        <f t="shared" si="23"/>
        <v>0</v>
      </c>
      <c r="Q106" s="133"/>
      <c r="R106" s="332">
        <f t="shared" si="29"/>
        <v>0</v>
      </c>
      <c r="S106" s="332">
        <f t="shared" si="29"/>
        <v>0</v>
      </c>
      <c r="T106" s="332">
        <f t="shared" si="29"/>
        <v>0</v>
      </c>
      <c r="U106" s="332">
        <f t="shared" si="29"/>
        <v>0</v>
      </c>
      <c r="V106" s="332">
        <f t="shared" si="29"/>
        <v>0</v>
      </c>
      <c r="W106" s="133"/>
      <c r="X106" s="332">
        <f t="shared" si="30"/>
        <v>0</v>
      </c>
      <c r="Y106" s="332">
        <f t="shared" si="30"/>
        <v>0</v>
      </c>
      <c r="Z106" s="332">
        <f t="shared" si="30"/>
        <v>0</v>
      </c>
      <c r="AA106" s="332">
        <f t="shared" si="30"/>
        <v>0</v>
      </c>
      <c r="AB106" s="332">
        <f t="shared" si="30"/>
        <v>0</v>
      </c>
      <c r="AC106" s="136"/>
      <c r="AD106" s="93"/>
    </row>
    <row r="107" spans="2:30" ht="12.75" customHeight="1">
      <c r="B107" s="93"/>
      <c r="C107" s="131"/>
      <c r="D107" s="169"/>
      <c r="E107" s="169"/>
      <c r="F107" s="567"/>
      <c r="G107" s="170"/>
      <c r="H107" s="314"/>
      <c r="I107" s="170"/>
      <c r="J107" s="170"/>
      <c r="K107" s="133"/>
      <c r="L107" s="135">
        <f t="shared" si="24"/>
        <v>0</v>
      </c>
      <c r="M107" s="332">
        <f t="shared" si="20"/>
        <v>0</v>
      </c>
      <c r="N107" s="332">
        <f t="shared" si="21"/>
        <v>0</v>
      </c>
      <c r="O107" s="767" t="str">
        <f t="shared" si="22"/>
        <v>-</v>
      </c>
      <c r="P107" s="332">
        <f t="shared" si="23"/>
        <v>0</v>
      </c>
      <c r="Q107" s="133"/>
      <c r="R107" s="332">
        <f t="shared" si="29"/>
        <v>0</v>
      </c>
      <c r="S107" s="332">
        <f t="shared" si="29"/>
        <v>0</v>
      </c>
      <c r="T107" s="332">
        <f t="shared" si="29"/>
        <v>0</v>
      </c>
      <c r="U107" s="332">
        <f t="shared" si="29"/>
        <v>0</v>
      </c>
      <c r="V107" s="332">
        <f t="shared" si="29"/>
        <v>0</v>
      </c>
      <c r="W107" s="133"/>
      <c r="X107" s="332">
        <f t="shared" si="30"/>
        <v>0</v>
      </c>
      <c r="Y107" s="332">
        <f t="shared" si="30"/>
        <v>0</v>
      </c>
      <c r="Z107" s="332">
        <f t="shared" si="30"/>
        <v>0</v>
      </c>
      <c r="AA107" s="332">
        <f t="shared" si="30"/>
        <v>0</v>
      </c>
      <c r="AB107" s="332">
        <f t="shared" si="30"/>
        <v>0</v>
      </c>
      <c r="AC107" s="136"/>
      <c r="AD107" s="93"/>
    </row>
    <row r="108" spans="2:30" ht="12.75" customHeight="1">
      <c r="B108" s="93"/>
      <c r="C108" s="131"/>
      <c r="D108" s="169"/>
      <c r="E108" s="169"/>
      <c r="F108" s="567"/>
      <c r="G108" s="170"/>
      <c r="H108" s="314"/>
      <c r="I108" s="170"/>
      <c r="J108" s="170"/>
      <c r="K108" s="133"/>
      <c r="L108" s="135">
        <f t="shared" si="24"/>
        <v>0</v>
      </c>
      <c r="M108" s="332">
        <f t="shared" si="20"/>
        <v>0</v>
      </c>
      <c r="N108" s="332">
        <f t="shared" si="21"/>
        <v>0</v>
      </c>
      <c r="O108" s="767" t="str">
        <f t="shared" si="22"/>
        <v>-</v>
      </c>
      <c r="P108" s="332">
        <f t="shared" si="23"/>
        <v>0</v>
      </c>
      <c r="Q108" s="133"/>
      <c r="R108" s="332">
        <f t="shared" si="29"/>
        <v>0</v>
      </c>
      <c r="S108" s="332">
        <f t="shared" si="29"/>
        <v>0</v>
      </c>
      <c r="T108" s="332">
        <f t="shared" si="29"/>
        <v>0</v>
      </c>
      <c r="U108" s="332">
        <f t="shared" si="29"/>
        <v>0</v>
      </c>
      <c r="V108" s="332">
        <f t="shared" si="29"/>
        <v>0</v>
      </c>
      <c r="W108" s="133"/>
      <c r="X108" s="332">
        <f t="shared" si="30"/>
        <v>0</v>
      </c>
      <c r="Y108" s="332">
        <f t="shared" si="30"/>
        <v>0</v>
      </c>
      <c r="Z108" s="332">
        <f t="shared" si="30"/>
        <v>0</v>
      </c>
      <c r="AA108" s="332">
        <f t="shared" si="30"/>
        <v>0</v>
      </c>
      <c r="AB108" s="332">
        <f t="shared" si="30"/>
        <v>0</v>
      </c>
      <c r="AC108" s="136"/>
      <c r="AD108" s="93"/>
    </row>
    <row r="109" spans="2:30" ht="12.75" customHeight="1">
      <c r="B109" s="93"/>
      <c r="C109" s="131"/>
      <c r="D109" s="169"/>
      <c r="E109" s="169"/>
      <c r="F109" s="567"/>
      <c r="G109" s="170"/>
      <c r="H109" s="314"/>
      <c r="I109" s="170"/>
      <c r="J109" s="170"/>
      <c r="K109" s="133"/>
      <c r="L109" s="135">
        <f t="shared" si="24"/>
        <v>0</v>
      </c>
      <c r="M109" s="332">
        <f t="shared" si="20"/>
        <v>0</v>
      </c>
      <c r="N109" s="332">
        <f t="shared" si="21"/>
        <v>0</v>
      </c>
      <c r="O109" s="767" t="str">
        <f t="shared" si="22"/>
        <v>-</v>
      </c>
      <c r="P109" s="332">
        <f t="shared" si="23"/>
        <v>0</v>
      </c>
      <c r="Q109" s="133"/>
      <c r="R109" s="332">
        <f t="shared" si="29"/>
        <v>0</v>
      </c>
      <c r="S109" s="332">
        <f t="shared" si="29"/>
        <v>0</v>
      </c>
      <c r="T109" s="332">
        <f t="shared" si="29"/>
        <v>0</v>
      </c>
      <c r="U109" s="332">
        <f t="shared" si="29"/>
        <v>0</v>
      </c>
      <c r="V109" s="332">
        <f t="shared" si="29"/>
        <v>0</v>
      </c>
      <c r="W109" s="133"/>
      <c r="X109" s="332">
        <f t="shared" si="30"/>
        <v>0</v>
      </c>
      <c r="Y109" s="332">
        <f t="shared" si="30"/>
        <v>0</v>
      </c>
      <c r="Z109" s="332">
        <f t="shared" si="30"/>
        <v>0</v>
      </c>
      <c r="AA109" s="332">
        <f t="shared" si="30"/>
        <v>0</v>
      </c>
      <c r="AB109" s="332">
        <f t="shared" si="30"/>
        <v>0</v>
      </c>
      <c r="AC109" s="136"/>
      <c r="AD109" s="93"/>
    </row>
    <row r="110" spans="2:30" ht="12.75" customHeight="1">
      <c r="B110" s="93"/>
      <c r="C110" s="131"/>
      <c r="D110" s="169"/>
      <c r="E110" s="169"/>
      <c r="F110" s="567"/>
      <c r="G110" s="170"/>
      <c r="H110" s="314"/>
      <c r="I110" s="170"/>
      <c r="J110" s="170"/>
      <c r="K110" s="133"/>
      <c r="L110" s="135">
        <f t="shared" si="24"/>
        <v>0</v>
      </c>
      <c r="M110" s="332">
        <f t="shared" si="20"/>
        <v>0</v>
      </c>
      <c r="N110" s="332">
        <f t="shared" si="21"/>
        <v>0</v>
      </c>
      <c r="O110" s="767" t="str">
        <f t="shared" si="22"/>
        <v>-</v>
      </c>
      <c r="P110" s="332">
        <f t="shared" ref="P110:P141" si="31">IF(J110="geen",IF(I110&lt;$R$9,G110*H110,0),IF(I110&gt;=$R$9,0,IF((H110*G110-(R$9-I110)*N110)&lt;0,0,H110*G110-(R$9-I110)*N110)))</f>
        <v>0</v>
      </c>
      <c r="Q110" s="133"/>
      <c r="R110" s="332">
        <f t="shared" si="29"/>
        <v>0</v>
      </c>
      <c r="S110" s="332">
        <f t="shared" si="29"/>
        <v>0</v>
      </c>
      <c r="T110" s="332">
        <f t="shared" si="29"/>
        <v>0</v>
      </c>
      <c r="U110" s="332">
        <f t="shared" si="29"/>
        <v>0</v>
      </c>
      <c r="V110" s="332">
        <f t="shared" si="29"/>
        <v>0</v>
      </c>
      <c r="W110" s="133"/>
      <c r="X110" s="332">
        <f t="shared" si="30"/>
        <v>0</v>
      </c>
      <c r="Y110" s="332">
        <f t="shared" si="30"/>
        <v>0</v>
      </c>
      <c r="Z110" s="332">
        <f t="shared" si="30"/>
        <v>0</v>
      </c>
      <c r="AA110" s="332">
        <f t="shared" si="30"/>
        <v>0</v>
      </c>
      <c r="AB110" s="332">
        <f t="shared" si="30"/>
        <v>0</v>
      </c>
      <c r="AC110" s="136"/>
      <c r="AD110" s="93"/>
    </row>
    <row r="111" spans="2:30" ht="12.75" customHeight="1">
      <c r="B111" s="93"/>
      <c r="C111" s="131"/>
      <c r="D111" s="169"/>
      <c r="E111" s="169"/>
      <c r="F111" s="567"/>
      <c r="G111" s="170"/>
      <c r="H111" s="314"/>
      <c r="I111" s="170"/>
      <c r="J111" s="170"/>
      <c r="K111" s="133"/>
      <c r="L111" s="135">
        <f t="shared" si="24"/>
        <v>0</v>
      </c>
      <c r="M111" s="332">
        <f t="shared" si="20"/>
        <v>0</v>
      </c>
      <c r="N111" s="332">
        <f t="shared" si="21"/>
        <v>0</v>
      </c>
      <c r="O111" s="767" t="str">
        <f t="shared" si="22"/>
        <v>-</v>
      </c>
      <c r="P111" s="332">
        <f t="shared" si="31"/>
        <v>0</v>
      </c>
      <c r="Q111" s="133"/>
      <c r="R111" s="332">
        <f t="shared" si="29"/>
        <v>0</v>
      </c>
      <c r="S111" s="332">
        <f t="shared" si="29"/>
        <v>0</v>
      </c>
      <c r="T111" s="332">
        <f t="shared" si="29"/>
        <v>0</v>
      </c>
      <c r="U111" s="332">
        <f t="shared" si="29"/>
        <v>0</v>
      </c>
      <c r="V111" s="332">
        <f t="shared" si="29"/>
        <v>0</v>
      </c>
      <c r="W111" s="133"/>
      <c r="X111" s="332">
        <f t="shared" si="30"/>
        <v>0</v>
      </c>
      <c r="Y111" s="332">
        <f t="shared" si="30"/>
        <v>0</v>
      </c>
      <c r="Z111" s="332">
        <f t="shared" si="30"/>
        <v>0</v>
      </c>
      <c r="AA111" s="332">
        <f t="shared" si="30"/>
        <v>0</v>
      </c>
      <c r="AB111" s="332">
        <f t="shared" si="30"/>
        <v>0</v>
      </c>
      <c r="AC111" s="136"/>
      <c r="AD111" s="93"/>
    </row>
    <row r="112" spans="2:30" ht="12.75" customHeight="1">
      <c r="B112" s="93"/>
      <c r="C112" s="131"/>
      <c r="D112" s="169"/>
      <c r="E112" s="169"/>
      <c r="F112" s="567"/>
      <c r="G112" s="170"/>
      <c r="H112" s="314"/>
      <c r="I112" s="170"/>
      <c r="J112" s="170"/>
      <c r="K112" s="133"/>
      <c r="L112" s="135">
        <f t="shared" si="24"/>
        <v>0</v>
      </c>
      <c r="M112" s="332">
        <f t="shared" si="20"/>
        <v>0</v>
      </c>
      <c r="N112" s="332">
        <f t="shared" si="21"/>
        <v>0</v>
      </c>
      <c r="O112" s="767" t="str">
        <f t="shared" si="22"/>
        <v>-</v>
      </c>
      <c r="P112" s="332">
        <f t="shared" si="31"/>
        <v>0</v>
      </c>
      <c r="Q112" s="133"/>
      <c r="R112" s="332">
        <f t="shared" si="29"/>
        <v>0</v>
      </c>
      <c r="S112" s="332">
        <f t="shared" si="29"/>
        <v>0</v>
      </c>
      <c r="T112" s="332">
        <f t="shared" si="29"/>
        <v>0</v>
      </c>
      <c r="U112" s="332">
        <f t="shared" si="29"/>
        <v>0</v>
      </c>
      <c r="V112" s="332">
        <f t="shared" si="29"/>
        <v>0</v>
      </c>
      <c r="W112" s="133"/>
      <c r="X112" s="332">
        <f t="shared" si="30"/>
        <v>0</v>
      </c>
      <c r="Y112" s="332">
        <f t="shared" si="30"/>
        <v>0</v>
      </c>
      <c r="Z112" s="332">
        <f t="shared" si="30"/>
        <v>0</v>
      </c>
      <c r="AA112" s="332">
        <f t="shared" si="30"/>
        <v>0</v>
      </c>
      <c r="AB112" s="332">
        <f t="shared" si="30"/>
        <v>0</v>
      </c>
      <c r="AC112" s="136"/>
      <c r="AD112" s="93"/>
    </row>
    <row r="113" spans="2:30" ht="12.75" customHeight="1">
      <c r="B113" s="93"/>
      <c r="C113" s="131"/>
      <c r="D113" s="169"/>
      <c r="E113" s="169"/>
      <c r="F113" s="567"/>
      <c r="G113" s="170"/>
      <c r="H113" s="314"/>
      <c r="I113" s="170"/>
      <c r="J113" s="170"/>
      <c r="K113" s="133"/>
      <c r="L113" s="135">
        <f t="shared" si="24"/>
        <v>0</v>
      </c>
      <c r="M113" s="332">
        <f t="shared" si="20"/>
        <v>0</v>
      </c>
      <c r="N113" s="332">
        <f t="shared" si="21"/>
        <v>0</v>
      </c>
      <c r="O113" s="767" t="str">
        <f t="shared" si="22"/>
        <v>-</v>
      </c>
      <c r="P113" s="332">
        <f t="shared" si="31"/>
        <v>0</v>
      </c>
      <c r="Q113" s="133"/>
      <c r="R113" s="332">
        <f t="shared" si="29"/>
        <v>0</v>
      </c>
      <c r="S113" s="332">
        <f t="shared" si="29"/>
        <v>0</v>
      </c>
      <c r="T113" s="332">
        <f t="shared" si="29"/>
        <v>0</v>
      </c>
      <c r="U113" s="332">
        <f t="shared" si="29"/>
        <v>0</v>
      </c>
      <c r="V113" s="332">
        <f t="shared" si="29"/>
        <v>0</v>
      </c>
      <c r="W113" s="133"/>
      <c r="X113" s="332">
        <f t="shared" si="30"/>
        <v>0</v>
      </c>
      <c r="Y113" s="332">
        <f t="shared" si="30"/>
        <v>0</v>
      </c>
      <c r="Z113" s="332">
        <f t="shared" si="30"/>
        <v>0</v>
      </c>
      <c r="AA113" s="332">
        <f t="shared" si="30"/>
        <v>0</v>
      </c>
      <c r="AB113" s="332">
        <f t="shared" si="30"/>
        <v>0</v>
      </c>
      <c r="AC113" s="136"/>
      <c r="AD113" s="93"/>
    </row>
    <row r="114" spans="2:30" ht="12.75" customHeight="1">
      <c r="B114" s="93"/>
      <c r="C114" s="131"/>
      <c r="D114" s="169"/>
      <c r="E114" s="169"/>
      <c r="F114" s="567"/>
      <c r="G114" s="170"/>
      <c r="H114" s="314"/>
      <c r="I114" s="170"/>
      <c r="J114" s="170"/>
      <c r="K114" s="133"/>
      <c r="L114" s="135">
        <f t="shared" si="24"/>
        <v>0</v>
      </c>
      <c r="M114" s="332">
        <f t="shared" si="20"/>
        <v>0</v>
      </c>
      <c r="N114" s="332">
        <f t="shared" si="21"/>
        <v>0</v>
      </c>
      <c r="O114" s="767" t="str">
        <f t="shared" si="22"/>
        <v>-</v>
      </c>
      <c r="P114" s="332">
        <f t="shared" si="31"/>
        <v>0</v>
      </c>
      <c r="Q114" s="133"/>
      <c r="R114" s="332">
        <f t="shared" si="29"/>
        <v>0</v>
      </c>
      <c r="S114" s="332">
        <f t="shared" si="29"/>
        <v>0</v>
      </c>
      <c r="T114" s="332">
        <f t="shared" si="29"/>
        <v>0</v>
      </c>
      <c r="U114" s="332">
        <f t="shared" si="29"/>
        <v>0</v>
      </c>
      <c r="V114" s="332">
        <f t="shared" si="29"/>
        <v>0</v>
      </c>
      <c r="W114" s="133"/>
      <c r="X114" s="332">
        <f t="shared" si="30"/>
        <v>0</v>
      </c>
      <c r="Y114" s="332">
        <f t="shared" si="30"/>
        <v>0</v>
      </c>
      <c r="Z114" s="332">
        <f t="shared" si="30"/>
        <v>0</v>
      </c>
      <c r="AA114" s="332">
        <f t="shared" si="30"/>
        <v>0</v>
      </c>
      <c r="AB114" s="332">
        <f t="shared" si="30"/>
        <v>0</v>
      </c>
      <c r="AC114" s="136"/>
      <c r="AD114" s="93"/>
    </row>
    <row r="115" spans="2:30" ht="12.75" customHeight="1">
      <c r="B115" s="93"/>
      <c r="C115" s="131"/>
      <c r="D115" s="169"/>
      <c r="E115" s="169"/>
      <c r="F115" s="567"/>
      <c r="G115" s="170"/>
      <c r="H115" s="314"/>
      <c r="I115" s="170"/>
      <c r="J115" s="170"/>
      <c r="K115" s="133"/>
      <c r="L115" s="135">
        <f t="shared" si="24"/>
        <v>0</v>
      </c>
      <c r="M115" s="332">
        <f t="shared" si="20"/>
        <v>0</v>
      </c>
      <c r="N115" s="332">
        <f t="shared" si="21"/>
        <v>0</v>
      </c>
      <c r="O115" s="767" t="str">
        <f t="shared" si="22"/>
        <v>-</v>
      </c>
      <c r="P115" s="332">
        <f t="shared" si="31"/>
        <v>0</v>
      </c>
      <c r="Q115" s="133"/>
      <c r="R115" s="332">
        <f t="shared" ref="R115:V124" si="32">(IF(R$9&lt;$I115,0,IF($O115&lt;=R$9-1,0,$N115)))</f>
        <v>0</v>
      </c>
      <c r="S115" s="332">
        <f t="shared" si="32"/>
        <v>0</v>
      </c>
      <c r="T115" s="332">
        <f t="shared" si="32"/>
        <v>0</v>
      </c>
      <c r="U115" s="332">
        <f t="shared" si="32"/>
        <v>0</v>
      </c>
      <c r="V115" s="332">
        <f t="shared" si="32"/>
        <v>0</v>
      </c>
      <c r="W115" s="133"/>
      <c r="X115" s="332">
        <f t="shared" ref="X115:AB124" si="33">IF(X$9=$I115,($G115*$H115),0)</f>
        <v>0</v>
      </c>
      <c r="Y115" s="332">
        <f t="shared" si="33"/>
        <v>0</v>
      </c>
      <c r="Z115" s="332">
        <f t="shared" si="33"/>
        <v>0</v>
      </c>
      <c r="AA115" s="332">
        <f t="shared" si="33"/>
        <v>0</v>
      </c>
      <c r="AB115" s="332">
        <f t="shared" si="33"/>
        <v>0</v>
      </c>
      <c r="AC115" s="136"/>
      <c r="AD115" s="93"/>
    </row>
    <row r="116" spans="2:30" ht="12.75" customHeight="1">
      <c r="B116" s="93"/>
      <c r="C116" s="131"/>
      <c r="D116" s="169"/>
      <c r="E116" s="169"/>
      <c r="F116" s="567"/>
      <c r="G116" s="170"/>
      <c r="H116" s="314"/>
      <c r="I116" s="170"/>
      <c r="J116" s="170"/>
      <c r="K116" s="133"/>
      <c r="L116" s="135">
        <f t="shared" si="24"/>
        <v>0</v>
      </c>
      <c r="M116" s="332">
        <f t="shared" si="20"/>
        <v>0</v>
      </c>
      <c r="N116" s="332">
        <f t="shared" si="21"/>
        <v>0</v>
      </c>
      <c r="O116" s="767" t="str">
        <f t="shared" si="22"/>
        <v>-</v>
      </c>
      <c r="P116" s="332">
        <f t="shared" si="31"/>
        <v>0</v>
      </c>
      <c r="Q116" s="133"/>
      <c r="R116" s="332">
        <f t="shared" si="32"/>
        <v>0</v>
      </c>
      <c r="S116" s="332">
        <f t="shared" si="32"/>
        <v>0</v>
      </c>
      <c r="T116" s="332">
        <f t="shared" si="32"/>
        <v>0</v>
      </c>
      <c r="U116" s="332">
        <f t="shared" si="32"/>
        <v>0</v>
      </c>
      <c r="V116" s="332">
        <f t="shared" si="32"/>
        <v>0</v>
      </c>
      <c r="W116" s="133"/>
      <c r="X116" s="332">
        <f t="shared" si="33"/>
        <v>0</v>
      </c>
      <c r="Y116" s="332">
        <f t="shared" si="33"/>
        <v>0</v>
      </c>
      <c r="Z116" s="332">
        <f t="shared" si="33"/>
        <v>0</v>
      </c>
      <c r="AA116" s="332">
        <f t="shared" si="33"/>
        <v>0</v>
      </c>
      <c r="AB116" s="332">
        <f t="shared" si="33"/>
        <v>0</v>
      </c>
      <c r="AC116" s="136"/>
      <c r="AD116" s="93"/>
    </row>
    <row r="117" spans="2:30" ht="12.75" customHeight="1">
      <c r="B117" s="93"/>
      <c r="C117" s="131"/>
      <c r="D117" s="169"/>
      <c r="E117" s="169"/>
      <c r="F117" s="567"/>
      <c r="G117" s="170"/>
      <c r="H117" s="314"/>
      <c r="I117" s="170"/>
      <c r="J117" s="170"/>
      <c r="K117" s="133"/>
      <c r="L117" s="135">
        <f t="shared" si="24"/>
        <v>0</v>
      </c>
      <c r="M117" s="332">
        <f t="shared" si="20"/>
        <v>0</v>
      </c>
      <c r="N117" s="332">
        <f t="shared" si="21"/>
        <v>0</v>
      </c>
      <c r="O117" s="767" t="str">
        <f t="shared" si="22"/>
        <v>-</v>
      </c>
      <c r="P117" s="332">
        <f t="shared" si="31"/>
        <v>0</v>
      </c>
      <c r="Q117" s="133"/>
      <c r="R117" s="332">
        <f t="shared" si="32"/>
        <v>0</v>
      </c>
      <c r="S117" s="332">
        <f t="shared" si="32"/>
        <v>0</v>
      </c>
      <c r="T117" s="332">
        <f t="shared" si="32"/>
        <v>0</v>
      </c>
      <c r="U117" s="332">
        <f t="shared" si="32"/>
        <v>0</v>
      </c>
      <c r="V117" s="332">
        <f t="shared" si="32"/>
        <v>0</v>
      </c>
      <c r="W117" s="133"/>
      <c r="X117" s="332">
        <f t="shared" si="33"/>
        <v>0</v>
      </c>
      <c r="Y117" s="332">
        <f t="shared" si="33"/>
        <v>0</v>
      </c>
      <c r="Z117" s="332">
        <f t="shared" si="33"/>
        <v>0</v>
      </c>
      <c r="AA117" s="332">
        <f t="shared" si="33"/>
        <v>0</v>
      </c>
      <c r="AB117" s="332">
        <f t="shared" si="33"/>
        <v>0</v>
      </c>
      <c r="AC117" s="136"/>
      <c r="AD117" s="93"/>
    </row>
    <row r="118" spans="2:30" ht="12.75" customHeight="1">
      <c r="B118" s="93"/>
      <c r="C118" s="131"/>
      <c r="D118" s="169"/>
      <c r="E118" s="169"/>
      <c r="F118" s="567"/>
      <c r="G118" s="170"/>
      <c r="H118" s="314"/>
      <c r="I118" s="170"/>
      <c r="J118" s="170"/>
      <c r="K118" s="133"/>
      <c r="L118" s="135">
        <f t="shared" si="24"/>
        <v>0</v>
      </c>
      <c r="M118" s="332">
        <f t="shared" si="20"/>
        <v>0</v>
      </c>
      <c r="N118" s="332">
        <f t="shared" si="21"/>
        <v>0</v>
      </c>
      <c r="O118" s="767" t="str">
        <f t="shared" si="22"/>
        <v>-</v>
      </c>
      <c r="P118" s="332">
        <f t="shared" si="31"/>
        <v>0</v>
      </c>
      <c r="Q118" s="133"/>
      <c r="R118" s="332">
        <f t="shared" si="32"/>
        <v>0</v>
      </c>
      <c r="S118" s="332">
        <f t="shared" si="32"/>
        <v>0</v>
      </c>
      <c r="T118" s="332">
        <f t="shared" si="32"/>
        <v>0</v>
      </c>
      <c r="U118" s="332">
        <f t="shared" si="32"/>
        <v>0</v>
      </c>
      <c r="V118" s="332">
        <f t="shared" si="32"/>
        <v>0</v>
      </c>
      <c r="W118" s="133"/>
      <c r="X118" s="332">
        <f t="shared" si="33"/>
        <v>0</v>
      </c>
      <c r="Y118" s="332">
        <f t="shared" si="33"/>
        <v>0</v>
      </c>
      <c r="Z118" s="332">
        <f t="shared" si="33"/>
        <v>0</v>
      </c>
      <c r="AA118" s="332">
        <f t="shared" si="33"/>
        <v>0</v>
      </c>
      <c r="AB118" s="332">
        <f t="shared" si="33"/>
        <v>0</v>
      </c>
      <c r="AC118" s="136"/>
      <c r="AD118" s="93"/>
    </row>
    <row r="119" spans="2:30" ht="12.75" customHeight="1">
      <c r="B119" s="93"/>
      <c r="C119" s="131"/>
      <c r="D119" s="169"/>
      <c r="E119" s="169"/>
      <c r="F119" s="567"/>
      <c r="G119" s="170"/>
      <c r="H119" s="314"/>
      <c r="I119" s="170"/>
      <c r="J119" s="170"/>
      <c r="K119" s="133"/>
      <c r="L119" s="135">
        <f t="shared" si="24"/>
        <v>0</v>
      </c>
      <c r="M119" s="332">
        <f t="shared" si="20"/>
        <v>0</v>
      </c>
      <c r="N119" s="332">
        <f t="shared" si="21"/>
        <v>0</v>
      </c>
      <c r="O119" s="767" t="str">
        <f t="shared" si="22"/>
        <v>-</v>
      </c>
      <c r="P119" s="332">
        <f t="shared" si="31"/>
        <v>0</v>
      </c>
      <c r="Q119" s="133"/>
      <c r="R119" s="332">
        <f t="shared" si="32"/>
        <v>0</v>
      </c>
      <c r="S119" s="332">
        <f t="shared" si="32"/>
        <v>0</v>
      </c>
      <c r="T119" s="332">
        <f t="shared" si="32"/>
        <v>0</v>
      </c>
      <c r="U119" s="332">
        <f t="shared" si="32"/>
        <v>0</v>
      </c>
      <c r="V119" s="332">
        <f t="shared" si="32"/>
        <v>0</v>
      </c>
      <c r="W119" s="133"/>
      <c r="X119" s="332">
        <f t="shared" si="33"/>
        <v>0</v>
      </c>
      <c r="Y119" s="332">
        <f t="shared" si="33"/>
        <v>0</v>
      </c>
      <c r="Z119" s="332">
        <f t="shared" si="33"/>
        <v>0</v>
      </c>
      <c r="AA119" s="332">
        <f t="shared" si="33"/>
        <v>0</v>
      </c>
      <c r="AB119" s="332">
        <f t="shared" si="33"/>
        <v>0</v>
      </c>
      <c r="AC119" s="136"/>
      <c r="AD119" s="93"/>
    </row>
    <row r="120" spans="2:30" ht="12.75" customHeight="1">
      <c r="B120" s="93"/>
      <c r="C120" s="131"/>
      <c r="D120" s="169"/>
      <c r="E120" s="169"/>
      <c r="F120" s="567"/>
      <c r="G120" s="170"/>
      <c r="H120" s="314"/>
      <c r="I120" s="170"/>
      <c r="J120" s="170"/>
      <c r="K120" s="133"/>
      <c r="L120" s="135">
        <f t="shared" si="24"/>
        <v>0</v>
      </c>
      <c r="M120" s="332">
        <f t="shared" si="20"/>
        <v>0</v>
      </c>
      <c r="N120" s="332">
        <f t="shared" si="21"/>
        <v>0</v>
      </c>
      <c r="O120" s="767" t="str">
        <f t="shared" si="22"/>
        <v>-</v>
      </c>
      <c r="P120" s="332">
        <f t="shared" si="31"/>
        <v>0</v>
      </c>
      <c r="Q120" s="133"/>
      <c r="R120" s="332">
        <f t="shared" si="32"/>
        <v>0</v>
      </c>
      <c r="S120" s="332">
        <f t="shared" si="32"/>
        <v>0</v>
      </c>
      <c r="T120" s="332">
        <f t="shared" si="32"/>
        <v>0</v>
      </c>
      <c r="U120" s="332">
        <f t="shared" si="32"/>
        <v>0</v>
      </c>
      <c r="V120" s="332">
        <f t="shared" si="32"/>
        <v>0</v>
      </c>
      <c r="W120" s="133"/>
      <c r="X120" s="332">
        <f t="shared" si="33"/>
        <v>0</v>
      </c>
      <c r="Y120" s="332">
        <f t="shared" si="33"/>
        <v>0</v>
      </c>
      <c r="Z120" s="332">
        <f t="shared" si="33"/>
        <v>0</v>
      </c>
      <c r="AA120" s="332">
        <f t="shared" si="33"/>
        <v>0</v>
      </c>
      <c r="AB120" s="332">
        <f t="shared" si="33"/>
        <v>0</v>
      </c>
      <c r="AC120" s="136"/>
      <c r="AD120" s="93"/>
    </row>
    <row r="121" spans="2:30" ht="12.75" customHeight="1">
      <c r="B121" s="93"/>
      <c r="C121" s="131"/>
      <c r="D121" s="169"/>
      <c r="E121" s="169"/>
      <c r="F121" s="567"/>
      <c r="G121" s="170"/>
      <c r="H121" s="314"/>
      <c r="I121" s="170"/>
      <c r="J121" s="170"/>
      <c r="K121" s="133"/>
      <c r="L121" s="135">
        <f t="shared" si="24"/>
        <v>0</v>
      </c>
      <c r="M121" s="332">
        <f t="shared" si="20"/>
        <v>0</v>
      </c>
      <c r="N121" s="332">
        <f t="shared" si="21"/>
        <v>0</v>
      </c>
      <c r="O121" s="767" t="str">
        <f t="shared" si="22"/>
        <v>-</v>
      </c>
      <c r="P121" s="332">
        <f t="shared" si="31"/>
        <v>0</v>
      </c>
      <c r="Q121" s="133"/>
      <c r="R121" s="332">
        <f t="shared" si="32"/>
        <v>0</v>
      </c>
      <c r="S121" s="332">
        <f t="shared" si="32"/>
        <v>0</v>
      </c>
      <c r="T121" s="332">
        <f t="shared" si="32"/>
        <v>0</v>
      </c>
      <c r="U121" s="332">
        <f t="shared" si="32"/>
        <v>0</v>
      </c>
      <c r="V121" s="332">
        <f t="shared" si="32"/>
        <v>0</v>
      </c>
      <c r="W121" s="133"/>
      <c r="X121" s="332">
        <f t="shared" si="33"/>
        <v>0</v>
      </c>
      <c r="Y121" s="332">
        <f t="shared" si="33"/>
        <v>0</v>
      </c>
      <c r="Z121" s="332">
        <f t="shared" si="33"/>
        <v>0</v>
      </c>
      <c r="AA121" s="332">
        <f t="shared" si="33"/>
        <v>0</v>
      </c>
      <c r="AB121" s="332">
        <f t="shared" si="33"/>
        <v>0</v>
      </c>
      <c r="AC121" s="136"/>
      <c r="AD121" s="93"/>
    </row>
    <row r="122" spans="2:30" ht="12.75" customHeight="1">
      <c r="B122" s="93"/>
      <c r="C122" s="131"/>
      <c r="D122" s="169"/>
      <c r="E122" s="169"/>
      <c r="F122" s="567"/>
      <c r="G122" s="170"/>
      <c r="H122" s="314"/>
      <c r="I122" s="170"/>
      <c r="J122" s="170"/>
      <c r="K122" s="133"/>
      <c r="L122" s="135">
        <f t="shared" si="24"/>
        <v>0</v>
      </c>
      <c r="M122" s="332">
        <f t="shared" si="20"/>
        <v>0</v>
      </c>
      <c r="N122" s="332">
        <f t="shared" si="21"/>
        <v>0</v>
      </c>
      <c r="O122" s="767" t="str">
        <f t="shared" si="22"/>
        <v>-</v>
      </c>
      <c r="P122" s="332">
        <f t="shared" si="31"/>
        <v>0</v>
      </c>
      <c r="Q122" s="133"/>
      <c r="R122" s="332">
        <f t="shared" si="32"/>
        <v>0</v>
      </c>
      <c r="S122" s="332">
        <f t="shared" si="32"/>
        <v>0</v>
      </c>
      <c r="T122" s="332">
        <f t="shared" si="32"/>
        <v>0</v>
      </c>
      <c r="U122" s="332">
        <f t="shared" si="32"/>
        <v>0</v>
      </c>
      <c r="V122" s="332">
        <f t="shared" si="32"/>
        <v>0</v>
      </c>
      <c r="W122" s="133"/>
      <c r="X122" s="332">
        <f t="shared" si="33"/>
        <v>0</v>
      </c>
      <c r="Y122" s="332">
        <f t="shared" si="33"/>
        <v>0</v>
      </c>
      <c r="Z122" s="332">
        <f t="shared" si="33"/>
        <v>0</v>
      </c>
      <c r="AA122" s="332">
        <f t="shared" si="33"/>
        <v>0</v>
      </c>
      <c r="AB122" s="332">
        <f t="shared" si="33"/>
        <v>0</v>
      </c>
      <c r="AC122" s="136"/>
      <c r="AD122" s="93"/>
    </row>
    <row r="123" spans="2:30" ht="12.75" customHeight="1">
      <c r="B123" s="93"/>
      <c r="C123" s="131"/>
      <c r="D123" s="169"/>
      <c r="E123" s="169"/>
      <c r="F123" s="567"/>
      <c r="G123" s="170"/>
      <c r="H123" s="314"/>
      <c r="I123" s="170"/>
      <c r="J123" s="170"/>
      <c r="K123" s="133"/>
      <c r="L123" s="135">
        <f t="shared" si="24"/>
        <v>0</v>
      </c>
      <c r="M123" s="332">
        <f t="shared" si="20"/>
        <v>0</v>
      </c>
      <c r="N123" s="332">
        <f t="shared" si="21"/>
        <v>0</v>
      </c>
      <c r="O123" s="767" t="str">
        <f t="shared" si="22"/>
        <v>-</v>
      </c>
      <c r="P123" s="332">
        <f t="shared" si="31"/>
        <v>0</v>
      </c>
      <c r="Q123" s="133"/>
      <c r="R123" s="332">
        <f t="shared" si="32"/>
        <v>0</v>
      </c>
      <c r="S123" s="332">
        <f t="shared" si="32"/>
        <v>0</v>
      </c>
      <c r="T123" s="332">
        <f t="shared" si="32"/>
        <v>0</v>
      </c>
      <c r="U123" s="332">
        <f t="shared" si="32"/>
        <v>0</v>
      </c>
      <c r="V123" s="332">
        <f t="shared" si="32"/>
        <v>0</v>
      </c>
      <c r="W123" s="133"/>
      <c r="X123" s="332">
        <f t="shared" si="33"/>
        <v>0</v>
      </c>
      <c r="Y123" s="332">
        <f t="shared" si="33"/>
        <v>0</v>
      </c>
      <c r="Z123" s="332">
        <f t="shared" si="33"/>
        <v>0</v>
      </c>
      <c r="AA123" s="332">
        <f t="shared" si="33"/>
        <v>0</v>
      </c>
      <c r="AB123" s="332">
        <f t="shared" si="33"/>
        <v>0</v>
      </c>
      <c r="AC123" s="136"/>
      <c r="AD123" s="93"/>
    </row>
    <row r="124" spans="2:30" ht="12.75" customHeight="1">
      <c r="B124" s="93"/>
      <c r="C124" s="131"/>
      <c r="D124" s="169"/>
      <c r="E124" s="169"/>
      <c r="F124" s="567"/>
      <c r="G124" s="170"/>
      <c r="H124" s="314"/>
      <c r="I124" s="170"/>
      <c r="J124" s="170"/>
      <c r="K124" s="133"/>
      <c r="L124" s="135">
        <f t="shared" si="24"/>
        <v>0</v>
      </c>
      <c r="M124" s="332">
        <f t="shared" si="20"/>
        <v>0</v>
      </c>
      <c r="N124" s="332">
        <f t="shared" si="21"/>
        <v>0</v>
      </c>
      <c r="O124" s="767" t="str">
        <f t="shared" si="22"/>
        <v>-</v>
      </c>
      <c r="P124" s="332">
        <f t="shared" si="31"/>
        <v>0</v>
      </c>
      <c r="Q124" s="133"/>
      <c r="R124" s="332">
        <f t="shared" si="32"/>
        <v>0</v>
      </c>
      <c r="S124" s="332">
        <f t="shared" si="32"/>
        <v>0</v>
      </c>
      <c r="T124" s="332">
        <f t="shared" si="32"/>
        <v>0</v>
      </c>
      <c r="U124" s="332">
        <f t="shared" si="32"/>
        <v>0</v>
      </c>
      <c r="V124" s="332">
        <f t="shared" si="32"/>
        <v>0</v>
      </c>
      <c r="W124" s="133"/>
      <c r="X124" s="332">
        <f t="shared" si="33"/>
        <v>0</v>
      </c>
      <c r="Y124" s="332">
        <f t="shared" si="33"/>
        <v>0</v>
      </c>
      <c r="Z124" s="332">
        <f t="shared" si="33"/>
        <v>0</v>
      </c>
      <c r="AA124" s="332">
        <f t="shared" si="33"/>
        <v>0</v>
      </c>
      <c r="AB124" s="332">
        <f t="shared" si="33"/>
        <v>0</v>
      </c>
      <c r="AC124" s="136"/>
      <c r="AD124" s="93"/>
    </row>
    <row r="125" spans="2:30" ht="12.75" customHeight="1">
      <c r="B125" s="93"/>
      <c r="C125" s="131"/>
      <c r="D125" s="169"/>
      <c r="E125" s="169"/>
      <c r="F125" s="567"/>
      <c r="G125" s="170"/>
      <c r="H125" s="314"/>
      <c r="I125" s="170"/>
      <c r="J125" s="170"/>
      <c r="K125" s="133"/>
      <c r="L125" s="135">
        <f t="shared" si="24"/>
        <v>0</v>
      </c>
      <c r="M125" s="332">
        <f t="shared" si="20"/>
        <v>0</v>
      </c>
      <c r="N125" s="332">
        <f t="shared" si="21"/>
        <v>0</v>
      </c>
      <c r="O125" s="767" t="str">
        <f t="shared" si="22"/>
        <v>-</v>
      </c>
      <c r="P125" s="332">
        <f t="shared" si="31"/>
        <v>0</v>
      </c>
      <c r="Q125" s="133"/>
      <c r="R125" s="332">
        <f t="shared" ref="R125:V134" si="34">(IF(R$9&lt;$I125,0,IF($O125&lt;=R$9-1,0,$N125)))</f>
        <v>0</v>
      </c>
      <c r="S125" s="332">
        <f t="shared" si="34"/>
        <v>0</v>
      </c>
      <c r="T125" s="332">
        <f t="shared" si="34"/>
        <v>0</v>
      </c>
      <c r="U125" s="332">
        <f t="shared" si="34"/>
        <v>0</v>
      </c>
      <c r="V125" s="332">
        <f t="shared" si="34"/>
        <v>0</v>
      </c>
      <c r="W125" s="133"/>
      <c r="X125" s="332">
        <f t="shared" ref="X125:AB134" si="35">IF(X$9=$I125,($G125*$H125),0)</f>
        <v>0</v>
      </c>
      <c r="Y125" s="332">
        <f t="shared" si="35"/>
        <v>0</v>
      </c>
      <c r="Z125" s="332">
        <f t="shared" si="35"/>
        <v>0</v>
      </c>
      <c r="AA125" s="332">
        <f t="shared" si="35"/>
        <v>0</v>
      </c>
      <c r="AB125" s="332">
        <f t="shared" si="35"/>
        <v>0</v>
      </c>
      <c r="AC125" s="136"/>
      <c r="AD125" s="93"/>
    </row>
    <row r="126" spans="2:30" ht="12.75" customHeight="1">
      <c r="B126" s="93"/>
      <c r="C126" s="131"/>
      <c r="D126" s="169"/>
      <c r="E126" s="169"/>
      <c r="F126" s="567"/>
      <c r="G126" s="170"/>
      <c r="H126" s="314"/>
      <c r="I126" s="170"/>
      <c r="J126" s="170"/>
      <c r="K126" s="133"/>
      <c r="L126" s="135">
        <f t="shared" si="24"/>
        <v>0</v>
      </c>
      <c r="M126" s="332">
        <f t="shared" si="20"/>
        <v>0</v>
      </c>
      <c r="N126" s="332">
        <f t="shared" si="21"/>
        <v>0</v>
      </c>
      <c r="O126" s="767" t="str">
        <f t="shared" si="22"/>
        <v>-</v>
      </c>
      <c r="P126" s="332">
        <f t="shared" si="31"/>
        <v>0</v>
      </c>
      <c r="Q126" s="133"/>
      <c r="R126" s="332">
        <f t="shared" si="34"/>
        <v>0</v>
      </c>
      <c r="S126" s="332">
        <f t="shared" si="34"/>
        <v>0</v>
      </c>
      <c r="T126" s="332">
        <f t="shared" si="34"/>
        <v>0</v>
      </c>
      <c r="U126" s="332">
        <f t="shared" si="34"/>
        <v>0</v>
      </c>
      <c r="V126" s="332">
        <f t="shared" si="34"/>
        <v>0</v>
      </c>
      <c r="W126" s="133"/>
      <c r="X126" s="332">
        <f t="shared" si="35"/>
        <v>0</v>
      </c>
      <c r="Y126" s="332">
        <f t="shared" si="35"/>
        <v>0</v>
      </c>
      <c r="Z126" s="332">
        <f t="shared" si="35"/>
        <v>0</v>
      </c>
      <c r="AA126" s="332">
        <f t="shared" si="35"/>
        <v>0</v>
      </c>
      <c r="AB126" s="332">
        <f t="shared" si="35"/>
        <v>0</v>
      </c>
      <c r="AC126" s="136"/>
      <c r="AD126" s="93"/>
    </row>
    <row r="127" spans="2:30" ht="12.75" customHeight="1">
      <c r="B127" s="93"/>
      <c r="C127" s="131"/>
      <c r="D127" s="169"/>
      <c r="E127" s="169"/>
      <c r="F127" s="567"/>
      <c r="G127" s="170"/>
      <c r="H127" s="314"/>
      <c r="I127" s="170"/>
      <c r="J127" s="170"/>
      <c r="K127" s="133"/>
      <c r="L127" s="135">
        <f t="shared" si="24"/>
        <v>0</v>
      </c>
      <c r="M127" s="332">
        <f t="shared" si="20"/>
        <v>0</v>
      </c>
      <c r="N127" s="332">
        <f t="shared" si="21"/>
        <v>0</v>
      </c>
      <c r="O127" s="767" t="str">
        <f t="shared" si="22"/>
        <v>-</v>
      </c>
      <c r="P127" s="332">
        <f t="shared" si="31"/>
        <v>0</v>
      </c>
      <c r="Q127" s="133"/>
      <c r="R127" s="332">
        <f t="shared" si="34"/>
        <v>0</v>
      </c>
      <c r="S127" s="332">
        <f t="shared" si="34"/>
        <v>0</v>
      </c>
      <c r="T127" s="332">
        <f t="shared" si="34"/>
        <v>0</v>
      </c>
      <c r="U127" s="332">
        <f t="shared" si="34"/>
        <v>0</v>
      </c>
      <c r="V127" s="332">
        <f t="shared" si="34"/>
        <v>0</v>
      </c>
      <c r="W127" s="133"/>
      <c r="X127" s="332">
        <f t="shared" si="35"/>
        <v>0</v>
      </c>
      <c r="Y127" s="332">
        <f t="shared" si="35"/>
        <v>0</v>
      </c>
      <c r="Z127" s="332">
        <f t="shared" si="35"/>
        <v>0</v>
      </c>
      <c r="AA127" s="332">
        <f t="shared" si="35"/>
        <v>0</v>
      </c>
      <c r="AB127" s="332">
        <f t="shared" si="35"/>
        <v>0</v>
      </c>
      <c r="AC127" s="136"/>
      <c r="AD127" s="93"/>
    </row>
    <row r="128" spans="2:30" ht="12.75" customHeight="1">
      <c r="B128" s="93"/>
      <c r="C128" s="131"/>
      <c r="D128" s="169"/>
      <c r="E128" s="169"/>
      <c r="F128" s="567"/>
      <c r="G128" s="170"/>
      <c r="H128" s="314"/>
      <c r="I128" s="170"/>
      <c r="J128" s="170"/>
      <c r="K128" s="133"/>
      <c r="L128" s="135">
        <f t="shared" si="24"/>
        <v>0</v>
      </c>
      <c r="M128" s="332">
        <f t="shared" si="20"/>
        <v>0</v>
      </c>
      <c r="N128" s="332">
        <f t="shared" si="21"/>
        <v>0</v>
      </c>
      <c r="O128" s="767" t="str">
        <f t="shared" si="22"/>
        <v>-</v>
      </c>
      <c r="P128" s="332">
        <f t="shared" si="31"/>
        <v>0</v>
      </c>
      <c r="Q128" s="133"/>
      <c r="R128" s="332">
        <f t="shared" si="34"/>
        <v>0</v>
      </c>
      <c r="S128" s="332">
        <f t="shared" si="34"/>
        <v>0</v>
      </c>
      <c r="T128" s="332">
        <f t="shared" si="34"/>
        <v>0</v>
      </c>
      <c r="U128" s="332">
        <f t="shared" si="34"/>
        <v>0</v>
      </c>
      <c r="V128" s="332">
        <f t="shared" si="34"/>
        <v>0</v>
      </c>
      <c r="W128" s="133"/>
      <c r="X128" s="332">
        <f t="shared" si="35"/>
        <v>0</v>
      </c>
      <c r="Y128" s="332">
        <f t="shared" si="35"/>
        <v>0</v>
      </c>
      <c r="Z128" s="332">
        <f t="shared" si="35"/>
        <v>0</v>
      </c>
      <c r="AA128" s="332">
        <f t="shared" si="35"/>
        <v>0</v>
      </c>
      <c r="AB128" s="332">
        <f t="shared" si="35"/>
        <v>0</v>
      </c>
      <c r="AC128" s="136"/>
      <c r="AD128" s="93"/>
    </row>
    <row r="129" spans="2:30" ht="12.75" customHeight="1">
      <c r="B129" s="93"/>
      <c r="C129" s="131"/>
      <c r="D129" s="169"/>
      <c r="E129" s="169"/>
      <c r="F129" s="567"/>
      <c r="G129" s="170"/>
      <c r="H129" s="314"/>
      <c r="I129" s="170"/>
      <c r="J129" s="170"/>
      <c r="K129" s="133"/>
      <c r="L129" s="135">
        <f t="shared" si="24"/>
        <v>0</v>
      </c>
      <c r="M129" s="332">
        <f t="shared" si="20"/>
        <v>0</v>
      </c>
      <c r="N129" s="332">
        <f t="shared" si="21"/>
        <v>0</v>
      </c>
      <c r="O129" s="767" t="str">
        <f t="shared" si="22"/>
        <v>-</v>
      </c>
      <c r="P129" s="332">
        <f t="shared" si="31"/>
        <v>0</v>
      </c>
      <c r="Q129" s="133"/>
      <c r="R129" s="332">
        <f t="shared" si="34"/>
        <v>0</v>
      </c>
      <c r="S129" s="332">
        <f t="shared" si="34"/>
        <v>0</v>
      </c>
      <c r="T129" s="332">
        <f t="shared" si="34"/>
        <v>0</v>
      </c>
      <c r="U129" s="332">
        <f t="shared" si="34"/>
        <v>0</v>
      </c>
      <c r="V129" s="332">
        <f t="shared" si="34"/>
        <v>0</v>
      </c>
      <c r="W129" s="133"/>
      <c r="X129" s="332">
        <f t="shared" si="35"/>
        <v>0</v>
      </c>
      <c r="Y129" s="332">
        <f t="shared" si="35"/>
        <v>0</v>
      </c>
      <c r="Z129" s="332">
        <f t="shared" si="35"/>
        <v>0</v>
      </c>
      <c r="AA129" s="332">
        <f t="shared" si="35"/>
        <v>0</v>
      </c>
      <c r="AB129" s="332">
        <f t="shared" si="35"/>
        <v>0</v>
      </c>
      <c r="AC129" s="136"/>
      <c r="AD129" s="93"/>
    </row>
    <row r="130" spans="2:30" ht="12.75" customHeight="1">
      <c r="B130" s="93"/>
      <c r="C130" s="131"/>
      <c r="D130" s="169"/>
      <c r="E130" s="169"/>
      <c r="F130" s="567"/>
      <c r="G130" s="170"/>
      <c r="H130" s="314"/>
      <c r="I130" s="170"/>
      <c r="J130" s="170"/>
      <c r="K130" s="133"/>
      <c r="L130" s="135">
        <f t="shared" si="24"/>
        <v>0</v>
      </c>
      <c r="M130" s="332">
        <f t="shared" si="20"/>
        <v>0</v>
      </c>
      <c r="N130" s="332">
        <f t="shared" si="21"/>
        <v>0</v>
      </c>
      <c r="O130" s="767" t="str">
        <f t="shared" si="22"/>
        <v>-</v>
      </c>
      <c r="P130" s="332">
        <f t="shared" si="31"/>
        <v>0</v>
      </c>
      <c r="Q130" s="133"/>
      <c r="R130" s="332">
        <f t="shared" si="34"/>
        <v>0</v>
      </c>
      <c r="S130" s="332">
        <f t="shared" si="34"/>
        <v>0</v>
      </c>
      <c r="T130" s="332">
        <f t="shared" si="34"/>
        <v>0</v>
      </c>
      <c r="U130" s="332">
        <f t="shared" si="34"/>
        <v>0</v>
      </c>
      <c r="V130" s="332">
        <f t="shared" si="34"/>
        <v>0</v>
      </c>
      <c r="W130" s="133"/>
      <c r="X130" s="332">
        <f t="shared" si="35"/>
        <v>0</v>
      </c>
      <c r="Y130" s="332">
        <f t="shared" si="35"/>
        <v>0</v>
      </c>
      <c r="Z130" s="332">
        <f t="shared" si="35"/>
        <v>0</v>
      </c>
      <c r="AA130" s="332">
        <f t="shared" si="35"/>
        <v>0</v>
      </c>
      <c r="AB130" s="332">
        <f t="shared" si="35"/>
        <v>0</v>
      </c>
      <c r="AC130" s="136"/>
      <c r="AD130" s="93"/>
    </row>
    <row r="131" spans="2:30" ht="12.75" customHeight="1">
      <c r="B131" s="93"/>
      <c r="C131" s="131"/>
      <c r="D131" s="169"/>
      <c r="E131" s="169"/>
      <c r="F131" s="567"/>
      <c r="G131" s="170"/>
      <c r="H131" s="314"/>
      <c r="I131" s="170"/>
      <c r="J131" s="170"/>
      <c r="K131" s="133"/>
      <c r="L131" s="135">
        <f t="shared" si="24"/>
        <v>0</v>
      </c>
      <c r="M131" s="332">
        <f t="shared" si="20"/>
        <v>0</v>
      </c>
      <c r="N131" s="332">
        <f t="shared" si="21"/>
        <v>0</v>
      </c>
      <c r="O131" s="767" t="str">
        <f t="shared" si="22"/>
        <v>-</v>
      </c>
      <c r="P131" s="332">
        <f t="shared" si="31"/>
        <v>0</v>
      </c>
      <c r="Q131" s="133"/>
      <c r="R131" s="332">
        <f t="shared" si="34"/>
        <v>0</v>
      </c>
      <c r="S131" s="332">
        <f t="shared" si="34"/>
        <v>0</v>
      </c>
      <c r="T131" s="332">
        <f t="shared" si="34"/>
        <v>0</v>
      </c>
      <c r="U131" s="332">
        <f t="shared" si="34"/>
        <v>0</v>
      </c>
      <c r="V131" s="332">
        <f t="shared" si="34"/>
        <v>0</v>
      </c>
      <c r="W131" s="133"/>
      <c r="X131" s="332">
        <f t="shared" si="35"/>
        <v>0</v>
      </c>
      <c r="Y131" s="332">
        <f t="shared" si="35"/>
        <v>0</v>
      </c>
      <c r="Z131" s="332">
        <f t="shared" si="35"/>
        <v>0</v>
      </c>
      <c r="AA131" s="332">
        <f t="shared" si="35"/>
        <v>0</v>
      </c>
      <c r="AB131" s="332">
        <f t="shared" si="35"/>
        <v>0</v>
      </c>
      <c r="AC131" s="136"/>
      <c r="AD131" s="93"/>
    </row>
    <row r="132" spans="2:30" ht="12.75" customHeight="1">
      <c r="B132" s="93"/>
      <c r="C132" s="131"/>
      <c r="D132" s="169"/>
      <c r="E132" s="169"/>
      <c r="F132" s="567"/>
      <c r="G132" s="170"/>
      <c r="H132" s="314"/>
      <c r="I132" s="170"/>
      <c r="J132" s="170"/>
      <c r="K132" s="133"/>
      <c r="L132" s="135">
        <f t="shared" si="24"/>
        <v>0</v>
      </c>
      <c r="M132" s="332">
        <f t="shared" si="20"/>
        <v>0</v>
      </c>
      <c r="N132" s="332">
        <f t="shared" si="21"/>
        <v>0</v>
      </c>
      <c r="O132" s="767" t="str">
        <f t="shared" si="22"/>
        <v>-</v>
      </c>
      <c r="P132" s="332">
        <f t="shared" si="31"/>
        <v>0</v>
      </c>
      <c r="Q132" s="133"/>
      <c r="R132" s="332">
        <f t="shared" si="34"/>
        <v>0</v>
      </c>
      <c r="S132" s="332">
        <f t="shared" si="34"/>
        <v>0</v>
      </c>
      <c r="T132" s="332">
        <f t="shared" si="34"/>
        <v>0</v>
      </c>
      <c r="U132" s="332">
        <f t="shared" si="34"/>
        <v>0</v>
      </c>
      <c r="V132" s="332">
        <f t="shared" si="34"/>
        <v>0</v>
      </c>
      <c r="W132" s="133"/>
      <c r="X132" s="332">
        <f t="shared" si="35"/>
        <v>0</v>
      </c>
      <c r="Y132" s="332">
        <f t="shared" si="35"/>
        <v>0</v>
      </c>
      <c r="Z132" s="332">
        <f t="shared" si="35"/>
        <v>0</v>
      </c>
      <c r="AA132" s="332">
        <f t="shared" si="35"/>
        <v>0</v>
      </c>
      <c r="AB132" s="332">
        <f t="shared" si="35"/>
        <v>0</v>
      </c>
      <c r="AC132" s="136"/>
      <c r="AD132" s="93"/>
    </row>
    <row r="133" spans="2:30" ht="12.75" customHeight="1">
      <c r="B133" s="93"/>
      <c r="C133" s="131"/>
      <c r="D133" s="169"/>
      <c r="E133" s="169"/>
      <c r="F133" s="567"/>
      <c r="G133" s="170"/>
      <c r="H133" s="314"/>
      <c r="I133" s="170"/>
      <c r="J133" s="170"/>
      <c r="K133" s="133"/>
      <c r="L133" s="135">
        <f t="shared" si="24"/>
        <v>0</v>
      </c>
      <c r="M133" s="332">
        <f t="shared" si="20"/>
        <v>0</v>
      </c>
      <c r="N133" s="332">
        <f t="shared" si="21"/>
        <v>0</v>
      </c>
      <c r="O133" s="767" t="str">
        <f t="shared" si="22"/>
        <v>-</v>
      </c>
      <c r="P133" s="332">
        <f t="shared" si="31"/>
        <v>0</v>
      </c>
      <c r="Q133" s="133"/>
      <c r="R133" s="332">
        <f t="shared" si="34"/>
        <v>0</v>
      </c>
      <c r="S133" s="332">
        <f t="shared" si="34"/>
        <v>0</v>
      </c>
      <c r="T133" s="332">
        <f t="shared" si="34"/>
        <v>0</v>
      </c>
      <c r="U133" s="332">
        <f t="shared" si="34"/>
        <v>0</v>
      </c>
      <c r="V133" s="332">
        <f t="shared" si="34"/>
        <v>0</v>
      </c>
      <c r="W133" s="133"/>
      <c r="X133" s="332">
        <f t="shared" si="35"/>
        <v>0</v>
      </c>
      <c r="Y133" s="332">
        <f t="shared" si="35"/>
        <v>0</v>
      </c>
      <c r="Z133" s="332">
        <f t="shared" si="35"/>
        <v>0</v>
      </c>
      <c r="AA133" s="332">
        <f t="shared" si="35"/>
        <v>0</v>
      </c>
      <c r="AB133" s="332">
        <f t="shared" si="35"/>
        <v>0</v>
      </c>
      <c r="AC133" s="136"/>
      <c r="AD133" s="93"/>
    </row>
    <row r="134" spans="2:30" ht="12.75" customHeight="1">
      <c r="B134" s="93"/>
      <c r="C134" s="131"/>
      <c r="D134" s="169"/>
      <c r="E134" s="169"/>
      <c r="F134" s="567"/>
      <c r="G134" s="170"/>
      <c r="H134" s="314"/>
      <c r="I134" s="170"/>
      <c r="J134" s="170"/>
      <c r="K134" s="133"/>
      <c r="L134" s="135">
        <f t="shared" si="24"/>
        <v>0</v>
      </c>
      <c r="M134" s="332">
        <f t="shared" si="20"/>
        <v>0</v>
      </c>
      <c r="N134" s="332">
        <f t="shared" si="21"/>
        <v>0</v>
      </c>
      <c r="O134" s="767" t="str">
        <f t="shared" si="22"/>
        <v>-</v>
      </c>
      <c r="P134" s="332">
        <f t="shared" si="31"/>
        <v>0</v>
      </c>
      <c r="Q134" s="133"/>
      <c r="R134" s="332">
        <f t="shared" si="34"/>
        <v>0</v>
      </c>
      <c r="S134" s="332">
        <f t="shared" si="34"/>
        <v>0</v>
      </c>
      <c r="T134" s="332">
        <f t="shared" si="34"/>
        <v>0</v>
      </c>
      <c r="U134" s="332">
        <f t="shared" si="34"/>
        <v>0</v>
      </c>
      <c r="V134" s="332">
        <f t="shared" si="34"/>
        <v>0</v>
      </c>
      <c r="W134" s="133"/>
      <c r="X134" s="332">
        <f t="shared" si="35"/>
        <v>0</v>
      </c>
      <c r="Y134" s="332">
        <f t="shared" si="35"/>
        <v>0</v>
      </c>
      <c r="Z134" s="332">
        <f t="shared" si="35"/>
        <v>0</v>
      </c>
      <c r="AA134" s="332">
        <f t="shared" si="35"/>
        <v>0</v>
      </c>
      <c r="AB134" s="332">
        <f t="shared" si="35"/>
        <v>0</v>
      </c>
      <c r="AC134" s="136"/>
      <c r="AD134" s="93"/>
    </row>
    <row r="135" spans="2:30" ht="12.75" customHeight="1">
      <c r="B135" s="93"/>
      <c r="C135" s="131"/>
      <c r="D135" s="169"/>
      <c r="E135" s="169"/>
      <c r="F135" s="567"/>
      <c r="G135" s="170"/>
      <c r="H135" s="314"/>
      <c r="I135" s="170"/>
      <c r="J135" s="170"/>
      <c r="K135" s="133"/>
      <c r="L135" s="135">
        <f t="shared" si="24"/>
        <v>0</v>
      </c>
      <c r="M135" s="332">
        <f t="shared" si="20"/>
        <v>0</v>
      </c>
      <c r="N135" s="332">
        <f t="shared" si="21"/>
        <v>0</v>
      </c>
      <c r="O135" s="767" t="str">
        <f t="shared" si="22"/>
        <v>-</v>
      </c>
      <c r="P135" s="332">
        <f t="shared" si="31"/>
        <v>0</v>
      </c>
      <c r="Q135" s="133"/>
      <c r="R135" s="332">
        <f t="shared" ref="R135:V142" si="36">(IF(R$9&lt;$I135,0,IF($O135&lt;=R$9-1,0,$N135)))</f>
        <v>0</v>
      </c>
      <c r="S135" s="332">
        <f t="shared" si="36"/>
        <v>0</v>
      </c>
      <c r="T135" s="332">
        <f t="shared" si="36"/>
        <v>0</v>
      </c>
      <c r="U135" s="332">
        <f t="shared" si="36"/>
        <v>0</v>
      </c>
      <c r="V135" s="332">
        <f t="shared" si="36"/>
        <v>0</v>
      </c>
      <c r="W135" s="133"/>
      <c r="X135" s="332">
        <f t="shared" ref="X135:AB142" si="37">IF(X$9=$I135,($G135*$H135),0)</f>
        <v>0</v>
      </c>
      <c r="Y135" s="332">
        <f t="shared" si="37"/>
        <v>0</v>
      </c>
      <c r="Z135" s="332">
        <f t="shared" si="37"/>
        <v>0</v>
      </c>
      <c r="AA135" s="332">
        <f t="shared" si="37"/>
        <v>0</v>
      </c>
      <c r="AB135" s="332">
        <f t="shared" si="37"/>
        <v>0</v>
      </c>
      <c r="AC135" s="136"/>
      <c r="AD135" s="93"/>
    </row>
    <row r="136" spans="2:30" ht="12.75" customHeight="1">
      <c r="B136" s="93"/>
      <c r="C136" s="131"/>
      <c r="D136" s="169"/>
      <c r="E136" s="169"/>
      <c r="F136" s="567"/>
      <c r="G136" s="170"/>
      <c r="H136" s="314"/>
      <c r="I136" s="170"/>
      <c r="J136" s="170"/>
      <c r="K136" s="133"/>
      <c r="L136" s="135">
        <f t="shared" si="24"/>
        <v>0</v>
      </c>
      <c r="M136" s="332">
        <f t="shared" si="20"/>
        <v>0</v>
      </c>
      <c r="N136" s="332">
        <f t="shared" si="21"/>
        <v>0</v>
      </c>
      <c r="O136" s="767" t="str">
        <f t="shared" si="22"/>
        <v>-</v>
      </c>
      <c r="P136" s="332">
        <f t="shared" si="31"/>
        <v>0</v>
      </c>
      <c r="Q136" s="133"/>
      <c r="R136" s="332">
        <f t="shared" si="36"/>
        <v>0</v>
      </c>
      <c r="S136" s="332">
        <f t="shared" si="36"/>
        <v>0</v>
      </c>
      <c r="T136" s="332">
        <f t="shared" si="36"/>
        <v>0</v>
      </c>
      <c r="U136" s="332">
        <f t="shared" si="36"/>
        <v>0</v>
      </c>
      <c r="V136" s="332">
        <f t="shared" si="36"/>
        <v>0</v>
      </c>
      <c r="W136" s="133"/>
      <c r="X136" s="332">
        <f t="shared" si="37"/>
        <v>0</v>
      </c>
      <c r="Y136" s="332">
        <f t="shared" si="37"/>
        <v>0</v>
      </c>
      <c r="Z136" s="332">
        <f t="shared" si="37"/>
        <v>0</v>
      </c>
      <c r="AA136" s="332">
        <f t="shared" si="37"/>
        <v>0</v>
      </c>
      <c r="AB136" s="332">
        <f t="shared" si="37"/>
        <v>0</v>
      </c>
      <c r="AC136" s="136"/>
      <c r="AD136" s="93"/>
    </row>
    <row r="137" spans="2:30" ht="12.75" customHeight="1">
      <c r="B137" s="93"/>
      <c r="C137" s="131"/>
      <c r="D137" s="169"/>
      <c r="E137" s="169"/>
      <c r="F137" s="567"/>
      <c r="G137" s="170"/>
      <c r="H137" s="314"/>
      <c r="I137" s="170"/>
      <c r="J137" s="170"/>
      <c r="K137" s="133"/>
      <c r="L137" s="135">
        <f t="shared" si="24"/>
        <v>0</v>
      </c>
      <c r="M137" s="332">
        <f t="shared" si="20"/>
        <v>0</v>
      </c>
      <c r="N137" s="332">
        <f t="shared" si="21"/>
        <v>0</v>
      </c>
      <c r="O137" s="767" t="str">
        <f t="shared" si="22"/>
        <v>-</v>
      </c>
      <c r="P137" s="332">
        <f t="shared" si="31"/>
        <v>0</v>
      </c>
      <c r="Q137" s="133"/>
      <c r="R137" s="332">
        <f t="shared" si="36"/>
        <v>0</v>
      </c>
      <c r="S137" s="332">
        <f t="shared" si="36"/>
        <v>0</v>
      </c>
      <c r="T137" s="332">
        <f t="shared" si="36"/>
        <v>0</v>
      </c>
      <c r="U137" s="332">
        <f t="shared" si="36"/>
        <v>0</v>
      </c>
      <c r="V137" s="332">
        <f t="shared" si="36"/>
        <v>0</v>
      </c>
      <c r="W137" s="133"/>
      <c r="X137" s="332">
        <f t="shared" si="37"/>
        <v>0</v>
      </c>
      <c r="Y137" s="332">
        <f t="shared" si="37"/>
        <v>0</v>
      </c>
      <c r="Z137" s="332">
        <f t="shared" si="37"/>
        <v>0</v>
      </c>
      <c r="AA137" s="332">
        <f t="shared" si="37"/>
        <v>0</v>
      </c>
      <c r="AB137" s="332">
        <f t="shared" si="37"/>
        <v>0</v>
      </c>
      <c r="AC137" s="136"/>
      <c r="AD137" s="93"/>
    </row>
    <row r="138" spans="2:30" ht="12.75" customHeight="1">
      <c r="B138" s="93"/>
      <c r="C138" s="131"/>
      <c r="D138" s="169"/>
      <c r="E138" s="169"/>
      <c r="F138" s="567"/>
      <c r="G138" s="170"/>
      <c r="H138" s="314"/>
      <c r="I138" s="170"/>
      <c r="J138" s="170"/>
      <c r="K138" s="133"/>
      <c r="L138" s="135">
        <f t="shared" si="24"/>
        <v>0</v>
      </c>
      <c r="M138" s="332">
        <f t="shared" si="20"/>
        <v>0</v>
      </c>
      <c r="N138" s="332">
        <f t="shared" si="21"/>
        <v>0</v>
      </c>
      <c r="O138" s="767" t="str">
        <f t="shared" si="22"/>
        <v>-</v>
      </c>
      <c r="P138" s="332">
        <f t="shared" si="31"/>
        <v>0</v>
      </c>
      <c r="Q138" s="133"/>
      <c r="R138" s="332">
        <f t="shared" si="36"/>
        <v>0</v>
      </c>
      <c r="S138" s="332">
        <f t="shared" si="36"/>
        <v>0</v>
      </c>
      <c r="T138" s="332">
        <f t="shared" si="36"/>
        <v>0</v>
      </c>
      <c r="U138" s="332">
        <f t="shared" si="36"/>
        <v>0</v>
      </c>
      <c r="V138" s="332">
        <f t="shared" si="36"/>
        <v>0</v>
      </c>
      <c r="W138" s="133"/>
      <c r="X138" s="332">
        <f t="shared" si="37"/>
        <v>0</v>
      </c>
      <c r="Y138" s="332">
        <f t="shared" si="37"/>
        <v>0</v>
      </c>
      <c r="Z138" s="332">
        <f t="shared" si="37"/>
        <v>0</v>
      </c>
      <c r="AA138" s="332">
        <f t="shared" si="37"/>
        <v>0</v>
      </c>
      <c r="AB138" s="332">
        <f t="shared" si="37"/>
        <v>0</v>
      </c>
      <c r="AC138" s="136"/>
      <c r="AD138" s="93"/>
    </row>
    <row r="139" spans="2:30" ht="12.75" customHeight="1">
      <c r="B139" s="93"/>
      <c r="C139" s="131"/>
      <c r="D139" s="169"/>
      <c r="E139" s="169"/>
      <c r="F139" s="567"/>
      <c r="G139" s="170"/>
      <c r="H139" s="314"/>
      <c r="I139" s="170"/>
      <c r="J139" s="170"/>
      <c r="K139" s="133"/>
      <c r="L139" s="135">
        <f t="shared" si="24"/>
        <v>0</v>
      </c>
      <c r="M139" s="332">
        <f t="shared" si="20"/>
        <v>0</v>
      </c>
      <c r="N139" s="332">
        <f t="shared" si="21"/>
        <v>0</v>
      </c>
      <c r="O139" s="767" t="str">
        <f t="shared" si="22"/>
        <v>-</v>
      </c>
      <c r="P139" s="332">
        <f t="shared" si="31"/>
        <v>0</v>
      </c>
      <c r="Q139" s="133"/>
      <c r="R139" s="332">
        <f t="shared" si="36"/>
        <v>0</v>
      </c>
      <c r="S139" s="332">
        <f t="shared" si="36"/>
        <v>0</v>
      </c>
      <c r="T139" s="332">
        <f t="shared" si="36"/>
        <v>0</v>
      </c>
      <c r="U139" s="332">
        <f t="shared" si="36"/>
        <v>0</v>
      </c>
      <c r="V139" s="332">
        <f t="shared" si="36"/>
        <v>0</v>
      </c>
      <c r="W139" s="133"/>
      <c r="X139" s="332">
        <f t="shared" si="37"/>
        <v>0</v>
      </c>
      <c r="Y139" s="332">
        <f t="shared" si="37"/>
        <v>0</v>
      </c>
      <c r="Z139" s="332">
        <f t="shared" si="37"/>
        <v>0</v>
      </c>
      <c r="AA139" s="332">
        <f t="shared" si="37"/>
        <v>0</v>
      </c>
      <c r="AB139" s="332">
        <f t="shared" si="37"/>
        <v>0</v>
      </c>
      <c r="AC139" s="136"/>
      <c r="AD139" s="93"/>
    </row>
    <row r="140" spans="2:30" ht="12.75" customHeight="1">
      <c r="B140" s="93"/>
      <c r="C140" s="131"/>
      <c r="D140" s="169"/>
      <c r="E140" s="169"/>
      <c r="F140" s="567"/>
      <c r="G140" s="170"/>
      <c r="H140" s="314"/>
      <c r="I140" s="170"/>
      <c r="J140" s="170"/>
      <c r="K140" s="133"/>
      <c r="L140" s="135">
        <f t="shared" si="24"/>
        <v>0</v>
      </c>
      <c r="M140" s="332">
        <f t="shared" si="20"/>
        <v>0</v>
      </c>
      <c r="N140" s="332">
        <f t="shared" si="21"/>
        <v>0</v>
      </c>
      <c r="O140" s="767" t="str">
        <f t="shared" si="22"/>
        <v>-</v>
      </c>
      <c r="P140" s="332">
        <f t="shared" si="31"/>
        <v>0</v>
      </c>
      <c r="Q140" s="133"/>
      <c r="R140" s="332">
        <f t="shared" si="36"/>
        <v>0</v>
      </c>
      <c r="S140" s="332">
        <f t="shared" si="36"/>
        <v>0</v>
      </c>
      <c r="T140" s="332">
        <f t="shared" si="36"/>
        <v>0</v>
      </c>
      <c r="U140" s="332">
        <f t="shared" si="36"/>
        <v>0</v>
      </c>
      <c r="V140" s="332">
        <f t="shared" si="36"/>
        <v>0</v>
      </c>
      <c r="W140" s="133"/>
      <c r="X140" s="332">
        <f t="shared" si="37"/>
        <v>0</v>
      </c>
      <c r="Y140" s="332">
        <f t="shared" si="37"/>
        <v>0</v>
      </c>
      <c r="Z140" s="332">
        <f t="shared" si="37"/>
        <v>0</v>
      </c>
      <c r="AA140" s="332">
        <f t="shared" si="37"/>
        <v>0</v>
      </c>
      <c r="AB140" s="332">
        <f t="shared" si="37"/>
        <v>0</v>
      </c>
      <c r="AC140" s="136"/>
      <c r="AD140" s="93"/>
    </row>
    <row r="141" spans="2:30" ht="12.75" customHeight="1">
      <c r="B141" s="93"/>
      <c r="C141" s="131"/>
      <c r="D141" s="169"/>
      <c r="E141" s="169"/>
      <c r="F141" s="567"/>
      <c r="G141" s="170"/>
      <c r="H141" s="314"/>
      <c r="I141" s="170"/>
      <c r="J141" s="170"/>
      <c r="K141" s="133"/>
      <c r="L141" s="135">
        <f t="shared" si="24"/>
        <v>0</v>
      </c>
      <c r="M141" s="332">
        <f t="shared" si="20"/>
        <v>0</v>
      </c>
      <c r="N141" s="332">
        <f t="shared" si="21"/>
        <v>0</v>
      </c>
      <c r="O141" s="767" t="str">
        <f t="shared" si="22"/>
        <v>-</v>
      </c>
      <c r="P141" s="332">
        <f t="shared" si="31"/>
        <v>0</v>
      </c>
      <c r="Q141" s="133"/>
      <c r="R141" s="332">
        <f t="shared" si="36"/>
        <v>0</v>
      </c>
      <c r="S141" s="332">
        <f t="shared" si="36"/>
        <v>0</v>
      </c>
      <c r="T141" s="332">
        <f t="shared" si="36"/>
        <v>0</v>
      </c>
      <c r="U141" s="332">
        <f t="shared" si="36"/>
        <v>0</v>
      </c>
      <c r="V141" s="332">
        <f t="shared" si="36"/>
        <v>0</v>
      </c>
      <c r="W141" s="133"/>
      <c r="X141" s="332">
        <f t="shared" si="37"/>
        <v>0</v>
      </c>
      <c r="Y141" s="332">
        <f t="shared" si="37"/>
        <v>0</v>
      </c>
      <c r="Z141" s="332">
        <f t="shared" si="37"/>
        <v>0</v>
      </c>
      <c r="AA141" s="332">
        <f t="shared" si="37"/>
        <v>0</v>
      </c>
      <c r="AB141" s="332">
        <f t="shared" si="37"/>
        <v>0</v>
      </c>
      <c r="AC141" s="136"/>
      <c r="AD141" s="93"/>
    </row>
    <row r="142" spans="2:30" ht="12.75" customHeight="1">
      <c r="B142" s="93"/>
      <c r="C142" s="131"/>
      <c r="D142" s="169"/>
      <c r="E142" s="169"/>
      <c r="F142" s="567"/>
      <c r="G142" s="170"/>
      <c r="H142" s="314"/>
      <c r="I142" s="170"/>
      <c r="J142" s="170"/>
      <c r="K142" s="133"/>
      <c r="L142" s="135">
        <f t="shared" si="24"/>
        <v>0</v>
      </c>
      <c r="M142" s="332">
        <f>G142*H142</f>
        <v>0</v>
      </c>
      <c r="N142" s="332">
        <f>IF(G142=0,0,(G142*H142)/L142)</f>
        <v>0</v>
      </c>
      <c r="O142" s="767" t="str">
        <f>IF(L142=0,"-",(IF(L142&gt;3000,"-",I142+L142-1)))</f>
        <v>-</v>
      </c>
      <c r="P142" s="332">
        <f>IF(J142="geen",IF(I142&lt;$R$9,G142*H142,0),IF(I142&gt;=$R$9,0,IF((H142*G142-(R$9-I142)*N142)&lt;0,0,H142*G142-(R$9-I142)*N142)))</f>
        <v>0</v>
      </c>
      <c r="Q142" s="133"/>
      <c r="R142" s="332">
        <f t="shared" si="36"/>
        <v>0</v>
      </c>
      <c r="S142" s="332">
        <f t="shared" si="36"/>
        <v>0</v>
      </c>
      <c r="T142" s="332">
        <f t="shared" si="36"/>
        <v>0</v>
      </c>
      <c r="U142" s="332">
        <f t="shared" si="36"/>
        <v>0</v>
      </c>
      <c r="V142" s="332">
        <f t="shared" si="36"/>
        <v>0</v>
      </c>
      <c r="W142" s="133"/>
      <c r="X142" s="332">
        <f t="shared" si="37"/>
        <v>0</v>
      </c>
      <c r="Y142" s="332">
        <f t="shared" si="37"/>
        <v>0</v>
      </c>
      <c r="Z142" s="332">
        <f t="shared" si="37"/>
        <v>0</v>
      </c>
      <c r="AA142" s="332">
        <f t="shared" si="37"/>
        <v>0</v>
      </c>
      <c r="AB142" s="332">
        <f t="shared" si="37"/>
        <v>0</v>
      </c>
      <c r="AC142" s="136"/>
      <c r="AD142" s="93"/>
    </row>
    <row r="143" spans="2:30">
      <c r="B143" s="93"/>
      <c r="AD143" s="93"/>
    </row>
    <row r="144" spans="2:30">
      <c r="B144" s="93"/>
      <c r="C144" s="93"/>
      <c r="D144" s="271"/>
      <c r="E144" s="271"/>
      <c r="F144" s="95"/>
      <c r="G144" s="95"/>
      <c r="H144" s="95"/>
      <c r="I144" s="95"/>
      <c r="J144" s="95"/>
      <c r="K144" s="93"/>
      <c r="L144" s="93"/>
      <c r="M144" s="93"/>
      <c r="N144" s="93"/>
      <c r="O144" s="93"/>
      <c r="P144" s="93"/>
      <c r="Q144" s="93"/>
      <c r="R144" s="93"/>
      <c r="S144" s="93"/>
      <c r="T144" s="93"/>
      <c r="U144" s="93"/>
      <c r="V144" s="93"/>
      <c r="W144" s="93"/>
      <c r="X144" s="93"/>
      <c r="Y144" s="93"/>
      <c r="Z144" s="93"/>
      <c r="AA144" s="93"/>
      <c r="AB144" s="93"/>
      <c r="AC144" s="93"/>
      <c r="AD144" s="93"/>
    </row>
    <row r="145" spans="2:30">
      <c r="B145" s="93"/>
      <c r="C145" s="93"/>
      <c r="D145" s="271"/>
      <c r="E145" s="271"/>
      <c r="F145" s="95"/>
      <c r="G145" s="95"/>
      <c r="H145" s="95"/>
      <c r="I145" s="95"/>
      <c r="J145" s="95"/>
      <c r="K145" s="93"/>
      <c r="L145" s="93"/>
      <c r="M145" s="93"/>
      <c r="N145" s="93"/>
      <c r="O145" s="93"/>
      <c r="P145" s="93"/>
      <c r="Q145" s="93"/>
      <c r="R145" s="93"/>
      <c r="S145" s="93"/>
      <c r="T145" s="93"/>
      <c r="U145" s="93"/>
      <c r="V145" s="93"/>
      <c r="W145" s="93"/>
      <c r="X145" s="93"/>
      <c r="Y145" s="93"/>
      <c r="Z145" s="93"/>
      <c r="AA145" s="93"/>
      <c r="AB145" s="93"/>
      <c r="AC145" s="93"/>
      <c r="AD145" s="93"/>
    </row>
  </sheetData>
  <sheetProtection password="DFB1" sheet="1" objects="1" scenarios="1"/>
  <phoneticPr fontId="0" type="noConversion"/>
  <dataValidations count="2">
    <dataValidation type="list" allowBlank="1" showInputMessage="1" showErrorMessage="1" sqref="J15:J142">
      <formula1>"geen,1,2,3,4,5,6,7,8,9,10,11,12,13,14,15,16,17,18,19,20,21,22,23,24,25,26,27,28,29,30,31,32,33,34,35,36,37,38,39,40,41,42,43,44,45,46,47,48,49,50"</formula1>
    </dataValidation>
    <dataValidation type="list" allowBlank="1" showInputMessage="1" showErrorMessage="1" sqref="D15:D142">
      <formula1>"gebouwen en terreinen, inventaris en apparatuur, leermiddelen PO, overige materiële vaste activa,meubilair, ICT"</formula1>
    </dataValidation>
  </dataValidations>
  <pageMargins left="0.75" right="0.75" top="1" bottom="1" header="0.5" footer="0.5"/>
  <pageSetup paperSize="9" scale="48" orientation="landscape" r:id="rId1"/>
  <headerFooter alignWithMargins="0">
    <oddHeader>&amp;L&amp;"Arial,Vet"&amp;F&amp;R&amp;"Arial,Vet"&amp;A</oddHeader>
    <oddFooter>&amp;L&amp;"Arial,Vet"keizer / goedhart&amp;C&amp;"Arial,Vet"&amp;D&amp;R&amp;"Arial,Vet"pagina &amp;P</oddFooter>
  </headerFooter>
  <drawing r:id="rId2"/>
  <legacyDrawing r:id="rId3"/>
</worksheet>
</file>

<file path=xl/worksheets/sheet11.xml><?xml version="1.0" encoding="utf-8"?>
<worksheet xmlns="http://schemas.openxmlformats.org/spreadsheetml/2006/main" xmlns:r="http://schemas.openxmlformats.org/officeDocument/2006/relationships">
  <dimension ref="B2:L64"/>
  <sheetViews>
    <sheetView zoomScale="85" zoomScaleNormal="85" workbookViewId="0">
      <pane ySplit="9" topLeftCell="A10" activePane="bottomLeft" state="frozen"/>
      <selection activeCell="B2" sqref="B2"/>
      <selection pane="bottomLeft" activeCell="B2" sqref="B2"/>
    </sheetView>
  </sheetViews>
  <sheetFormatPr defaultRowHeight="12.75"/>
  <cols>
    <col min="1" max="1" width="3.7109375" style="68" customWidth="1"/>
    <col min="2" max="3" width="2.7109375" style="68" customWidth="1"/>
    <col min="4" max="4" width="45.5703125" style="68" customWidth="1"/>
    <col min="5" max="5" width="2.7109375" style="68" customWidth="1"/>
    <col min="6" max="8" width="15" style="68" customWidth="1"/>
    <col min="9" max="9" width="15" style="348" customWidth="1"/>
    <col min="10" max="10" width="15" style="68" customWidth="1"/>
    <col min="11" max="12" width="2.7109375" style="68" customWidth="1"/>
    <col min="13" max="16384" width="9.140625" style="68"/>
  </cols>
  <sheetData>
    <row r="2" spans="2:12" ht="12" customHeight="1">
      <c r="B2" s="87"/>
      <c r="C2" s="88"/>
      <c r="D2" s="88"/>
      <c r="E2" s="88"/>
      <c r="F2" s="88"/>
      <c r="G2" s="88"/>
      <c r="H2" s="426"/>
      <c r="I2" s="88"/>
      <c r="J2" s="88"/>
      <c r="K2" s="88"/>
      <c r="L2" s="91"/>
    </row>
    <row r="3" spans="2:12" ht="12" customHeight="1">
      <c r="B3" s="92"/>
      <c r="C3" s="93"/>
      <c r="D3" s="93"/>
      <c r="E3" s="93"/>
      <c r="F3" s="93"/>
      <c r="G3" s="93"/>
      <c r="H3" s="435"/>
      <c r="I3" s="93"/>
      <c r="J3" s="93"/>
      <c r="K3" s="93"/>
      <c r="L3" s="97"/>
    </row>
    <row r="4" spans="2:12" s="724" customFormat="1" ht="18" customHeight="1">
      <c r="B4" s="727"/>
      <c r="C4" s="168" t="s">
        <v>457</v>
      </c>
      <c r="D4" s="99"/>
      <c r="E4" s="728"/>
      <c r="F4" s="728"/>
      <c r="G4" s="728"/>
      <c r="H4" s="728"/>
      <c r="I4" s="728"/>
      <c r="J4" s="728"/>
      <c r="K4" s="728"/>
      <c r="L4" s="730"/>
    </row>
    <row r="5" spans="2:12" s="724" customFormat="1" ht="18" customHeight="1">
      <c r="B5" s="727"/>
      <c r="C5" s="105" t="str">
        <f>geg!I12</f>
        <v>De speciale school</v>
      </c>
      <c r="D5" s="99"/>
      <c r="E5" s="728"/>
      <c r="F5" s="728"/>
      <c r="G5" s="728"/>
      <c r="H5" s="728"/>
      <c r="I5" s="728"/>
      <c r="J5" s="728"/>
      <c r="K5" s="728"/>
      <c r="L5" s="730"/>
    </row>
    <row r="6" spans="2:12" ht="12" customHeight="1">
      <c r="B6" s="768"/>
      <c r="C6" s="769"/>
      <c r="D6" s="770"/>
      <c r="E6" s="729"/>
      <c r="F6" s="729"/>
      <c r="G6" s="729"/>
      <c r="H6" s="729"/>
      <c r="I6" s="729"/>
      <c r="J6" s="729"/>
      <c r="K6" s="729"/>
      <c r="L6" s="740"/>
    </row>
    <row r="7" spans="2:12" ht="12" customHeight="1">
      <c r="B7" s="768"/>
      <c r="C7" s="769"/>
      <c r="D7" s="770"/>
      <c r="E7" s="729"/>
      <c r="F7" s="729"/>
      <c r="G7" s="729"/>
      <c r="H7" s="729"/>
      <c r="I7" s="729"/>
      <c r="J7" s="729"/>
      <c r="K7" s="729"/>
      <c r="L7" s="740"/>
    </row>
    <row r="8" spans="2:12" s="402" customFormat="1" ht="12" customHeight="1">
      <c r="B8" s="771"/>
      <c r="C8" s="772"/>
      <c r="D8" s="739"/>
      <c r="E8" s="773"/>
      <c r="F8" s="164">
        <f>tab!D4</f>
        <v>2012</v>
      </c>
      <c r="G8" s="164">
        <f>F8+1</f>
        <v>2013</v>
      </c>
      <c r="H8" s="164">
        <f>G8+1</f>
        <v>2014</v>
      </c>
      <c r="I8" s="164">
        <f>H8+1</f>
        <v>2015</v>
      </c>
      <c r="J8" s="164">
        <f>I8+1</f>
        <v>2016</v>
      </c>
      <c r="K8" s="773"/>
      <c r="L8" s="774"/>
    </row>
    <row r="9" spans="2:12" ht="12" customHeight="1">
      <c r="B9" s="768"/>
      <c r="C9" s="769"/>
      <c r="D9" s="278"/>
      <c r="E9" s="729"/>
      <c r="F9" s="729"/>
      <c r="G9" s="729"/>
      <c r="H9" s="729"/>
      <c r="I9" s="729"/>
      <c r="J9" s="729"/>
      <c r="K9" s="729"/>
      <c r="L9" s="740"/>
    </row>
    <row r="10" spans="2:12" ht="12" customHeight="1">
      <c r="B10" s="775"/>
      <c r="C10" s="776"/>
      <c r="D10" s="777"/>
      <c r="E10" s="127"/>
      <c r="F10" s="127"/>
      <c r="G10" s="127"/>
      <c r="H10" s="127"/>
      <c r="I10" s="127"/>
      <c r="J10" s="127"/>
      <c r="K10" s="130"/>
      <c r="L10" s="97"/>
    </row>
    <row r="11" spans="2:12" ht="12" customHeight="1">
      <c r="B11" s="775"/>
      <c r="C11" s="778"/>
      <c r="D11" s="239" t="s">
        <v>390</v>
      </c>
      <c r="E11" s="133"/>
      <c r="F11" s="133"/>
      <c r="G11" s="133"/>
      <c r="H11" s="133"/>
      <c r="I11" s="133"/>
      <c r="J11" s="133"/>
      <c r="K11" s="136"/>
      <c r="L11" s="97"/>
    </row>
    <row r="12" spans="2:12" ht="12" customHeight="1">
      <c r="B12" s="775"/>
      <c r="C12" s="778"/>
      <c r="D12" s="155" t="s">
        <v>357</v>
      </c>
      <c r="E12" s="133"/>
      <c r="F12" s="314">
        <v>0</v>
      </c>
      <c r="G12" s="779">
        <f t="shared" ref="G12:J17" si="0">F55</f>
        <v>0</v>
      </c>
      <c r="H12" s="779">
        <f t="shared" si="0"/>
        <v>0</v>
      </c>
      <c r="I12" s="779">
        <f t="shared" si="0"/>
        <v>0</v>
      </c>
      <c r="J12" s="779">
        <f t="shared" si="0"/>
        <v>0</v>
      </c>
      <c r="K12" s="136"/>
      <c r="L12" s="97"/>
    </row>
    <row r="13" spans="2:12" ht="12" customHeight="1">
      <c r="B13" s="775"/>
      <c r="C13" s="778"/>
      <c r="D13" s="155" t="s">
        <v>358</v>
      </c>
      <c r="E13" s="133"/>
      <c r="F13" s="780">
        <v>0</v>
      </c>
      <c r="G13" s="779">
        <f t="shared" si="0"/>
        <v>0</v>
      </c>
      <c r="H13" s="779">
        <f t="shared" si="0"/>
        <v>0</v>
      </c>
      <c r="I13" s="779">
        <f t="shared" si="0"/>
        <v>0</v>
      </c>
      <c r="J13" s="779">
        <f t="shared" si="0"/>
        <v>0</v>
      </c>
      <c r="K13" s="136"/>
      <c r="L13" s="97"/>
    </row>
    <row r="14" spans="2:12" ht="12" customHeight="1">
      <c r="B14" s="775"/>
      <c r="C14" s="778"/>
      <c r="D14" s="705" t="s">
        <v>613</v>
      </c>
      <c r="E14" s="133"/>
      <c r="F14" s="780">
        <v>0</v>
      </c>
      <c r="G14" s="779">
        <f t="shared" si="0"/>
        <v>0</v>
      </c>
      <c r="H14" s="779">
        <f t="shared" si="0"/>
        <v>0</v>
      </c>
      <c r="I14" s="779">
        <f t="shared" si="0"/>
        <v>0</v>
      </c>
      <c r="J14" s="779">
        <f t="shared" si="0"/>
        <v>0</v>
      </c>
      <c r="K14" s="136"/>
      <c r="L14" s="97"/>
    </row>
    <row r="15" spans="2:12" ht="12" customHeight="1">
      <c r="B15" s="775"/>
      <c r="C15" s="778"/>
      <c r="D15" s="705" t="s">
        <v>614</v>
      </c>
      <c r="E15" s="133"/>
      <c r="F15" s="780">
        <v>0</v>
      </c>
      <c r="G15" s="779">
        <f t="shared" si="0"/>
        <v>0</v>
      </c>
      <c r="H15" s="779">
        <f t="shared" si="0"/>
        <v>0</v>
      </c>
      <c r="I15" s="779">
        <f t="shared" si="0"/>
        <v>0</v>
      </c>
      <c r="J15" s="779">
        <f t="shared" si="0"/>
        <v>0</v>
      </c>
      <c r="K15" s="136"/>
      <c r="L15" s="97"/>
    </row>
    <row r="16" spans="2:12" ht="12" customHeight="1">
      <c r="B16" s="775"/>
      <c r="C16" s="778"/>
      <c r="D16" s="155" t="s">
        <v>360</v>
      </c>
      <c r="E16" s="133"/>
      <c r="F16" s="780">
        <v>0</v>
      </c>
      <c r="G16" s="779">
        <f t="shared" si="0"/>
        <v>0</v>
      </c>
      <c r="H16" s="779">
        <f t="shared" si="0"/>
        <v>0</v>
      </c>
      <c r="I16" s="779">
        <f t="shared" si="0"/>
        <v>0</v>
      </c>
      <c r="J16" s="779">
        <f t="shared" si="0"/>
        <v>0</v>
      </c>
      <c r="K16" s="136"/>
      <c r="L16" s="97"/>
    </row>
    <row r="17" spans="2:12" ht="12" customHeight="1">
      <c r="B17" s="775"/>
      <c r="C17" s="778"/>
      <c r="D17" s="155" t="s">
        <v>361</v>
      </c>
      <c r="E17" s="133"/>
      <c r="F17" s="780">
        <v>0</v>
      </c>
      <c r="G17" s="779">
        <f t="shared" si="0"/>
        <v>0</v>
      </c>
      <c r="H17" s="779">
        <f t="shared" si="0"/>
        <v>0</v>
      </c>
      <c r="I17" s="779">
        <f t="shared" si="0"/>
        <v>0</v>
      </c>
      <c r="J17" s="779">
        <f t="shared" si="0"/>
        <v>0</v>
      </c>
      <c r="K17" s="136"/>
      <c r="L17" s="97"/>
    </row>
    <row r="18" spans="2:12" ht="12" customHeight="1">
      <c r="B18" s="775"/>
      <c r="C18" s="778"/>
      <c r="D18" s="319" t="s">
        <v>391</v>
      </c>
      <c r="E18" s="133"/>
      <c r="F18" s="245">
        <f>SUM(F12:F17)</f>
        <v>0</v>
      </c>
      <c r="G18" s="245">
        <f>SUM(G12:G17)</f>
        <v>0</v>
      </c>
      <c r="H18" s="245">
        <f>SUM(H12:H17)</f>
        <v>0</v>
      </c>
      <c r="I18" s="245">
        <f>SUM(I12:I17)</f>
        <v>0</v>
      </c>
      <c r="J18" s="245">
        <f>SUM(J12:J17)</f>
        <v>0</v>
      </c>
      <c r="K18" s="136"/>
      <c r="L18" s="97"/>
    </row>
    <row r="19" spans="2:12" ht="12" customHeight="1">
      <c r="B19" s="775"/>
      <c r="C19" s="781"/>
      <c r="D19" s="557"/>
      <c r="E19" s="144"/>
      <c r="F19" s="144"/>
      <c r="G19" s="144"/>
      <c r="H19" s="144"/>
      <c r="I19" s="144"/>
      <c r="J19" s="144"/>
      <c r="K19" s="147"/>
      <c r="L19" s="97"/>
    </row>
    <row r="20" spans="2:12" ht="12" customHeight="1">
      <c r="B20" s="92"/>
      <c r="C20" s="93"/>
      <c r="D20" s="93"/>
      <c r="E20" s="93"/>
      <c r="F20" s="93"/>
      <c r="G20" s="93"/>
      <c r="H20" s="93"/>
      <c r="I20" s="93"/>
      <c r="J20" s="93"/>
      <c r="K20" s="93"/>
      <c r="L20" s="97"/>
    </row>
    <row r="21" spans="2:12" ht="12" customHeight="1">
      <c r="B21" s="775"/>
      <c r="C21" s="776"/>
      <c r="D21" s="777"/>
      <c r="E21" s="127"/>
      <c r="F21" s="127"/>
      <c r="G21" s="127"/>
      <c r="H21" s="127"/>
      <c r="I21" s="127"/>
      <c r="J21" s="127"/>
      <c r="K21" s="130"/>
      <c r="L21" s="97"/>
    </row>
    <row r="22" spans="2:12" ht="12" customHeight="1">
      <c r="B22" s="775"/>
      <c r="C22" s="778"/>
      <c r="D22" s="239" t="s">
        <v>615</v>
      </c>
      <c r="E22" s="133"/>
      <c r="F22" s="319"/>
      <c r="G22" s="133"/>
      <c r="H22" s="133"/>
      <c r="I22" s="133"/>
      <c r="J22" s="133"/>
      <c r="K22" s="136"/>
      <c r="L22" s="97"/>
    </row>
    <row r="23" spans="2:12" ht="12" customHeight="1">
      <c r="B23" s="775"/>
      <c r="C23" s="778"/>
      <c r="D23" s="155" t="s">
        <v>357</v>
      </c>
      <c r="E23" s="133"/>
      <c r="F23" s="332">
        <f>(SUMIF(mip!$D15:$D142,"gebouwen en terreinen",mip!X15:X142))</f>
        <v>0</v>
      </c>
      <c r="G23" s="332">
        <f>(SUMIF(mip!$D15:$D142,"gebouwen en terreinen",mip!Y15:Y142))</f>
        <v>0</v>
      </c>
      <c r="H23" s="332">
        <f>(SUMIF(mip!$D15:$D142,"gebouwen en terreinen",mip!Z15:Z142))</f>
        <v>0</v>
      </c>
      <c r="I23" s="332">
        <f>(SUMIF(mip!$D15:$D142,"gebouwen en terreinen",mip!AA15:AA142))</f>
        <v>0</v>
      </c>
      <c r="J23" s="332">
        <f>(SUMIF(mip!$D15:$D142,"gebouwen en terreinen",mip!AB15:AB142))</f>
        <v>0</v>
      </c>
      <c r="K23" s="136"/>
      <c r="L23" s="97"/>
    </row>
    <row r="24" spans="2:12" ht="12" customHeight="1">
      <c r="B24" s="775"/>
      <c r="C24" s="778"/>
      <c r="D24" s="155" t="s">
        <v>358</v>
      </c>
      <c r="E24" s="133"/>
      <c r="F24" s="742">
        <f>(SUMIF(mip!$D15:$D142,"inventaris en apparatuur",mip!X15:X142))</f>
        <v>0</v>
      </c>
      <c r="G24" s="742">
        <f>(SUMIF(mip!$D15:$D142,"inventaris en apparatuur",mip!Y15:Y142))</f>
        <v>0</v>
      </c>
      <c r="H24" s="742">
        <f>(SUMIF(mip!$D15:$D142,"inventaris en apparatuur",mip!Z15:Z142))</f>
        <v>0</v>
      </c>
      <c r="I24" s="742">
        <f>(SUMIF(mip!$D15:$D142,"inventaris en apparatuur",mip!AA15:AA142))</f>
        <v>0</v>
      </c>
      <c r="J24" s="742">
        <f>(SUMIF(mip!$D15:$D142,"inventaris en apparatuur",mip!AB15:AB142))</f>
        <v>0</v>
      </c>
      <c r="K24" s="136"/>
      <c r="L24" s="97"/>
    </row>
    <row r="25" spans="2:12" ht="12" customHeight="1">
      <c r="B25" s="775"/>
      <c r="C25" s="778"/>
      <c r="D25" s="705" t="s">
        <v>613</v>
      </c>
      <c r="E25" s="133"/>
      <c r="F25" s="742">
        <f>(SUMIF(mip!$D15:$D142,"meubilair",mip!X15:X142))</f>
        <v>0</v>
      </c>
      <c r="G25" s="742">
        <f>(SUMIF(mip!$D15:$D142,"meubilair",mip!Y15:Y142))</f>
        <v>0</v>
      </c>
      <c r="H25" s="742">
        <f>(SUMIF(mip!$D15:$D142,"meubilair",mip!Z15:Z142))</f>
        <v>0</v>
      </c>
      <c r="I25" s="742">
        <f>(SUMIF(mip!$D15:$D142,"meubilair",mip!AA15:AA142))</f>
        <v>0</v>
      </c>
      <c r="J25" s="742">
        <f>(SUMIF(mip!$D15:$D142,"meubilair",mip!AB15:AB142))</f>
        <v>0</v>
      </c>
      <c r="K25" s="136"/>
      <c r="L25" s="97"/>
    </row>
    <row r="26" spans="2:12" ht="12" customHeight="1">
      <c r="B26" s="775"/>
      <c r="C26" s="778"/>
      <c r="D26" s="705" t="s">
        <v>614</v>
      </c>
      <c r="E26" s="133"/>
      <c r="F26" s="742">
        <f>(SUMIF(mip!$D15:$D142,"ICT",mip!X15:X142))</f>
        <v>0</v>
      </c>
      <c r="G26" s="742">
        <f>(SUMIF(mip!$D15:$D142,"ICT",mip!Y15:Y142))</f>
        <v>0</v>
      </c>
      <c r="H26" s="742">
        <f>(SUMIF(mip!$D15:$D142,"ICT",mip!Z15:Z142))</f>
        <v>0</v>
      </c>
      <c r="I26" s="742">
        <f>(SUMIF(mip!$D15:$D142,"ICT",mip!AA15:AA142))</f>
        <v>0</v>
      </c>
      <c r="J26" s="742">
        <f>(SUMIF(mip!$D15:$D142,"ICT",mip!AB15:AB142))</f>
        <v>0</v>
      </c>
      <c r="K26" s="136"/>
      <c r="L26" s="97"/>
    </row>
    <row r="27" spans="2:12" ht="12" customHeight="1">
      <c r="B27" s="775"/>
      <c r="C27" s="778"/>
      <c r="D27" s="155" t="s">
        <v>360</v>
      </c>
      <c r="E27" s="133"/>
      <c r="F27" s="742">
        <f>(SUMIF(mip!$D15:$D142,"leermiddelen po",mip!X15:X142))</f>
        <v>0</v>
      </c>
      <c r="G27" s="742">
        <f>(SUMIF(mip!$D15:$D142,"leermiddelen po",mip!Y15:Y142))</f>
        <v>0</v>
      </c>
      <c r="H27" s="742">
        <f>(SUMIF(mip!$D15:$D142,"leermiddelen po",mip!Z15:Z142))</f>
        <v>0</v>
      </c>
      <c r="I27" s="742">
        <f>(SUMIF(mip!$D15:$D142,"leermiddelen po",mip!AA15:AA142))</f>
        <v>0</v>
      </c>
      <c r="J27" s="742">
        <f>(SUMIF(mip!$D15:$D142,"leermiddelen po",mip!AB15:AB142))</f>
        <v>0</v>
      </c>
      <c r="K27" s="136"/>
      <c r="L27" s="97"/>
    </row>
    <row r="28" spans="2:12" ht="12" customHeight="1">
      <c r="B28" s="775"/>
      <c r="C28" s="778"/>
      <c r="D28" s="155" t="s">
        <v>361</v>
      </c>
      <c r="E28" s="133"/>
      <c r="F28" s="742">
        <f>(SUMIF(mip!$D15:$D142,"overige materiële vaste activa",mip!X15:X142))</f>
        <v>0</v>
      </c>
      <c r="G28" s="742">
        <f>(SUMIF(mip!$D15:$D142,"overige materiële vaste activa",mip!Y15:Y142))</f>
        <v>0</v>
      </c>
      <c r="H28" s="742">
        <f>(SUMIF(mip!$D15:$D142,"overige materiële vaste activa",mip!Z15:Z142))</f>
        <v>0</v>
      </c>
      <c r="I28" s="742">
        <f>(SUMIF(mip!$D15:$D142,"overige materiële vaste activa",mip!AA15:AA142))</f>
        <v>0</v>
      </c>
      <c r="J28" s="742">
        <f>(SUMIF(mip!$D15:$D142,"overige materiële vaste activa",mip!AB15:AB142))</f>
        <v>0</v>
      </c>
      <c r="K28" s="136"/>
      <c r="L28" s="97"/>
    </row>
    <row r="29" spans="2:12" ht="12" customHeight="1">
      <c r="B29" s="775"/>
      <c r="C29" s="778"/>
      <c r="D29" s="319" t="s">
        <v>391</v>
      </c>
      <c r="E29" s="133"/>
      <c r="F29" s="245">
        <f>SUM(F23:F28)</f>
        <v>0</v>
      </c>
      <c r="G29" s="245">
        <f>SUM(G23:G28)</f>
        <v>0</v>
      </c>
      <c r="H29" s="245">
        <f>SUM(H23:H28)</f>
        <v>0</v>
      </c>
      <c r="I29" s="245">
        <f>SUM(I23:I28)</f>
        <v>0</v>
      </c>
      <c r="J29" s="245">
        <f>SUM(J23:J28)</f>
        <v>0</v>
      </c>
      <c r="K29" s="136"/>
      <c r="L29" s="97"/>
    </row>
    <row r="30" spans="2:12" ht="12" customHeight="1">
      <c r="B30" s="775"/>
      <c r="C30" s="781"/>
      <c r="D30" s="557"/>
      <c r="E30" s="144"/>
      <c r="F30" s="144"/>
      <c r="G30" s="144"/>
      <c r="H30" s="144"/>
      <c r="I30" s="144"/>
      <c r="J30" s="144"/>
      <c r="K30" s="147"/>
      <c r="L30" s="97"/>
    </row>
    <row r="31" spans="2:12" ht="12" customHeight="1">
      <c r="B31" s="92"/>
      <c r="C31" s="93"/>
      <c r="D31" s="93"/>
      <c r="E31" s="93"/>
      <c r="F31" s="93"/>
      <c r="G31" s="93"/>
      <c r="H31" s="93"/>
      <c r="I31" s="93"/>
      <c r="J31" s="93"/>
      <c r="K31" s="93"/>
      <c r="L31" s="97"/>
    </row>
    <row r="32" spans="2:12" ht="12" customHeight="1">
      <c r="B32" s="92"/>
      <c r="C32" s="124"/>
      <c r="D32" s="516"/>
      <c r="E32" s="127"/>
      <c r="F32" s="127"/>
      <c r="G32" s="127"/>
      <c r="H32" s="782"/>
      <c r="I32" s="127"/>
      <c r="J32" s="127"/>
      <c r="K32" s="130"/>
      <c r="L32" s="97"/>
    </row>
    <row r="33" spans="2:12" ht="12" customHeight="1">
      <c r="B33" s="775"/>
      <c r="C33" s="778"/>
      <c r="D33" s="239" t="s">
        <v>237</v>
      </c>
      <c r="E33" s="133"/>
      <c r="F33" s="133"/>
      <c r="G33" s="133"/>
      <c r="H33" s="133"/>
      <c r="I33" s="133"/>
      <c r="J33" s="133"/>
      <c r="K33" s="136"/>
      <c r="L33" s="97"/>
    </row>
    <row r="34" spans="2:12" ht="12" customHeight="1">
      <c r="B34" s="775"/>
      <c r="C34" s="778"/>
      <c r="D34" s="155" t="s">
        <v>357</v>
      </c>
      <c r="E34" s="133"/>
      <c r="F34" s="332">
        <f>(SUMIF(mip!$D15:$D142,"gebouwen en terreinen",mip!R15:R142))</f>
        <v>0</v>
      </c>
      <c r="G34" s="779">
        <f>(SUMIF(mip!$D15:$D142,"gebouwen en terreinen",mip!S15:S142))</f>
        <v>0</v>
      </c>
      <c r="H34" s="779">
        <f>(SUMIF(mip!$D15:$D142,"gebouwen en terreinen",mip!T15:T142))</f>
        <v>0</v>
      </c>
      <c r="I34" s="779">
        <f>(SUMIF(mip!$D15:$D142,"gebouwen en terreinen",mip!U15:U142))</f>
        <v>0</v>
      </c>
      <c r="J34" s="779">
        <f>(SUMIF(mip!$D15:$D142,"gebouwen en terreinen",mip!V15:V142))</f>
        <v>0</v>
      </c>
      <c r="K34" s="136"/>
      <c r="L34" s="97"/>
    </row>
    <row r="35" spans="2:12" ht="12" customHeight="1">
      <c r="B35" s="775"/>
      <c r="C35" s="778"/>
      <c r="D35" s="155" t="s">
        <v>358</v>
      </c>
      <c r="E35" s="133"/>
      <c r="F35" s="742">
        <f>(SUMIF(mip!$D15:$D142,"inventaris en apparatuur",mip!R15:R142))</f>
        <v>0</v>
      </c>
      <c r="G35" s="779">
        <f>(SUMIF(mip!$D15:$D142,"inventaris en apparatuur",mip!S15:S142))</f>
        <v>0</v>
      </c>
      <c r="H35" s="779">
        <f>(SUMIF(mip!$D15:$D142,"inventaris en apparatuur",mip!T15:T142))</f>
        <v>0</v>
      </c>
      <c r="I35" s="779">
        <f>(SUMIF(mip!$D15:$D142,"inventaris en apparatuur",mip!U15:U142))</f>
        <v>0</v>
      </c>
      <c r="J35" s="779">
        <f>(SUMIF(mip!$D15:$D142,"inventaris en apparatuur",mip!V15:V142))</f>
        <v>0</v>
      </c>
      <c r="K35" s="136"/>
      <c r="L35" s="97"/>
    </row>
    <row r="36" spans="2:12" ht="12" customHeight="1">
      <c r="B36" s="775"/>
      <c r="C36" s="778"/>
      <c r="D36" s="705" t="s">
        <v>613</v>
      </c>
      <c r="E36" s="133"/>
      <c r="F36" s="742">
        <f>(SUMIF(mip!$D15:$D142,"meubilair",mip!R15:R142))</f>
        <v>0</v>
      </c>
      <c r="G36" s="779">
        <f>(SUMIF(mip!$D15:$D142,"meubilair",mip!S15:S142))</f>
        <v>0</v>
      </c>
      <c r="H36" s="779">
        <f>(SUMIF(mip!$D15:$D142,"meubilair",mip!T15:T142))</f>
        <v>0</v>
      </c>
      <c r="I36" s="779">
        <f>(SUMIF(mip!$D15:$D142,"meubilair",mip!U15:U142))</f>
        <v>0</v>
      </c>
      <c r="J36" s="779">
        <f>(SUMIF(mip!$D15:$D142,"meubilair",mip!V15:V142))</f>
        <v>0</v>
      </c>
      <c r="K36" s="136"/>
      <c r="L36" s="97"/>
    </row>
    <row r="37" spans="2:12" ht="12" customHeight="1">
      <c r="B37" s="775"/>
      <c r="C37" s="778"/>
      <c r="D37" s="705" t="s">
        <v>614</v>
      </c>
      <c r="E37" s="133"/>
      <c r="F37" s="742">
        <f>(SUMIF(mip!$D15:$D142,"ICT",mip!R15:R142))</f>
        <v>0</v>
      </c>
      <c r="G37" s="779">
        <f>(SUMIF(mip!$D15:$D142,"ICT",mip!S15:S142))</f>
        <v>0</v>
      </c>
      <c r="H37" s="779">
        <f>(SUMIF(mip!$D15:$D142,"ICT",mip!T15:T142))</f>
        <v>0</v>
      </c>
      <c r="I37" s="779">
        <f>(SUMIF(mip!$D15:$D142,"ICT",mip!U15:U142))</f>
        <v>0</v>
      </c>
      <c r="J37" s="779">
        <f>(SUMIF(mip!$D15:$D142,"ICT",mip!V15:V142))</f>
        <v>0</v>
      </c>
      <c r="K37" s="136"/>
      <c r="L37" s="97"/>
    </row>
    <row r="38" spans="2:12" ht="12" customHeight="1">
      <c r="B38" s="775"/>
      <c r="C38" s="778"/>
      <c r="D38" s="155" t="s">
        <v>360</v>
      </c>
      <c r="E38" s="133"/>
      <c r="F38" s="742">
        <f>(SUMIF(mip!$D15:$D142,"leermiddelen po",mip!R15:R142))</f>
        <v>0</v>
      </c>
      <c r="G38" s="779">
        <f>(SUMIF(mip!$D15:$D142,"leermiddelen po",mip!S15:S142))</f>
        <v>0</v>
      </c>
      <c r="H38" s="779">
        <f>(SUMIF(mip!$D15:$D142,"leermiddelen po",mip!T15:T142))</f>
        <v>0</v>
      </c>
      <c r="I38" s="779">
        <f>(SUMIF(mip!$D15:$D142,"leermiddelen po",mip!U15:U142))</f>
        <v>0</v>
      </c>
      <c r="J38" s="779">
        <f>(SUMIF(mip!$D15:$D142,"leermiddelen po",mip!V15:V142))</f>
        <v>0</v>
      </c>
      <c r="K38" s="136"/>
      <c r="L38" s="97"/>
    </row>
    <row r="39" spans="2:12" ht="12" customHeight="1">
      <c r="B39" s="775"/>
      <c r="C39" s="778"/>
      <c r="D39" s="155" t="s">
        <v>361</v>
      </c>
      <c r="E39" s="133"/>
      <c r="F39" s="742">
        <f>(SUMIF(mip!$D15:$D142,"overige materiële vaste activa",mip!R15:R142))</f>
        <v>0</v>
      </c>
      <c r="G39" s="779">
        <f>(SUMIF(mip!$D15:$D142,"overige materiële vaste activa",mip!S15:S142))</f>
        <v>0</v>
      </c>
      <c r="H39" s="779">
        <f>(SUMIF(mip!$D15:$D142,"overige materiële vaste activa",mip!T15:T142))</f>
        <v>0</v>
      </c>
      <c r="I39" s="779">
        <f>(SUMIF(mip!$D15:$D142,"overige materiële vaste activa",mip!U15:U142))</f>
        <v>0</v>
      </c>
      <c r="J39" s="779">
        <f>(SUMIF(mip!$D15:$D142,"overige materiële vaste activa",mip!V15:V142))</f>
        <v>0</v>
      </c>
      <c r="K39" s="136"/>
      <c r="L39" s="97"/>
    </row>
    <row r="40" spans="2:12" ht="12" customHeight="1">
      <c r="B40" s="736"/>
      <c r="C40" s="293"/>
      <c r="D40" s="296"/>
      <c r="E40" s="213"/>
      <c r="F40" s="783">
        <f>SUM(F34:F39)</f>
        <v>0</v>
      </c>
      <c r="G40" s="783">
        <f>SUM(G34:G39)</f>
        <v>0</v>
      </c>
      <c r="H40" s="783">
        <f>SUM(H34:H39)</f>
        <v>0</v>
      </c>
      <c r="I40" s="783">
        <f>SUM(I34:I39)</f>
        <v>0</v>
      </c>
      <c r="J40" s="783">
        <f>SUM(J34:J39)</f>
        <v>0</v>
      </c>
      <c r="K40" s="318"/>
      <c r="L40" s="270"/>
    </row>
    <row r="41" spans="2:12" ht="12" customHeight="1">
      <c r="B41" s="775"/>
      <c r="C41" s="778"/>
      <c r="D41" s="239" t="s">
        <v>538</v>
      </c>
      <c r="E41" s="133"/>
      <c r="F41" s="133"/>
      <c r="G41" s="133"/>
      <c r="H41" s="133"/>
      <c r="I41" s="133"/>
      <c r="J41" s="133"/>
      <c r="K41" s="136"/>
      <c r="L41" s="97"/>
    </row>
    <row r="42" spans="2:12" ht="12" customHeight="1">
      <c r="B42" s="775"/>
      <c r="C42" s="778"/>
      <c r="D42" s="155" t="s">
        <v>357</v>
      </c>
      <c r="E42" s="133"/>
      <c r="F42" s="314">
        <v>0</v>
      </c>
      <c r="G42" s="313">
        <v>0</v>
      </c>
      <c r="H42" s="313">
        <v>0</v>
      </c>
      <c r="I42" s="313">
        <v>0</v>
      </c>
      <c r="J42" s="313">
        <v>0</v>
      </c>
      <c r="K42" s="136"/>
      <c r="L42" s="97"/>
    </row>
    <row r="43" spans="2:12" ht="12" customHeight="1">
      <c r="B43" s="775"/>
      <c r="C43" s="778"/>
      <c r="D43" s="155" t="s">
        <v>358</v>
      </c>
      <c r="E43" s="133"/>
      <c r="F43" s="780">
        <v>0</v>
      </c>
      <c r="G43" s="313">
        <v>0</v>
      </c>
      <c r="H43" s="313">
        <v>0</v>
      </c>
      <c r="I43" s="313">
        <v>0</v>
      </c>
      <c r="J43" s="313">
        <v>0</v>
      </c>
      <c r="K43" s="136"/>
      <c r="L43" s="97"/>
    </row>
    <row r="44" spans="2:12" ht="12" customHeight="1">
      <c r="B44" s="775"/>
      <c r="C44" s="778"/>
      <c r="D44" s="705" t="s">
        <v>613</v>
      </c>
      <c r="E44" s="133"/>
      <c r="F44" s="780">
        <v>0</v>
      </c>
      <c r="G44" s="313">
        <v>0</v>
      </c>
      <c r="H44" s="313">
        <v>0</v>
      </c>
      <c r="I44" s="313">
        <v>0</v>
      </c>
      <c r="J44" s="313">
        <v>0</v>
      </c>
      <c r="K44" s="136"/>
      <c r="L44" s="97"/>
    </row>
    <row r="45" spans="2:12" ht="12" customHeight="1">
      <c r="B45" s="775"/>
      <c r="C45" s="778"/>
      <c r="D45" s="705" t="s">
        <v>614</v>
      </c>
      <c r="E45" s="133"/>
      <c r="F45" s="780">
        <v>0</v>
      </c>
      <c r="G45" s="313">
        <v>0</v>
      </c>
      <c r="H45" s="313">
        <v>0</v>
      </c>
      <c r="I45" s="313">
        <v>0</v>
      </c>
      <c r="J45" s="313">
        <v>0</v>
      </c>
      <c r="K45" s="136"/>
      <c r="L45" s="97"/>
    </row>
    <row r="46" spans="2:12" ht="12" customHeight="1">
      <c r="B46" s="775"/>
      <c r="C46" s="778"/>
      <c r="D46" s="155" t="s">
        <v>360</v>
      </c>
      <c r="E46" s="133"/>
      <c r="F46" s="780">
        <v>0</v>
      </c>
      <c r="G46" s="313">
        <v>0</v>
      </c>
      <c r="H46" s="313">
        <v>0</v>
      </c>
      <c r="I46" s="313">
        <v>0</v>
      </c>
      <c r="J46" s="313">
        <v>0</v>
      </c>
      <c r="K46" s="136"/>
      <c r="L46" s="97"/>
    </row>
    <row r="47" spans="2:12" ht="12" customHeight="1">
      <c r="B47" s="775"/>
      <c r="C47" s="778"/>
      <c r="D47" s="155" t="s">
        <v>361</v>
      </c>
      <c r="E47" s="133"/>
      <c r="F47" s="780">
        <v>0</v>
      </c>
      <c r="G47" s="313">
        <v>0</v>
      </c>
      <c r="H47" s="313">
        <v>0</v>
      </c>
      <c r="I47" s="313">
        <v>0</v>
      </c>
      <c r="J47" s="313">
        <v>0</v>
      </c>
      <c r="K47" s="136"/>
      <c r="L47" s="97"/>
    </row>
    <row r="48" spans="2:12" ht="12" customHeight="1">
      <c r="B48" s="736"/>
      <c r="C48" s="293"/>
      <c r="D48" s="296"/>
      <c r="E48" s="213"/>
      <c r="F48" s="783">
        <f>SUM(F42:F47)</f>
        <v>0</v>
      </c>
      <c r="G48" s="783">
        <f>SUM(G42:G47)</f>
        <v>0</v>
      </c>
      <c r="H48" s="783">
        <f>SUM(H42:H47)</f>
        <v>0</v>
      </c>
      <c r="I48" s="783">
        <f>SUM(I42:I47)</f>
        <v>0</v>
      </c>
      <c r="J48" s="783">
        <f>SUM(J42:J47)</f>
        <v>0</v>
      </c>
      <c r="K48" s="318"/>
      <c r="L48" s="270"/>
    </row>
    <row r="49" spans="2:12" ht="12" customHeight="1">
      <c r="B49" s="92"/>
      <c r="C49" s="131"/>
      <c r="D49" s="133"/>
      <c r="E49" s="133"/>
      <c r="F49" s="133"/>
      <c r="G49" s="133"/>
      <c r="H49" s="784"/>
      <c r="I49" s="133"/>
      <c r="J49" s="133"/>
      <c r="K49" s="136"/>
      <c r="L49" s="97"/>
    </row>
    <row r="50" spans="2:12" s="76" customFormat="1" ht="12" customHeight="1">
      <c r="B50" s="785"/>
      <c r="C50" s="786"/>
      <c r="D50" s="138" t="s">
        <v>392</v>
      </c>
      <c r="E50" s="138"/>
      <c r="F50" s="344">
        <f>F40+F48</f>
        <v>0</v>
      </c>
      <c r="G50" s="344">
        <f>G40+G48</f>
        <v>0</v>
      </c>
      <c r="H50" s="344">
        <f>H40+H48</f>
        <v>0</v>
      </c>
      <c r="I50" s="344">
        <f>I40+I48</f>
        <v>0</v>
      </c>
      <c r="J50" s="344">
        <f>J40+J48</f>
        <v>0</v>
      </c>
      <c r="K50" s="787"/>
      <c r="L50" s="280"/>
    </row>
    <row r="51" spans="2:12" ht="12" customHeight="1">
      <c r="B51" s="92"/>
      <c r="C51" s="141"/>
      <c r="D51" s="144"/>
      <c r="E51" s="144"/>
      <c r="F51" s="144"/>
      <c r="G51" s="144"/>
      <c r="H51" s="564"/>
      <c r="I51" s="144"/>
      <c r="J51" s="144"/>
      <c r="K51" s="147"/>
      <c r="L51" s="97"/>
    </row>
    <row r="52" spans="2:12" ht="12" customHeight="1">
      <c r="B52" s="92"/>
      <c r="C52" s="93"/>
      <c r="D52" s="93"/>
      <c r="E52" s="93"/>
      <c r="F52" s="93"/>
      <c r="G52" s="93"/>
      <c r="H52" s="93"/>
      <c r="I52" s="93"/>
      <c r="J52" s="93"/>
      <c r="K52" s="93"/>
      <c r="L52" s="97"/>
    </row>
    <row r="53" spans="2:12" ht="12" customHeight="1">
      <c r="B53" s="775"/>
      <c r="C53" s="776"/>
      <c r="D53" s="777"/>
      <c r="E53" s="127"/>
      <c r="F53" s="127"/>
      <c r="G53" s="127"/>
      <c r="H53" s="127"/>
      <c r="I53" s="127"/>
      <c r="J53" s="127"/>
      <c r="K53" s="130"/>
      <c r="L53" s="97"/>
    </row>
    <row r="54" spans="2:12" ht="12" customHeight="1">
      <c r="B54" s="775"/>
      <c r="C54" s="778"/>
      <c r="D54" s="239" t="s">
        <v>393</v>
      </c>
      <c r="E54" s="133"/>
      <c r="F54" s="133"/>
      <c r="G54" s="133"/>
      <c r="H54" s="133"/>
      <c r="I54" s="133"/>
      <c r="J54" s="133"/>
      <c r="K54" s="136"/>
      <c r="L54" s="97"/>
    </row>
    <row r="55" spans="2:12" ht="12" customHeight="1">
      <c r="B55" s="775"/>
      <c r="C55" s="778"/>
      <c r="D55" s="155" t="s">
        <v>357</v>
      </c>
      <c r="E55" s="133"/>
      <c r="F55" s="779">
        <f t="shared" ref="F55:J60" si="1">F12+F23-F34-F42</f>
        <v>0</v>
      </c>
      <c r="G55" s="779">
        <f t="shared" si="1"/>
        <v>0</v>
      </c>
      <c r="H55" s="779">
        <f t="shared" si="1"/>
        <v>0</v>
      </c>
      <c r="I55" s="779">
        <f t="shared" si="1"/>
        <v>0</v>
      </c>
      <c r="J55" s="779">
        <f t="shared" si="1"/>
        <v>0</v>
      </c>
      <c r="K55" s="136"/>
      <c r="L55" s="97"/>
    </row>
    <row r="56" spans="2:12" ht="12" customHeight="1">
      <c r="B56" s="775"/>
      <c r="C56" s="778"/>
      <c r="D56" s="155" t="s">
        <v>358</v>
      </c>
      <c r="E56" s="133"/>
      <c r="F56" s="779">
        <f t="shared" si="1"/>
        <v>0</v>
      </c>
      <c r="G56" s="779">
        <f t="shared" si="1"/>
        <v>0</v>
      </c>
      <c r="H56" s="779">
        <f t="shared" si="1"/>
        <v>0</v>
      </c>
      <c r="I56" s="779">
        <f t="shared" si="1"/>
        <v>0</v>
      </c>
      <c r="J56" s="779">
        <f t="shared" si="1"/>
        <v>0</v>
      </c>
      <c r="K56" s="136"/>
      <c r="L56" s="97"/>
    </row>
    <row r="57" spans="2:12" ht="12" customHeight="1">
      <c r="B57" s="775"/>
      <c r="C57" s="778"/>
      <c r="D57" s="705" t="s">
        <v>613</v>
      </c>
      <c r="E57" s="133"/>
      <c r="F57" s="779">
        <f t="shared" si="1"/>
        <v>0</v>
      </c>
      <c r="G57" s="779">
        <f t="shared" si="1"/>
        <v>0</v>
      </c>
      <c r="H57" s="779">
        <f t="shared" si="1"/>
        <v>0</v>
      </c>
      <c r="I57" s="779">
        <f t="shared" si="1"/>
        <v>0</v>
      </c>
      <c r="J57" s="779">
        <f t="shared" si="1"/>
        <v>0</v>
      </c>
      <c r="K57" s="136"/>
      <c r="L57" s="97"/>
    </row>
    <row r="58" spans="2:12" ht="12" customHeight="1">
      <c r="B58" s="775"/>
      <c r="C58" s="778"/>
      <c r="D58" s="705" t="s">
        <v>614</v>
      </c>
      <c r="E58" s="133"/>
      <c r="F58" s="779">
        <f t="shared" si="1"/>
        <v>0</v>
      </c>
      <c r="G58" s="779">
        <f t="shared" si="1"/>
        <v>0</v>
      </c>
      <c r="H58" s="779">
        <f t="shared" si="1"/>
        <v>0</v>
      </c>
      <c r="I58" s="779">
        <f t="shared" si="1"/>
        <v>0</v>
      </c>
      <c r="J58" s="779">
        <f t="shared" si="1"/>
        <v>0</v>
      </c>
      <c r="K58" s="136"/>
      <c r="L58" s="97"/>
    </row>
    <row r="59" spans="2:12" ht="12" customHeight="1">
      <c r="B59" s="775"/>
      <c r="C59" s="778"/>
      <c r="D59" s="155" t="s">
        <v>360</v>
      </c>
      <c r="E59" s="133"/>
      <c r="F59" s="779">
        <f t="shared" si="1"/>
        <v>0</v>
      </c>
      <c r="G59" s="779">
        <f t="shared" si="1"/>
        <v>0</v>
      </c>
      <c r="H59" s="779">
        <f t="shared" si="1"/>
        <v>0</v>
      </c>
      <c r="I59" s="779">
        <f t="shared" si="1"/>
        <v>0</v>
      </c>
      <c r="J59" s="779">
        <f t="shared" si="1"/>
        <v>0</v>
      </c>
      <c r="K59" s="136"/>
      <c r="L59" s="97"/>
    </row>
    <row r="60" spans="2:12" ht="12" customHeight="1">
      <c r="B60" s="775"/>
      <c r="C60" s="778"/>
      <c r="D60" s="155" t="s">
        <v>361</v>
      </c>
      <c r="E60" s="133"/>
      <c r="F60" s="779">
        <f t="shared" si="1"/>
        <v>0</v>
      </c>
      <c r="G60" s="779">
        <f t="shared" si="1"/>
        <v>0</v>
      </c>
      <c r="H60" s="779">
        <f t="shared" si="1"/>
        <v>0</v>
      </c>
      <c r="I60" s="779">
        <f t="shared" si="1"/>
        <v>0</v>
      </c>
      <c r="J60" s="779">
        <f t="shared" si="1"/>
        <v>0</v>
      </c>
      <c r="K60" s="136"/>
      <c r="L60" s="97"/>
    </row>
    <row r="61" spans="2:12" ht="12" customHeight="1">
      <c r="B61" s="788"/>
      <c r="C61" s="789"/>
      <c r="D61" s="319" t="s">
        <v>391</v>
      </c>
      <c r="E61" s="138"/>
      <c r="F61" s="344">
        <f>SUM(F55:F60)</f>
        <v>0</v>
      </c>
      <c r="G61" s="344">
        <f>SUM(G55:G60)</f>
        <v>0</v>
      </c>
      <c r="H61" s="344">
        <f>SUM(H55:H60)</f>
        <v>0</v>
      </c>
      <c r="I61" s="344">
        <f>SUM(I55:I60)</f>
        <v>0</v>
      </c>
      <c r="J61" s="344">
        <f>SUM(J55:J60)</f>
        <v>0</v>
      </c>
      <c r="K61" s="787"/>
      <c r="L61" s="280"/>
    </row>
    <row r="62" spans="2:12" ht="12" customHeight="1">
      <c r="B62" s="92"/>
      <c r="C62" s="141"/>
      <c r="D62" s="144"/>
      <c r="E62" s="144"/>
      <c r="F62" s="144"/>
      <c r="G62" s="144"/>
      <c r="H62" s="144"/>
      <c r="I62" s="144"/>
      <c r="J62" s="144"/>
      <c r="K62" s="147"/>
      <c r="L62" s="97"/>
    </row>
    <row r="63" spans="2:12" ht="12" customHeight="1">
      <c r="B63" s="92"/>
      <c r="C63" s="93"/>
      <c r="D63" s="93"/>
      <c r="E63" s="93"/>
      <c r="F63" s="93"/>
      <c r="G63" s="93"/>
      <c r="H63" s="93"/>
      <c r="I63" s="93"/>
      <c r="J63" s="93"/>
      <c r="K63" s="93"/>
      <c r="L63" s="97"/>
    </row>
    <row r="64" spans="2:12" ht="12" customHeight="1">
      <c r="B64" s="113"/>
      <c r="C64" s="114"/>
      <c r="D64" s="114"/>
      <c r="E64" s="114"/>
      <c r="F64" s="114"/>
      <c r="G64" s="114"/>
      <c r="H64" s="114"/>
      <c r="I64" s="114"/>
      <c r="J64" s="114"/>
      <c r="K64" s="119" t="s">
        <v>555</v>
      </c>
      <c r="L64" s="120"/>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59" orientation="portrait" r:id="rId1"/>
  <headerFooter alignWithMargins="0">
    <oddHeader>&amp;L&amp;"Arial,Vet"&amp;F&amp;R&amp;"Arial,Vet"&amp;A</oddHeader>
    <oddFooter>&amp;L&amp;"Arial,Vet"keizer / goedhart&amp;C&amp;"Arial,Vet"&amp;D&amp;R&amp;"Arial,Vet"pagina &amp;P</oddFooter>
  </headerFooter>
  <drawing r:id="rId2"/>
  <legacyDrawing r:id="rId3"/>
</worksheet>
</file>

<file path=xl/worksheets/sheet12.xml><?xml version="1.0" encoding="utf-8"?>
<worksheet xmlns="http://schemas.openxmlformats.org/spreadsheetml/2006/main" xmlns:r="http://schemas.openxmlformats.org/officeDocument/2006/relationships">
  <dimension ref="B1:Y125"/>
  <sheetViews>
    <sheetView zoomScale="85" zoomScaleNormal="85" zoomScaleSheetLayoutView="85" workbookViewId="0">
      <pane ySplit="9" topLeftCell="A10" activePane="bottomLeft" state="frozen"/>
      <selection activeCell="B2" sqref="B2"/>
      <selection pane="bottomLeft" activeCell="B2" sqref="B2"/>
    </sheetView>
  </sheetViews>
  <sheetFormatPr defaultRowHeight="12.75"/>
  <cols>
    <col min="1" max="1" width="3.7109375" style="68" customWidth="1"/>
    <col min="2" max="3" width="2.7109375" style="68" customWidth="1"/>
    <col min="4" max="4" width="36.28515625" style="68" customWidth="1"/>
    <col min="5" max="5" width="0.85546875" style="68" customWidth="1"/>
    <col min="6" max="6" width="35.85546875" style="68" customWidth="1"/>
    <col min="7" max="7" width="0.85546875" style="68" customWidth="1"/>
    <col min="8" max="8" width="11" style="68" customWidth="1"/>
    <col min="9" max="9" width="0.85546875" style="68" customWidth="1"/>
    <col min="10" max="10" width="25.7109375" style="68" customWidth="1"/>
    <col min="11" max="13" width="8.7109375" style="68" customWidth="1"/>
    <col min="14" max="14" width="10.7109375" style="395" customWidth="1"/>
    <col min="15" max="15" width="0.85546875" style="68" customWidth="1"/>
    <col min="16" max="16" width="25.7109375" style="68" customWidth="1"/>
    <col min="17" max="17" width="10.7109375" style="1131" customWidth="1"/>
    <col min="18" max="18" width="0.85546875" style="68" customWidth="1"/>
    <col min="19" max="19" width="25.7109375" style="68" customWidth="1"/>
    <col min="20" max="20" width="10.7109375" style="68" customWidth="1"/>
    <col min="21" max="21" width="2.7109375" style="68" customWidth="1"/>
    <col min="22" max="22" width="10.7109375" style="68" customWidth="1"/>
    <col min="23" max="24" width="2.7109375" style="68" customWidth="1"/>
    <col min="25" max="25" width="15.42578125" style="68" customWidth="1"/>
    <col min="26" max="27" width="5.7109375" style="68" customWidth="1"/>
    <col min="28" max="16384" width="9.140625" style="68"/>
  </cols>
  <sheetData>
    <row r="1" spans="2:25" ht="12.75" customHeight="1"/>
    <row r="2" spans="2:25" ht="12.75" customHeight="1">
      <c r="B2" s="87"/>
      <c r="C2" s="88"/>
      <c r="D2" s="88"/>
      <c r="E2" s="88"/>
      <c r="F2" s="88"/>
      <c r="G2" s="88"/>
      <c r="H2" s="88"/>
      <c r="I2" s="88"/>
      <c r="J2" s="88"/>
      <c r="K2" s="88"/>
      <c r="L2" s="88"/>
      <c r="M2" s="88"/>
      <c r="N2" s="610"/>
      <c r="O2" s="88"/>
      <c r="P2" s="88"/>
      <c r="Q2" s="1132"/>
      <c r="R2" s="88"/>
      <c r="S2" s="88"/>
      <c r="T2" s="88"/>
      <c r="U2" s="88"/>
      <c r="V2" s="88"/>
      <c r="W2" s="88"/>
      <c r="X2" s="91"/>
    </row>
    <row r="3" spans="2:25" ht="12.75" customHeight="1">
      <c r="B3" s="92"/>
      <c r="C3" s="93"/>
      <c r="D3" s="93"/>
      <c r="E3" s="93"/>
      <c r="F3" s="93"/>
      <c r="G3" s="93"/>
      <c r="H3" s="93"/>
      <c r="I3" s="93"/>
      <c r="J3" s="93"/>
      <c r="K3" s="93"/>
      <c r="L3" s="93"/>
      <c r="M3" s="93"/>
      <c r="N3" s="617"/>
      <c r="O3" s="93"/>
      <c r="P3" s="93"/>
      <c r="Q3" s="1133"/>
      <c r="R3" s="93"/>
      <c r="S3" s="93"/>
      <c r="T3" s="93"/>
      <c r="U3" s="93"/>
      <c r="V3" s="93"/>
      <c r="W3" s="93"/>
      <c r="X3" s="97"/>
    </row>
    <row r="4" spans="2:25" s="663" customFormat="1" ht="18" customHeight="1">
      <c r="B4" s="790"/>
      <c r="C4" s="168" t="s">
        <v>839</v>
      </c>
      <c r="D4" s="168"/>
      <c r="E4" s="167"/>
      <c r="F4" s="791"/>
      <c r="G4" s="167"/>
      <c r="H4" s="167"/>
      <c r="I4" s="167"/>
      <c r="J4" s="167"/>
      <c r="K4" s="167"/>
      <c r="L4" s="167"/>
      <c r="M4" s="167"/>
      <c r="N4" s="1134"/>
      <c r="O4" s="167"/>
      <c r="P4" s="167"/>
      <c r="Q4" s="1135"/>
      <c r="R4" s="167"/>
      <c r="S4" s="167"/>
      <c r="T4" s="167"/>
      <c r="U4" s="167"/>
      <c r="V4" s="167"/>
      <c r="W4" s="167"/>
      <c r="X4" s="671"/>
    </row>
    <row r="5" spans="2:25" ht="18" customHeight="1">
      <c r="B5" s="731"/>
      <c r="C5" s="105" t="str">
        <f>geg!I12</f>
        <v>De speciale school</v>
      </c>
      <c r="D5" s="735"/>
      <c r="E5" s="93"/>
      <c r="F5" s="261"/>
      <c r="G5" s="93"/>
      <c r="H5" s="93"/>
      <c r="I5" s="93"/>
      <c r="J5" s="93"/>
      <c r="K5" s="93"/>
      <c r="L5" s="93"/>
      <c r="M5" s="93"/>
      <c r="N5" s="617"/>
      <c r="O5" s="93"/>
      <c r="P5" s="93"/>
      <c r="Q5" s="1133"/>
      <c r="R5" s="93"/>
      <c r="S5" s="93"/>
      <c r="T5" s="93"/>
      <c r="U5" s="93"/>
      <c r="V5" s="93"/>
      <c r="W5" s="93"/>
      <c r="X5" s="97"/>
    </row>
    <row r="6" spans="2:25" ht="12.75" customHeight="1">
      <c r="B6" s="92"/>
      <c r="C6" s="93"/>
      <c r="D6" s="93"/>
      <c r="E6" s="93"/>
      <c r="F6" s="93"/>
      <c r="G6" s="93"/>
      <c r="H6" s="93"/>
      <c r="I6" s="93"/>
      <c r="J6" s="93"/>
      <c r="K6" s="93"/>
      <c r="L6" s="93"/>
      <c r="M6" s="93"/>
      <c r="N6" s="617"/>
      <c r="O6" s="93"/>
      <c r="P6" s="93"/>
      <c r="Q6" s="1133"/>
      <c r="R6" s="93"/>
      <c r="S6" s="93"/>
      <c r="T6" s="93"/>
      <c r="U6" s="93"/>
      <c r="V6" s="93"/>
      <c r="W6" s="93"/>
      <c r="X6" s="97"/>
    </row>
    <row r="7" spans="2:25" ht="12.75" customHeight="1">
      <c r="B7" s="92"/>
      <c r="C7" s="93"/>
      <c r="D7" s="93"/>
      <c r="E7" s="93"/>
      <c r="F7" s="93"/>
      <c r="G7" s="93"/>
      <c r="H7" s="93"/>
      <c r="I7" s="93"/>
      <c r="J7" s="93"/>
      <c r="K7" s="93"/>
      <c r="L7" s="93"/>
      <c r="M7" s="93"/>
      <c r="N7" s="617"/>
      <c r="O7" s="93"/>
      <c r="P7" s="93"/>
      <c r="Q7" s="1133"/>
      <c r="R7" s="93"/>
      <c r="S7" s="93"/>
      <c r="T7" s="93"/>
      <c r="U7" s="93"/>
      <c r="V7" s="93"/>
      <c r="W7" s="93"/>
      <c r="X7" s="97"/>
    </row>
    <row r="8" spans="2:25" ht="12.75" customHeight="1">
      <c r="B8" s="92"/>
      <c r="C8" s="93"/>
      <c r="D8" s="93"/>
      <c r="E8" s="1100"/>
      <c r="F8" s="93"/>
      <c r="G8" s="1100"/>
      <c r="H8" s="1100"/>
      <c r="I8" s="1100"/>
      <c r="J8" s="93"/>
      <c r="K8" s="93"/>
      <c r="L8" s="93"/>
      <c r="M8" s="93"/>
      <c r="N8" s="617"/>
      <c r="O8" s="1100"/>
      <c r="P8" s="93"/>
      <c r="Q8" s="1133"/>
      <c r="R8" s="1100"/>
      <c r="S8" s="93"/>
      <c r="T8" s="93"/>
      <c r="U8" s="1100"/>
      <c r="V8" s="93"/>
      <c r="W8" s="1100"/>
      <c r="X8" s="1101"/>
      <c r="Y8" s="1102"/>
    </row>
    <row r="9" spans="2:25" ht="12.75" customHeight="1">
      <c r="B9" s="92"/>
      <c r="C9" s="93"/>
      <c r="D9" s="93"/>
      <c r="E9" s="1100"/>
      <c r="F9" s="93"/>
      <c r="G9" s="1100"/>
      <c r="H9" s="1100"/>
      <c r="I9" s="1100"/>
      <c r="J9" s="93"/>
      <c r="K9" s="93"/>
      <c r="L9" s="93"/>
      <c r="M9" s="93"/>
      <c r="N9" s="617"/>
      <c r="O9" s="1100"/>
      <c r="P9" s="93"/>
      <c r="Q9" s="1133"/>
      <c r="R9" s="1100"/>
      <c r="S9" s="93"/>
      <c r="T9" s="93"/>
      <c r="U9" s="1100"/>
      <c r="V9" s="93"/>
      <c r="W9" s="1100"/>
      <c r="X9" s="1101"/>
      <c r="Y9" s="1102"/>
    </row>
    <row r="10" spans="2:25" ht="12.75" customHeight="1">
      <c r="B10" s="92"/>
      <c r="C10" s="124"/>
      <c r="D10" s="127"/>
      <c r="E10" s="1103"/>
      <c r="F10" s="127"/>
      <c r="G10" s="1103"/>
      <c r="H10" s="1103"/>
      <c r="I10" s="1103"/>
      <c r="J10" s="127"/>
      <c r="K10" s="127"/>
      <c r="L10" s="127"/>
      <c r="M10" s="127"/>
      <c r="N10" s="1136"/>
      <c r="O10" s="1103"/>
      <c r="P10" s="127"/>
      <c r="Q10" s="1137"/>
      <c r="R10" s="1103"/>
      <c r="S10" s="130"/>
      <c r="T10" s="127"/>
      <c r="U10" s="1103"/>
      <c r="V10" s="130"/>
      <c r="W10" s="1103"/>
      <c r="X10" s="1101"/>
      <c r="Y10" s="1102"/>
    </row>
    <row r="11" spans="2:25" ht="12.75" customHeight="1">
      <c r="B11" s="92"/>
      <c r="C11" s="124"/>
      <c r="D11" s="888" t="s">
        <v>840</v>
      </c>
      <c r="E11" s="1103"/>
      <c r="G11" s="1103"/>
      <c r="H11" s="1102"/>
      <c r="I11" s="1102"/>
      <c r="J11" s="1138" t="s">
        <v>858</v>
      </c>
      <c r="K11" s="83"/>
      <c r="L11" s="86"/>
      <c r="M11" s="86"/>
      <c r="N11" s="1139"/>
      <c r="O11" s="1140"/>
      <c r="P11" s="1141" t="s">
        <v>859</v>
      </c>
      <c r="Q11" s="1142"/>
      <c r="R11" s="1140"/>
      <c r="S11" s="1143" t="s">
        <v>845</v>
      </c>
      <c r="U11" s="1140"/>
      <c r="V11" s="1144" t="s">
        <v>860</v>
      </c>
      <c r="W11" s="1103"/>
      <c r="X11" s="1101"/>
      <c r="Y11" s="1102"/>
    </row>
    <row r="12" spans="2:25" ht="12.75" customHeight="1">
      <c r="B12" s="92"/>
      <c r="C12" s="124"/>
      <c r="D12" s="1105" t="s">
        <v>841</v>
      </c>
      <c r="E12" s="1103"/>
      <c r="F12" s="508" t="s">
        <v>842</v>
      </c>
      <c r="G12" s="1103"/>
      <c r="H12" s="510" t="s">
        <v>843</v>
      </c>
      <c r="I12" s="1102"/>
      <c r="J12" s="508" t="s">
        <v>844</v>
      </c>
      <c r="K12" s="1145" t="s">
        <v>302</v>
      </c>
      <c r="L12" s="1145" t="s">
        <v>303</v>
      </c>
      <c r="M12" s="510" t="s">
        <v>307</v>
      </c>
      <c r="N12" s="1146" t="s">
        <v>310</v>
      </c>
      <c r="O12" s="1147"/>
      <c r="P12" s="508" t="s">
        <v>844</v>
      </c>
      <c r="Q12" s="1148" t="s">
        <v>310</v>
      </c>
      <c r="R12" s="1147"/>
      <c r="S12" s="508" t="s">
        <v>844</v>
      </c>
      <c r="T12" s="510" t="s">
        <v>310</v>
      </c>
      <c r="U12" s="1147"/>
      <c r="V12" s="510"/>
      <c r="W12" s="1103"/>
      <c r="X12" s="1101"/>
      <c r="Y12" s="1102"/>
    </row>
    <row r="13" spans="2:25" ht="12.75" customHeight="1">
      <c r="B13" s="92"/>
      <c r="C13" s="131"/>
      <c r="D13" s="1104"/>
      <c r="E13" s="136"/>
      <c r="F13" s="1104"/>
      <c r="G13" s="136"/>
      <c r="H13" s="1149"/>
      <c r="I13" s="136"/>
      <c r="J13" s="1104"/>
      <c r="K13" s="567" t="s">
        <v>322</v>
      </c>
      <c r="L13" s="567">
        <v>15</v>
      </c>
      <c r="M13" s="568">
        <v>1</v>
      </c>
      <c r="N13" s="1150">
        <f>(((IF(K13="",0,VLOOKUP(K13,tab!$A$119:$V$159,L13+3,FALSE)))*M13)*12)*(1+tab!$D$108)</f>
        <v>69062.400000000009</v>
      </c>
      <c r="O13" s="136"/>
      <c r="P13" s="1104"/>
      <c r="Q13" s="1151">
        <v>0</v>
      </c>
      <c r="R13" s="136"/>
      <c r="S13" s="1106"/>
      <c r="T13" s="1151">
        <v>1</v>
      </c>
      <c r="U13" s="136"/>
      <c r="V13" s="1152">
        <f>N13+Q13+T13</f>
        <v>69063.400000000009</v>
      </c>
      <c r="W13" s="136"/>
      <c r="X13" s="97"/>
    </row>
    <row r="14" spans="2:25" ht="12.75" customHeight="1">
      <c r="B14" s="92"/>
      <c r="C14" s="141"/>
      <c r="D14" s="1104"/>
      <c r="E14" s="147"/>
      <c r="F14" s="1104"/>
      <c r="G14" s="147"/>
      <c r="H14" s="1153"/>
      <c r="I14" s="147"/>
      <c r="J14" s="1104"/>
      <c r="K14" s="567"/>
      <c r="L14" s="567"/>
      <c r="M14" s="568"/>
      <c r="N14" s="1150">
        <f>(((IF(K14="",0,VLOOKUP(K14,tab!$A$119:$V$159,L14+3,FALSE)))*M14)*12)*(1+tab!$D$108)</f>
        <v>0</v>
      </c>
      <c r="O14" s="147"/>
      <c r="P14" s="1104"/>
      <c r="Q14" s="1151">
        <v>0</v>
      </c>
      <c r="R14" s="147"/>
      <c r="S14" s="1107"/>
      <c r="T14" s="1151">
        <v>0</v>
      </c>
      <c r="U14" s="147"/>
      <c r="V14" s="1152">
        <f t="shared" ref="V14:V19" si="0">N14+Q14+T14</f>
        <v>0</v>
      </c>
      <c r="W14" s="147"/>
      <c r="X14" s="97"/>
    </row>
    <row r="15" spans="2:25" ht="12.75" customHeight="1">
      <c r="B15" s="92"/>
      <c r="C15" s="141"/>
      <c r="D15" s="1104"/>
      <c r="E15" s="147"/>
      <c r="F15" s="1104"/>
      <c r="G15" s="147"/>
      <c r="H15" s="1153"/>
      <c r="I15" s="147"/>
      <c r="J15" s="1104"/>
      <c r="K15" s="567"/>
      <c r="L15" s="567"/>
      <c r="M15" s="568"/>
      <c r="N15" s="1150">
        <f>(((IF(K15="",0,VLOOKUP(K15,tab!$A$119:$V$159,L15+3,FALSE)))*M15)*12)*(1+tab!$D$108)</f>
        <v>0</v>
      </c>
      <c r="O15" s="147"/>
      <c r="P15" s="1104"/>
      <c r="Q15" s="1151">
        <v>0</v>
      </c>
      <c r="R15" s="147"/>
      <c r="S15" s="1107"/>
      <c r="T15" s="1151">
        <v>0</v>
      </c>
      <c r="U15" s="147"/>
      <c r="V15" s="1152">
        <f t="shared" si="0"/>
        <v>0</v>
      </c>
      <c r="W15" s="147"/>
      <c r="X15" s="97"/>
    </row>
    <row r="16" spans="2:25" ht="12.75" customHeight="1">
      <c r="B16" s="92"/>
      <c r="C16" s="141"/>
      <c r="D16" s="1104"/>
      <c r="E16" s="147"/>
      <c r="F16" s="1104"/>
      <c r="G16" s="147"/>
      <c r="H16" s="1153"/>
      <c r="I16" s="147"/>
      <c r="J16" s="1104"/>
      <c r="K16" s="567"/>
      <c r="L16" s="567"/>
      <c r="M16" s="568"/>
      <c r="N16" s="1150">
        <f>(((IF(K16="",0,VLOOKUP(K16,tab!$A$119:$V$159,L16+3,FALSE)))*M16)*12)*(1+tab!$D$108)</f>
        <v>0</v>
      </c>
      <c r="O16" s="147"/>
      <c r="P16" s="1104"/>
      <c r="Q16" s="1151">
        <v>0</v>
      </c>
      <c r="R16" s="147"/>
      <c r="S16" s="1107"/>
      <c r="T16" s="1151">
        <v>0</v>
      </c>
      <c r="U16" s="147"/>
      <c r="V16" s="1152">
        <f t="shared" si="0"/>
        <v>0</v>
      </c>
      <c r="W16" s="147"/>
      <c r="X16" s="97"/>
    </row>
    <row r="17" spans="2:25" ht="12.75" customHeight="1">
      <c r="B17" s="92"/>
      <c r="C17" s="141"/>
      <c r="D17" s="1104"/>
      <c r="E17" s="147"/>
      <c r="F17" s="1104"/>
      <c r="G17" s="147"/>
      <c r="H17" s="1153"/>
      <c r="I17" s="147"/>
      <c r="J17" s="1104"/>
      <c r="K17" s="567"/>
      <c r="L17" s="567"/>
      <c r="M17" s="568"/>
      <c r="N17" s="1150">
        <f>(((IF(K17="",0,VLOOKUP(K17,tab!$A$119:$V$159,L17+3,FALSE)))*M17)*12)*(1+tab!$D$108)</f>
        <v>0</v>
      </c>
      <c r="O17" s="147"/>
      <c r="P17" s="1104"/>
      <c r="Q17" s="1151">
        <v>0</v>
      </c>
      <c r="R17" s="147"/>
      <c r="S17" s="1107"/>
      <c r="T17" s="1151">
        <v>0</v>
      </c>
      <c r="U17" s="147"/>
      <c r="V17" s="1152">
        <f t="shared" si="0"/>
        <v>0</v>
      </c>
      <c r="W17" s="147"/>
      <c r="X17" s="97"/>
    </row>
    <row r="18" spans="2:25" ht="12.75" customHeight="1">
      <c r="B18" s="92"/>
      <c r="C18" s="141"/>
      <c r="D18" s="1104"/>
      <c r="E18" s="147"/>
      <c r="F18" s="1104"/>
      <c r="G18" s="147"/>
      <c r="H18" s="1153"/>
      <c r="I18" s="147"/>
      <c r="J18" s="1104"/>
      <c r="K18" s="567"/>
      <c r="L18" s="567"/>
      <c r="M18" s="568"/>
      <c r="N18" s="1150">
        <f>(((IF(K18="",0,VLOOKUP(K18,tab!$A$119:$V$159,L18+3,FALSE)))*M18)*12)*(1+tab!$D$108)</f>
        <v>0</v>
      </c>
      <c r="O18" s="147"/>
      <c r="P18" s="1104"/>
      <c r="Q18" s="1151">
        <v>0</v>
      </c>
      <c r="R18" s="147"/>
      <c r="S18" s="1107"/>
      <c r="T18" s="1151">
        <v>0</v>
      </c>
      <c r="U18" s="147"/>
      <c r="V18" s="1152">
        <f t="shared" si="0"/>
        <v>0</v>
      </c>
      <c r="W18" s="147"/>
      <c r="X18" s="97"/>
    </row>
    <row r="19" spans="2:25" ht="12.75" customHeight="1">
      <c r="B19" s="92"/>
      <c r="C19" s="1108"/>
      <c r="D19" s="1109"/>
      <c r="E19" s="1108"/>
      <c r="F19" s="1109"/>
      <c r="G19" s="1108"/>
      <c r="H19" s="1108"/>
      <c r="I19" s="1108"/>
      <c r="J19" s="1109"/>
      <c r="K19" s="1109"/>
      <c r="L19" s="1109"/>
      <c r="M19" s="1109"/>
      <c r="N19" s="1154">
        <f>SUM(N13:N18)</f>
        <v>69062.400000000009</v>
      </c>
      <c r="O19" s="1108"/>
      <c r="P19" s="1109"/>
      <c r="Q19" s="1110">
        <f>SUM(Q13:Q18)</f>
        <v>0</v>
      </c>
      <c r="R19" s="1108"/>
      <c r="S19" s="1109"/>
      <c r="T19" s="1110">
        <f>SUM(T13:T18)</f>
        <v>1</v>
      </c>
      <c r="U19" s="1108"/>
      <c r="V19" s="1155">
        <f t="shared" si="0"/>
        <v>69063.400000000009</v>
      </c>
      <c r="W19" s="1108"/>
      <c r="X19" s="97"/>
    </row>
    <row r="20" spans="2:25" ht="12.75" customHeight="1">
      <c r="B20" s="92"/>
      <c r="E20" s="252"/>
      <c r="F20" s="252"/>
      <c r="G20" s="252"/>
      <c r="H20" s="252"/>
      <c r="I20" s="252"/>
      <c r="J20" s="252"/>
      <c r="K20" s="252"/>
      <c r="L20" s="252"/>
      <c r="M20" s="252"/>
      <c r="N20" s="1156"/>
      <c r="O20" s="252"/>
      <c r="P20" s="252"/>
      <c r="Q20" s="1157"/>
      <c r="R20" s="252"/>
      <c r="S20" s="252"/>
      <c r="T20" s="252"/>
      <c r="U20" s="252"/>
      <c r="V20" s="252"/>
      <c r="W20" s="252"/>
      <c r="X20" s="97"/>
    </row>
    <row r="21" spans="2:25" ht="12.75" hidden="1" customHeight="1">
      <c r="B21" s="92"/>
      <c r="C21" s="93"/>
      <c r="D21" s="93"/>
      <c r="E21" s="261"/>
      <c r="F21" s="261"/>
      <c r="G21" s="261"/>
      <c r="H21" s="261"/>
      <c r="I21" s="261"/>
      <c r="J21" s="261"/>
      <c r="K21" s="261"/>
      <c r="L21" s="261"/>
      <c r="M21" s="261"/>
      <c r="N21" s="1158"/>
      <c r="O21" s="261"/>
      <c r="P21" s="261"/>
      <c r="Q21" s="1159"/>
      <c r="R21" s="261"/>
      <c r="S21" s="261"/>
      <c r="T21" s="261"/>
      <c r="U21" s="261"/>
      <c r="V21" s="261"/>
      <c r="W21" s="261"/>
      <c r="X21" s="97"/>
    </row>
    <row r="22" spans="2:25" ht="12.75" hidden="1" customHeight="1">
      <c r="B22" s="92"/>
      <c r="C22" s="124"/>
      <c r="D22" s="127"/>
      <c r="E22" s="1103"/>
      <c r="F22" s="127"/>
      <c r="G22" s="1103"/>
      <c r="H22" s="1103"/>
      <c r="I22" s="1103"/>
      <c r="J22" s="127"/>
      <c r="K22" s="127"/>
      <c r="L22" s="127"/>
      <c r="M22" s="127"/>
      <c r="N22" s="1136"/>
      <c r="O22" s="1103"/>
      <c r="P22" s="127"/>
      <c r="Q22" s="1137"/>
      <c r="R22" s="1103"/>
      <c r="S22" s="130"/>
      <c r="T22" s="127"/>
      <c r="U22" s="1103"/>
      <c r="V22" s="130"/>
      <c r="W22" s="1103"/>
      <c r="X22" s="97"/>
    </row>
    <row r="23" spans="2:25" ht="12.75" customHeight="1">
      <c r="B23" s="92"/>
      <c r="C23" s="124"/>
      <c r="D23" s="888" t="s">
        <v>846</v>
      </c>
      <c r="E23" s="1103"/>
      <c r="G23" s="1103"/>
      <c r="H23" s="1102"/>
      <c r="I23" s="1102"/>
      <c r="J23" s="1138" t="s">
        <v>858</v>
      </c>
      <c r="K23" s="83"/>
      <c r="L23" s="86"/>
      <c r="M23" s="86"/>
      <c r="N23" s="1139"/>
      <c r="O23" s="1140"/>
      <c r="P23" s="1141" t="s">
        <v>859</v>
      </c>
      <c r="Q23" s="1142"/>
      <c r="R23" s="1140"/>
      <c r="S23" s="1143" t="s">
        <v>845</v>
      </c>
      <c r="U23" s="1140"/>
      <c r="V23" s="1144" t="s">
        <v>860</v>
      </c>
      <c r="W23" s="1103"/>
      <c r="X23" s="97"/>
    </row>
    <row r="24" spans="2:25" ht="12.75" customHeight="1">
      <c r="B24" s="92"/>
      <c r="C24" s="124"/>
      <c r="D24" s="1105" t="s">
        <v>841</v>
      </c>
      <c r="E24" s="1103"/>
      <c r="F24" s="508" t="s">
        <v>842</v>
      </c>
      <c r="G24" s="1103"/>
      <c r="H24" s="510" t="s">
        <v>843</v>
      </c>
      <c r="I24" s="1102"/>
      <c r="J24" s="508" t="s">
        <v>844</v>
      </c>
      <c r="K24" s="1145" t="s">
        <v>302</v>
      </c>
      <c r="L24" s="1145" t="s">
        <v>303</v>
      </c>
      <c r="M24" s="510" t="s">
        <v>307</v>
      </c>
      <c r="N24" s="1146" t="s">
        <v>860</v>
      </c>
      <c r="O24" s="1147"/>
      <c r="P24" s="508" t="s">
        <v>844</v>
      </c>
      <c r="Q24" s="1148" t="s">
        <v>860</v>
      </c>
      <c r="R24" s="1147"/>
      <c r="S24" s="508" t="s">
        <v>844</v>
      </c>
      <c r="T24" s="510" t="s">
        <v>860</v>
      </c>
      <c r="U24" s="1147"/>
      <c r="V24" s="510"/>
      <c r="W24" s="1103"/>
      <c r="X24" s="1101"/>
      <c r="Y24" s="1102"/>
    </row>
    <row r="25" spans="2:25" ht="12.75" customHeight="1">
      <c r="B25" s="92"/>
      <c r="C25" s="131"/>
      <c r="D25" s="1104"/>
      <c r="E25" s="136"/>
      <c r="F25" s="1104"/>
      <c r="G25" s="136"/>
      <c r="H25" s="1149"/>
      <c r="I25" s="136"/>
      <c r="J25" s="1104"/>
      <c r="K25" s="567"/>
      <c r="L25" s="567"/>
      <c r="M25" s="568"/>
      <c r="N25" s="1150">
        <f>(((IF(K25="",0,VLOOKUP(K25,tab!$A$119:$V$159,L25+3,FALSE)))*M25)*12)*(1+tab!$D$108)</f>
        <v>0</v>
      </c>
      <c r="O25" s="136"/>
      <c r="P25" s="1104"/>
      <c r="Q25" s="1151">
        <v>0</v>
      </c>
      <c r="R25" s="136"/>
      <c r="S25" s="1106"/>
      <c r="T25" s="1151">
        <v>1</v>
      </c>
      <c r="U25" s="136"/>
      <c r="V25" s="1152">
        <f t="shared" ref="V25:V31" si="1">N25+Q25+T25</f>
        <v>1</v>
      </c>
      <c r="W25" s="136"/>
      <c r="X25" s="97"/>
    </row>
    <row r="26" spans="2:25" ht="12.75" customHeight="1">
      <c r="B26" s="92"/>
      <c r="C26" s="141"/>
      <c r="D26" s="1104"/>
      <c r="E26" s="147"/>
      <c r="F26" s="1104"/>
      <c r="G26" s="147"/>
      <c r="H26" s="1153"/>
      <c r="I26" s="147"/>
      <c r="J26" s="1104"/>
      <c r="K26" s="567"/>
      <c r="L26" s="567"/>
      <c r="M26" s="568"/>
      <c r="N26" s="1150">
        <f>(((IF(K26="",0,VLOOKUP(K26,tab!$A$119:$V$159,L26+3,FALSE)))*M26)*12)*(1+tab!$D$108)</f>
        <v>0</v>
      </c>
      <c r="O26" s="147"/>
      <c r="P26" s="1104"/>
      <c r="Q26" s="1151">
        <v>0</v>
      </c>
      <c r="R26" s="147"/>
      <c r="S26" s="1107"/>
      <c r="T26" s="1151">
        <v>0</v>
      </c>
      <c r="U26" s="147"/>
      <c r="V26" s="1152">
        <f t="shared" si="1"/>
        <v>0</v>
      </c>
      <c r="W26" s="147"/>
      <c r="X26" s="97"/>
    </row>
    <row r="27" spans="2:25" ht="12.75" customHeight="1">
      <c r="B27" s="92"/>
      <c r="C27" s="141"/>
      <c r="D27" s="1104"/>
      <c r="E27" s="147"/>
      <c r="F27" s="1104"/>
      <c r="G27" s="147"/>
      <c r="H27" s="1153"/>
      <c r="I27" s="147"/>
      <c r="J27" s="1104"/>
      <c r="K27" s="567"/>
      <c r="L27" s="567"/>
      <c r="M27" s="568"/>
      <c r="N27" s="1150">
        <f>(((IF(K27="",0,VLOOKUP(K27,tab!$A$119:$V$159,L27+3,FALSE)))*M27)*12)*(1+tab!$D$108)</f>
        <v>0</v>
      </c>
      <c r="O27" s="147"/>
      <c r="P27" s="1104"/>
      <c r="Q27" s="1151">
        <v>0</v>
      </c>
      <c r="R27" s="147"/>
      <c r="S27" s="1107"/>
      <c r="T27" s="1151">
        <v>0</v>
      </c>
      <c r="U27" s="147"/>
      <c r="V27" s="1152">
        <f t="shared" si="1"/>
        <v>0</v>
      </c>
      <c r="W27" s="147"/>
      <c r="X27" s="97"/>
    </row>
    <row r="28" spans="2:25" ht="12.75" customHeight="1">
      <c r="B28" s="92"/>
      <c r="C28" s="141"/>
      <c r="D28" s="1104"/>
      <c r="E28" s="147"/>
      <c r="F28" s="1104"/>
      <c r="G28" s="147"/>
      <c r="H28" s="1153"/>
      <c r="I28" s="147"/>
      <c r="J28" s="1104"/>
      <c r="K28" s="567"/>
      <c r="L28" s="567"/>
      <c r="M28" s="568"/>
      <c r="N28" s="1150">
        <f>(((IF(K28="",0,VLOOKUP(K28,tab!$A$119:$V$159,L28+3,FALSE)))*M28)*12)*(1+tab!$D$108)</f>
        <v>0</v>
      </c>
      <c r="O28" s="147"/>
      <c r="P28" s="1104"/>
      <c r="Q28" s="1151">
        <v>0</v>
      </c>
      <c r="R28" s="147"/>
      <c r="S28" s="1107"/>
      <c r="T28" s="1151">
        <v>0</v>
      </c>
      <c r="U28" s="147"/>
      <c r="V28" s="1152">
        <f t="shared" si="1"/>
        <v>0</v>
      </c>
      <c r="W28" s="147"/>
      <c r="X28" s="97"/>
    </row>
    <row r="29" spans="2:25" ht="12.75" customHeight="1">
      <c r="B29" s="92"/>
      <c r="C29" s="141"/>
      <c r="D29" s="1104"/>
      <c r="E29" s="147"/>
      <c r="F29" s="1104"/>
      <c r="G29" s="147"/>
      <c r="H29" s="1153"/>
      <c r="I29" s="147"/>
      <c r="J29" s="1104"/>
      <c r="K29" s="567"/>
      <c r="L29" s="567"/>
      <c r="M29" s="568"/>
      <c r="N29" s="1150">
        <f>(((IF(K29="",0,VLOOKUP(K29,tab!$A$119:$V$159,L29+3,FALSE)))*M29)*12)*(1+tab!$D$108)</f>
        <v>0</v>
      </c>
      <c r="O29" s="147"/>
      <c r="P29" s="1104"/>
      <c r="Q29" s="1151">
        <v>0</v>
      </c>
      <c r="R29" s="147"/>
      <c r="S29" s="1107"/>
      <c r="T29" s="1151">
        <v>0</v>
      </c>
      <c r="U29" s="147"/>
      <c r="V29" s="1152">
        <f t="shared" si="1"/>
        <v>0</v>
      </c>
      <c r="W29" s="147"/>
      <c r="X29" s="97"/>
    </row>
    <row r="30" spans="2:25" ht="12.75" customHeight="1">
      <c r="B30" s="92"/>
      <c r="C30" s="141"/>
      <c r="D30" s="1104"/>
      <c r="E30" s="147"/>
      <c r="F30" s="1104"/>
      <c r="G30" s="147"/>
      <c r="H30" s="1153"/>
      <c r="I30" s="147"/>
      <c r="J30" s="1104"/>
      <c r="K30" s="567"/>
      <c r="L30" s="567"/>
      <c r="M30" s="568"/>
      <c r="N30" s="1150">
        <f>(((IF(K30="",0,VLOOKUP(K30,tab!$A$119:$V$159,L30+3,FALSE)))*M30)*12)*(1+tab!$D$108)</f>
        <v>0</v>
      </c>
      <c r="O30" s="147"/>
      <c r="P30" s="1104"/>
      <c r="Q30" s="1151">
        <v>0</v>
      </c>
      <c r="R30" s="147"/>
      <c r="S30" s="1107"/>
      <c r="T30" s="1151">
        <v>0</v>
      </c>
      <c r="U30" s="147"/>
      <c r="V30" s="1152">
        <f t="shared" si="1"/>
        <v>0</v>
      </c>
      <c r="W30" s="147"/>
      <c r="X30" s="97"/>
    </row>
    <row r="31" spans="2:25" ht="12.75" customHeight="1">
      <c r="B31" s="92"/>
      <c r="C31" s="1108"/>
      <c r="D31" s="1108"/>
      <c r="E31" s="1111"/>
      <c r="F31" s="1111"/>
      <c r="G31" s="1111"/>
      <c r="H31" s="1111"/>
      <c r="I31" s="1111"/>
      <c r="J31" s="1109"/>
      <c r="K31" s="1109"/>
      <c r="L31" s="1109"/>
      <c r="M31" s="1109"/>
      <c r="N31" s="1154">
        <f>SUM(N25:N30)</f>
        <v>0</v>
      </c>
      <c r="O31" s="1111"/>
      <c r="P31" s="1109"/>
      <c r="Q31" s="1110">
        <f>SUM(Q25:Q30)</f>
        <v>0</v>
      </c>
      <c r="R31" s="1108"/>
      <c r="S31" s="1111"/>
      <c r="T31" s="1110">
        <f>SUM(T25:T30)</f>
        <v>1</v>
      </c>
      <c r="U31" s="1108"/>
      <c r="V31" s="1155">
        <f t="shared" si="1"/>
        <v>1</v>
      </c>
      <c r="W31" s="1111"/>
      <c r="X31" s="97"/>
    </row>
    <row r="32" spans="2:25" ht="12.75" customHeight="1">
      <c r="B32" s="92"/>
      <c r="E32" s="252"/>
      <c r="F32" s="252"/>
      <c r="G32" s="252"/>
      <c r="H32" s="252"/>
      <c r="I32" s="252"/>
      <c r="J32" s="252"/>
      <c r="K32" s="252"/>
      <c r="L32" s="252"/>
      <c r="M32" s="252"/>
      <c r="N32" s="1156"/>
      <c r="O32" s="252"/>
      <c r="P32" s="252"/>
      <c r="Q32" s="1157"/>
      <c r="R32" s="252"/>
      <c r="S32" s="252"/>
      <c r="T32" s="252"/>
      <c r="U32" s="252"/>
      <c r="V32" s="252"/>
      <c r="W32" s="252"/>
      <c r="X32" s="97"/>
    </row>
    <row r="33" spans="2:25" ht="12.75" customHeight="1">
      <c r="B33" s="92"/>
      <c r="C33" s="93"/>
      <c r="D33" s="258"/>
      <c r="E33" s="93"/>
      <c r="F33" s="1112"/>
      <c r="G33" s="93"/>
      <c r="H33" s="93"/>
      <c r="I33" s="93"/>
      <c r="J33" s="1112"/>
      <c r="K33" s="1112"/>
      <c r="L33" s="1112"/>
      <c r="M33" s="1112"/>
      <c r="N33" s="1160"/>
      <c r="O33" s="93"/>
      <c r="P33" s="1112"/>
      <c r="Q33" s="1161"/>
      <c r="R33" s="93"/>
      <c r="S33" s="1112"/>
      <c r="T33" s="1112"/>
      <c r="U33" s="93"/>
      <c r="V33" s="1112"/>
      <c r="W33" s="93"/>
      <c r="X33" s="97"/>
    </row>
    <row r="34" spans="2:25" ht="12.75" customHeight="1">
      <c r="B34" s="92"/>
      <c r="C34" s="124"/>
      <c r="D34" s="127"/>
      <c r="E34" s="1103"/>
      <c r="F34" s="127"/>
      <c r="G34" s="1103"/>
      <c r="H34" s="1103"/>
      <c r="I34" s="1103"/>
      <c r="J34" s="127"/>
      <c r="K34" s="127"/>
      <c r="L34" s="127"/>
      <c r="M34" s="127"/>
      <c r="N34" s="1136"/>
      <c r="O34" s="1103"/>
      <c r="P34" s="127"/>
      <c r="Q34" s="1137"/>
      <c r="R34" s="1103"/>
      <c r="S34" s="130"/>
      <c r="T34" s="127"/>
      <c r="U34" s="1103"/>
      <c r="V34" s="130"/>
      <c r="W34" s="1103"/>
      <c r="X34" s="97"/>
    </row>
    <row r="35" spans="2:25" ht="12.75" customHeight="1">
      <c r="B35" s="92"/>
      <c r="C35" s="124"/>
      <c r="D35" s="888" t="s">
        <v>847</v>
      </c>
      <c r="E35" s="1103"/>
      <c r="G35" s="1103"/>
      <c r="H35" s="1102"/>
      <c r="I35" s="1102"/>
      <c r="J35" s="1138" t="s">
        <v>858</v>
      </c>
      <c r="K35" s="83"/>
      <c r="L35" s="86"/>
      <c r="M35" s="86"/>
      <c r="N35" s="1139"/>
      <c r="O35" s="1140"/>
      <c r="P35" s="1141" t="s">
        <v>859</v>
      </c>
      <c r="Q35" s="1142"/>
      <c r="R35" s="1140"/>
      <c r="S35" s="1143" t="s">
        <v>845</v>
      </c>
      <c r="U35" s="1140"/>
      <c r="V35" s="1144" t="s">
        <v>860</v>
      </c>
      <c r="W35" s="1103"/>
      <c r="X35" s="97"/>
    </row>
    <row r="36" spans="2:25" ht="12.75" customHeight="1">
      <c r="B36" s="92"/>
      <c r="C36" s="124"/>
      <c r="D36" s="1105" t="s">
        <v>841</v>
      </c>
      <c r="E36" s="1103"/>
      <c r="F36" s="508" t="s">
        <v>842</v>
      </c>
      <c r="G36" s="1103"/>
      <c r="H36" s="510" t="s">
        <v>843</v>
      </c>
      <c r="I36" s="1102"/>
      <c r="J36" s="508" t="s">
        <v>844</v>
      </c>
      <c r="K36" s="1145" t="s">
        <v>302</v>
      </c>
      <c r="L36" s="1145" t="s">
        <v>303</v>
      </c>
      <c r="M36" s="510" t="s">
        <v>307</v>
      </c>
      <c r="N36" s="1146" t="s">
        <v>860</v>
      </c>
      <c r="O36" s="1147"/>
      <c r="P36" s="508" t="s">
        <v>844</v>
      </c>
      <c r="Q36" s="1148" t="s">
        <v>860</v>
      </c>
      <c r="R36" s="1147"/>
      <c r="S36" s="508" t="s">
        <v>844</v>
      </c>
      <c r="T36" s="510" t="s">
        <v>860</v>
      </c>
      <c r="U36" s="1147"/>
      <c r="V36" s="510"/>
      <c r="W36" s="1103"/>
      <c r="X36" s="1101"/>
      <c r="Y36" s="1102"/>
    </row>
    <row r="37" spans="2:25" ht="12.75" customHeight="1">
      <c r="B37" s="92"/>
      <c r="C37" s="131"/>
      <c r="D37" s="1104"/>
      <c r="E37" s="136"/>
      <c r="F37" s="1104"/>
      <c r="G37" s="136"/>
      <c r="H37" s="1149"/>
      <c r="I37" s="136"/>
      <c r="J37" s="1104"/>
      <c r="K37" s="567"/>
      <c r="L37" s="567"/>
      <c r="M37" s="568"/>
      <c r="N37" s="1150">
        <f>(((IF(K37="",0,VLOOKUP(K37,tab!$A$119:$V$159,L37+3,FALSE)))*M37)*12)*(1+tab!$D$108)</f>
        <v>0</v>
      </c>
      <c r="O37" s="136"/>
      <c r="P37" s="1104"/>
      <c r="Q37" s="1151">
        <v>0</v>
      </c>
      <c r="R37" s="136"/>
      <c r="S37" s="1106"/>
      <c r="T37" s="1151">
        <v>1</v>
      </c>
      <c r="U37" s="136"/>
      <c r="V37" s="1152">
        <f t="shared" ref="V37:V43" si="2">N37+Q37+T37</f>
        <v>1</v>
      </c>
      <c r="W37" s="136"/>
      <c r="X37" s="97"/>
    </row>
    <row r="38" spans="2:25" ht="12.75" customHeight="1">
      <c r="B38" s="92"/>
      <c r="C38" s="141"/>
      <c r="D38" s="1104"/>
      <c r="E38" s="147"/>
      <c r="F38" s="1104"/>
      <c r="G38" s="147"/>
      <c r="H38" s="1153"/>
      <c r="I38" s="147"/>
      <c r="J38" s="1104"/>
      <c r="K38" s="567"/>
      <c r="L38" s="567"/>
      <c r="M38" s="568"/>
      <c r="N38" s="1150">
        <f>(((IF(K38="",0,VLOOKUP(K38,tab!$A$119:$V$159,L38+3,FALSE)))*M38)*12)*(1+tab!$D$108)</f>
        <v>0</v>
      </c>
      <c r="O38" s="147"/>
      <c r="P38" s="1104"/>
      <c r="Q38" s="1151">
        <v>0</v>
      </c>
      <c r="R38" s="147"/>
      <c r="S38" s="1107"/>
      <c r="T38" s="1151">
        <v>0</v>
      </c>
      <c r="U38" s="147"/>
      <c r="V38" s="1152">
        <f t="shared" si="2"/>
        <v>0</v>
      </c>
      <c r="W38" s="147"/>
      <c r="X38" s="97"/>
    </row>
    <row r="39" spans="2:25" ht="12.75" customHeight="1">
      <c r="B39" s="92"/>
      <c r="C39" s="141"/>
      <c r="D39" s="1104"/>
      <c r="E39" s="147"/>
      <c r="F39" s="1104"/>
      <c r="G39" s="147"/>
      <c r="H39" s="1153"/>
      <c r="I39" s="147"/>
      <c r="J39" s="1104"/>
      <c r="K39" s="567"/>
      <c r="L39" s="567"/>
      <c r="M39" s="568"/>
      <c r="N39" s="1150">
        <f>(((IF(K39="",0,VLOOKUP(K39,tab!$A$119:$V$159,L39+3,FALSE)))*M39)*12)*(1+tab!$D$108)</f>
        <v>0</v>
      </c>
      <c r="O39" s="147"/>
      <c r="P39" s="1104"/>
      <c r="Q39" s="1151">
        <v>0</v>
      </c>
      <c r="R39" s="147"/>
      <c r="S39" s="1107"/>
      <c r="T39" s="1151">
        <v>0</v>
      </c>
      <c r="U39" s="147"/>
      <c r="V39" s="1152">
        <f t="shared" si="2"/>
        <v>0</v>
      </c>
      <c r="W39" s="147"/>
      <c r="X39" s="97"/>
    </row>
    <row r="40" spans="2:25" ht="12.75" customHeight="1">
      <c r="B40" s="92"/>
      <c r="C40" s="141"/>
      <c r="D40" s="1104"/>
      <c r="E40" s="147"/>
      <c r="F40" s="1104"/>
      <c r="G40" s="147"/>
      <c r="H40" s="1153"/>
      <c r="I40" s="147"/>
      <c r="J40" s="1104"/>
      <c r="K40" s="567"/>
      <c r="L40" s="567"/>
      <c r="M40" s="568"/>
      <c r="N40" s="1150">
        <f>(((IF(K40="",0,VLOOKUP(K40,tab!$A$119:$V$159,L40+3,FALSE)))*M40)*12)*(1+tab!$D$108)</f>
        <v>0</v>
      </c>
      <c r="O40" s="147"/>
      <c r="P40" s="1104"/>
      <c r="Q40" s="1151">
        <v>0</v>
      </c>
      <c r="R40" s="147"/>
      <c r="S40" s="1107"/>
      <c r="T40" s="1151">
        <v>0</v>
      </c>
      <c r="U40" s="147"/>
      <c r="V40" s="1152">
        <f t="shared" si="2"/>
        <v>0</v>
      </c>
      <c r="W40" s="147"/>
      <c r="X40" s="97"/>
    </row>
    <row r="41" spans="2:25" ht="12.75" customHeight="1">
      <c r="B41" s="92"/>
      <c r="C41" s="141"/>
      <c r="D41" s="1104"/>
      <c r="E41" s="147"/>
      <c r="F41" s="1104"/>
      <c r="G41" s="147"/>
      <c r="H41" s="1153"/>
      <c r="I41" s="147"/>
      <c r="J41" s="1104"/>
      <c r="K41" s="567"/>
      <c r="L41" s="567"/>
      <c r="M41" s="568"/>
      <c r="N41" s="1150">
        <f>(((IF(K41="",0,VLOOKUP(K41,tab!$A$119:$V$159,L41+3,FALSE)))*M41)*12)*(1+tab!$D$108)</f>
        <v>0</v>
      </c>
      <c r="O41" s="147"/>
      <c r="P41" s="1104"/>
      <c r="Q41" s="1151">
        <v>0</v>
      </c>
      <c r="R41" s="147"/>
      <c r="S41" s="1107"/>
      <c r="T41" s="1151">
        <v>0</v>
      </c>
      <c r="U41" s="147"/>
      <c r="V41" s="1152">
        <f t="shared" si="2"/>
        <v>0</v>
      </c>
      <c r="W41" s="147"/>
      <c r="X41" s="97"/>
    </row>
    <row r="42" spans="2:25" ht="12.75" customHeight="1">
      <c r="B42" s="92"/>
      <c r="C42" s="141"/>
      <c r="D42" s="1104"/>
      <c r="E42" s="147"/>
      <c r="F42" s="1104"/>
      <c r="G42" s="147"/>
      <c r="H42" s="1153"/>
      <c r="I42" s="147"/>
      <c r="J42" s="1104"/>
      <c r="K42" s="567"/>
      <c r="L42" s="567"/>
      <c r="M42" s="568"/>
      <c r="N42" s="1150">
        <f>(((IF(K42="",0,VLOOKUP(K42,tab!$A$119:$V$159,L42+3,FALSE)))*M42)*12)*(1+tab!$D$108)</f>
        <v>0</v>
      </c>
      <c r="O42" s="147"/>
      <c r="P42" s="1104"/>
      <c r="Q42" s="1151">
        <v>0</v>
      </c>
      <c r="R42" s="147"/>
      <c r="S42" s="1107"/>
      <c r="T42" s="1151">
        <v>0</v>
      </c>
      <c r="U42" s="147"/>
      <c r="V42" s="1152">
        <f t="shared" si="2"/>
        <v>0</v>
      </c>
      <c r="W42" s="147"/>
      <c r="X42" s="97"/>
    </row>
    <row r="43" spans="2:25" ht="12.75" customHeight="1">
      <c r="B43" s="92"/>
      <c r="C43" s="1108"/>
      <c r="D43" s="1108"/>
      <c r="E43" s="1111"/>
      <c r="F43" s="1111"/>
      <c r="G43" s="1111"/>
      <c r="H43" s="1111"/>
      <c r="I43" s="1111"/>
      <c r="J43" s="1109"/>
      <c r="K43" s="1109"/>
      <c r="L43" s="1109"/>
      <c r="M43" s="1109"/>
      <c r="N43" s="1154">
        <f>SUM(N37:N42)</f>
        <v>0</v>
      </c>
      <c r="O43" s="1111"/>
      <c r="P43" s="1109"/>
      <c r="Q43" s="1110">
        <f>SUM(Q37:Q42)</f>
        <v>0</v>
      </c>
      <c r="R43" s="1108"/>
      <c r="S43" s="1111"/>
      <c r="T43" s="1110">
        <f>SUM(T37:T42)</f>
        <v>1</v>
      </c>
      <c r="U43" s="1108"/>
      <c r="V43" s="1155">
        <f t="shared" si="2"/>
        <v>1</v>
      </c>
      <c r="W43" s="1111"/>
      <c r="X43" s="97"/>
    </row>
    <row r="44" spans="2:25" ht="12.75" customHeight="1">
      <c r="B44" s="92"/>
      <c r="E44" s="252"/>
      <c r="F44" s="252"/>
      <c r="G44" s="252"/>
      <c r="H44" s="252"/>
      <c r="I44" s="252"/>
      <c r="J44" s="252"/>
      <c r="K44" s="252"/>
      <c r="L44" s="252"/>
      <c r="M44" s="252"/>
      <c r="N44" s="1156"/>
      <c r="O44" s="252"/>
      <c r="P44" s="252"/>
      <c r="Q44" s="1157"/>
      <c r="R44" s="252"/>
      <c r="S44" s="252"/>
      <c r="T44" s="252"/>
      <c r="U44" s="252"/>
      <c r="V44" s="252"/>
      <c r="W44" s="252"/>
      <c r="X44" s="97"/>
    </row>
    <row r="45" spans="2:25" ht="12.75" customHeight="1">
      <c r="B45" s="92"/>
      <c r="C45" s="93"/>
      <c r="D45" s="258"/>
      <c r="E45" s="93"/>
      <c r="F45" s="1112"/>
      <c r="G45" s="93"/>
      <c r="H45" s="93"/>
      <c r="I45" s="93"/>
      <c r="J45" s="1112"/>
      <c r="K45" s="1112"/>
      <c r="L45" s="1112"/>
      <c r="M45" s="1112"/>
      <c r="N45" s="1160"/>
      <c r="O45" s="93"/>
      <c r="P45" s="1112"/>
      <c r="Q45" s="1161"/>
      <c r="R45" s="93"/>
      <c r="S45" s="1112"/>
      <c r="T45" s="1112"/>
      <c r="U45" s="93"/>
      <c r="V45" s="1112"/>
      <c r="W45" s="93"/>
      <c r="X45" s="97"/>
    </row>
    <row r="46" spans="2:25" ht="12.75" customHeight="1">
      <c r="B46" s="92"/>
      <c r="C46" s="124"/>
      <c r="D46" s="127"/>
      <c r="E46" s="1103"/>
      <c r="F46" s="127"/>
      <c r="G46" s="1103"/>
      <c r="H46" s="1103"/>
      <c r="I46" s="1103"/>
      <c r="J46" s="127"/>
      <c r="K46" s="127"/>
      <c r="L46" s="127"/>
      <c r="M46" s="127"/>
      <c r="N46" s="1136"/>
      <c r="O46" s="1103"/>
      <c r="P46" s="127"/>
      <c r="Q46" s="1137"/>
      <c r="R46" s="1103"/>
      <c r="S46" s="130"/>
      <c r="T46" s="127"/>
      <c r="U46" s="1103"/>
      <c r="V46" s="130"/>
      <c r="W46" s="1103"/>
      <c r="X46" s="97"/>
    </row>
    <row r="47" spans="2:25" ht="12.75" customHeight="1">
      <c r="B47" s="92"/>
      <c r="C47" s="124"/>
      <c r="D47" s="888" t="s">
        <v>861</v>
      </c>
      <c r="E47" s="1103"/>
      <c r="G47" s="1103"/>
      <c r="H47" s="1102"/>
      <c r="I47" s="1102"/>
      <c r="J47" s="1138" t="s">
        <v>858</v>
      </c>
      <c r="K47" s="83"/>
      <c r="L47" s="86"/>
      <c r="M47" s="86"/>
      <c r="N47" s="1139"/>
      <c r="O47" s="1140"/>
      <c r="P47" s="1141" t="s">
        <v>859</v>
      </c>
      <c r="Q47" s="1142"/>
      <c r="R47" s="1140"/>
      <c r="S47" s="1143" t="s">
        <v>845</v>
      </c>
      <c r="U47" s="1140"/>
      <c r="V47" s="1144" t="s">
        <v>860</v>
      </c>
      <c r="W47" s="1103"/>
      <c r="X47" s="97"/>
    </row>
    <row r="48" spans="2:25" ht="12.75" customHeight="1">
      <c r="B48" s="92"/>
      <c r="C48" s="124"/>
      <c r="D48" s="1105" t="s">
        <v>841</v>
      </c>
      <c r="E48" s="1103"/>
      <c r="F48" s="508" t="s">
        <v>842</v>
      </c>
      <c r="G48" s="1103"/>
      <c r="H48" s="510" t="s">
        <v>843</v>
      </c>
      <c r="I48" s="1102"/>
      <c r="J48" s="508" t="s">
        <v>844</v>
      </c>
      <c r="K48" s="1145" t="s">
        <v>302</v>
      </c>
      <c r="L48" s="1145" t="s">
        <v>303</v>
      </c>
      <c r="M48" s="510" t="s">
        <v>307</v>
      </c>
      <c r="N48" s="1146" t="s">
        <v>860</v>
      </c>
      <c r="O48" s="1147"/>
      <c r="P48" s="508" t="s">
        <v>844</v>
      </c>
      <c r="Q48" s="1148" t="s">
        <v>860</v>
      </c>
      <c r="R48" s="1147"/>
      <c r="S48" s="508" t="s">
        <v>844</v>
      </c>
      <c r="T48" s="510" t="s">
        <v>860</v>
      </c>
      <c r="U48" s="1147"/>
      <c r="V48" s="510"/>
      <c r="W48" s="1103"/>
      <c r="X48" s="97"/>
    </row>
    <row r="49" spans="2:24" ht="12.75" customHeight="1">
      <c r="B49" s="92"/>
      <c r="C49" s="131"/>
      <c r="D49" s="1104"/>
      <c r="E49" s="136"/>
      <c r="F49" s="1104"/>
      <c r="G49" s="136"/>
      <c r="H49" s="1149"/>
      <c r="I49" s="136"/>
      <c r="J49" s="1104"/>
      <c r="K49" s="567"/>
      <c r="L49" s="567"/>
      <c r="M49" s="568"/>
      <c r="N49" s="1150">
        <f>(((IF(K49="",0,VLOOKUP(K49,tab!$A$119:$V$159,L49+3,FALSE)))*M49)*12)*(1+tab!$D$108)</f>
        <v>0</v>
      </c>
      <c r="O49" s="136"/>
      <c r="P49" s="1104"/>
      <c r="Q49" s="1151">
        <v>0</v>
      </c>
      <c r="R49" s="136"/>
      <c r="S49" s="1106"/>
      <c r="T49" s="1151">
        <v>1</v>
      </c>
      <c r="U49" s="136"/>
      <c r="V49" s="1152">
        <f t="shared" ref="V49:V55" si="3">N49+Q49+T49</f>
        <v>1</v>
      </c>
      <c r="W49" s="136"/>
      <c r="X49" s="97"/>
    </row>
    <row r="50" spans="2:24" ht="12.75" customHeight="1">
      <c r="B50" s="92"/>
      <c r="C50" s="141"/>
      <c r="D50" s="1104"/>
      <c r="E50" s="147"/>
      <c r="F50" s="1104"/>
      <c r="G50" s="147"/>
      <c r="H50" s="1153"/>
      <c r="I50" s="147"/>
      <c r="J50" s="1104"/>
      <c r="K50" s="567"/>
      <c r="L50" s="567"/>
      <c r="M50" s="568"/>
      <c r="N50" s="1150">
        <f>(((IF(K50="",0,VLOOKUP(K50,tab!$A$119:$V$159,L50+3,FALSE)))*M50)*12)*(1+tab!$D$108)</f>
        <v>0</v>
      </c>
      <c r="O50" s="147"/>
      <c r="P50" s="1104"/>
      <c r="Q50" s="1151">
        <v>0</v>
      </c>
      <c r="R50" s="147"/>
      <c r="S50" s="1107"/>
      <c r="T50" s="1151">
        <v>0</v>
      </c>
      <c r="U50" s="147"/>
      <c r="V50" s="1152">
        <f t="shared" si="3"/>
        <v>0</v>
      </c>
      <c r="W50" s="147"/>
      <c r="X50" s="97"/>
    </row>
    <row r="51" spans="2:24" ht="12.75" customHeight="1">
      <c r="B51" s="92"/>
      <c r="C51" s="141"/>
      <c r="D51" s="1104"/>
      <c r="E51" s="147"/>
      <c r="F51" s="1104"/>
      <c r="G51" s="147"/>
      <c r="H51" s="1153"/>
      <c r="I51" s="147"/>
      <c r="J51" s="1104"/>
      <c r="K51" s="567"/>
      <c r="L51" s="567"/>
      <c r="M51" s="568"/>
      <c r="N51" s="1150">
        <f>(((IF(K51="",0,VLOOKUP(K51,tab!$A$119:$V$159,L51+3,FALSE)))*M51)*12)*(1+tab!$D$108)</f>
        <v>0</v>
      </c>
      <c r="O51" s="147"/>
      <c r="P51" s="1104"/>
      <c r="Q51" s="1151">
        <v>0</v>
      </c>
      <c r="R51" s="147"/>
      <c r="S51" s="1107"/>
      <c r="T51" s="1151">
        <v>0</v>
      </c>
      <c r="U51" s="147"/>
      <c r="V51" s="1152">
        <f t="shared" si="3"/>
        <v>0</v>
      </c>
      <c r="W51" s="147"/>
      <c r="X51" s="97"/>
    </row>
    <row r="52" spans="2:24" ht="12.75" customHeight="1">
      <c r="B52" s="92"/>
      <c r="C52" s="141"/>
      <c r="D52" s="1104"/>
      <c r="E52" s="147"/>
      <c r="F52" s="1104"/>
      <c r="G52" s="147"/>
      <c r="H52" s="1153"/>
      <c r="I52" s="147"/>
      <c r="J52" s="1104"/>
      <c r="K52" s="567"/>
      <c r="L52" s="567"/>
      <c r="M52" s="568"/>
      <c r="N52" s="1150">
        <f>(((IF(K52="",0,VLOOKUP(K52,tab!$A$119:$V$159,L52+3,FALSE)))*M52)*12)*(1+tab!$D$108)</f>
        <v>0</v>
      </c>
      <c r="O52" s="147"/>
      <c r="P52" s="1104"/>
      <c r="Q52" s="1151">
        <v>0</v>
      </c>
      <c r="R52" s="147"/>
      <c r="S52" s="1107"/>
      <c r="T52" s="1151">
        <v>0</v>
      </c>
      <c r="U52" s="147"/>
      <c r="V52" s="1152">
        <f t="shared" si="3"/>
        <v>0</v>
      </c>
      <c r="W52" s="147"/>
      <c r="X52" s="97"/>
    </row>
    <row r="53" spans="2:24" ht="12.75" customHeight="1">
      <c r="B53" s="92"/>
      <c r="C53" s="141"/>
      <c r="D53" s="1104"/>
      <c r="E53" s="147"/>
      <c r="F53" s="1104"/>
      <c r="G53" s="147"/>
      <c r="H53" s="1153"/>
      <c r="I53" s="147"/>
      <c r="J53" s="1104"/>
      <c r="K53" s="567"/>
      <c r="L53" s="567"/>
      <c r="M53" s="568"/>
      <c r="N53" s="1150">
        <f>(((IF(K53="",0,VLOOKUP(K53,tab!$A$119:$V$159,L53+3,FALSE)))*M53)*12)*(1+tab!$D$108)</f>
        <v>0</v>
      </c>
      <c r="O53" s="147"/>
      <c r="P53" s="1104"/>
      <c r="Q53" s="1151">
        <v>0</v>
      </c>
      <c r="R53" s="147"/>
      <c r="S53" s="1107"/>
      <c r="T53" s="1151">
        <v>0</v>
      </c>
      <c r="U53" s="147"/>
      <c r="V53" s="1152">
        <f t="shared" si="3"/>
        <v>0</v>
      </c>
      <c r="W53" s="147"/>
      <c r="X53" s="97"/>
    </row>
    <row r="54" spans="2:24" ht="12.75" customHeight="1">
      <c r="B54" s="92"/>
      <c r="C54" s="141"/>
      <c r="D54" s="1104"/>
      <c r="E54" s="147"/>
      <c r="F54" s="1104"/>
      <c r="G54" s="147"/>
      <c r="H54" s="1153"/>
      <c r="I54" s="147"/>
      <c r="J54" s="1104"/>
      <c r="K54" s="567"/>
      <c r="L54" s="567"/>
      <c r="M54" s="568"/>
      <c r="N54" s="1150">
        <f>(((IF(K54="",0,VLOOKUP(K54,tab!$A$119:$V$159,L54+3,FALSE)))*M54)*12)*(1+tab!$D$108)</f>
        <v>0</v>
      </c>
      <c r="O54" s="147"/>
      <c r="P54" s="1104"/>
      <c r="Q54" s="1151">
        <v>0</v>
      </c>
      <c r="R54" s="147"/>
      <c r="S54" s="1107"/>
      <c r="T54" s="1151">
        <v>0</v>
      </c>
      <c r="U54" s="147"/>
      <c r="V54" s="1152">
        <f t="shared" si="3"/>
        <v>0</v>
      </c>
      <c r="W54" s="147"/>
      <c r="X54" s="97"/>
    </row>
    <row r="55" spans="2:24">
      <c r="B55" s="92"/>
      <c r="C55" s="1108"/>
      <c r="D55" s="1108"/>
      <c r="E55" s="1111"/>
      <c r="F55" s="1111"/>
      <c r="G55" s="1111"/>
      <c r="H55" s="1111"/>
      <c r="I55" s="1111"/>
      <c r="J55" s="1109"/>
      <c r="K55" s="1109"/>
      <c r="L55" s="1109"/>
      <c r="M55" s="1109"/>
      <c r="N55" s="1154">
        <f>SUM(N49:N54)</f>
        <v>0</v>
      </c>
      <c r="O55" s="1111"/>
      <c r="P55" s="1109"/>
      <c r="Q55" s="1110">
        <f>SUM(Q49:Q54)</f>
        <v>0</v>
      </c>
      <c r="R55" s="1108"/>
      <c r="S55" s="1111"/>
      <c r="T55" s="1110">
        <f>SUM(T49:T54)</f>
        <v>1</v>
      </c>
      <c r="U55" s="1108"/>
      <c r="V55" s="1155">
        <f t="shared" si="3"/>
        <v>1</v>
      </c>
      <c r="W55" s="1111"/>
      <c r="X55" s="97"/>
    </row>
    <row r="56" spans="2:24">
      <c r="B56" s="92"/>
      <c r="E56" s="252"/>
      <c r="F56" s="252"/>
      <c r="G56" s="252"/>
      <c r="H56" s="252"/>
      <c r="I56" s="252"/>
      <c r="J56" s="252"/>
      <c r="K56" s="252"/>
      <c r="L56" s="252"/>
      <c r="M56" s="252"/>
      <c r="N56" s="1156"/>
      <c r="O56" s="252"/>
      <c r="P56" s="252"/>
      <c r="Q56" s="1157"/>
      <c r="R56" s="252"/>
      <c r="S56" s="252"/>
      <c r="T56" s="252"/>
      <c r="U56" s="252"/>
      <c r="V56" s="252"/>
      <c r="W56" s="252"/>
      <c r="X56" s="97"/>
    </row>
    <row r="57" spans="2:24">
      <c r="B57" s="92"/>
      <c r="C57" s="93"/>
      <c r="D57" s="258"/>
      <c r="E57" s="93"/>
      <c r="F57" s="1112"/>
      <c r="G57" s="93"/>
      <c r="H57" s="93"/>
      <c r="I57" s="93"/>
      <c r="J57" s="1112"/>
      <c r="K57" s="1112"/>
      <c r="L57" s="1112"/>
      <c r="M57" s="1112"/>
      <c r="N57" s="1160"/>
      <c r="O57" s="93"/>
      <c r="P57" s="1112"/>
      <c r="Q57" s="1161"/>
      <c r="R57" s="93"/>
      <c r="S57" s="1112"/>
      <c r="T57" s="1112"/>
      <c r="U57" s="93"/>
      <c r="V57" s="1112"/>
      <c r="W57" s="93"/>
      <c r="X57" s="97"/>
    </row>
    <row r="58" spans="2:24">
      <c r="B58" s="92"/>
      <c r="C58" s="93"/>
      <c r="D58" s="258"/>
      <c r="E58" s="93"/>
      <c r="F58" s="1112"/>
      <c r="G58" s="93"/>
      <c r="H58" s="93"/>
      <c r="I58" s="93"/>
      <c r="J58" s="1112"/>
      <c r="K58" s="1112"/>
      <c r="L58" s="1112"/>
      <c r="M58" s="1112"/>
      <c r="N58" s="1160"/>
      <c r="O58" s="93"/>
      <c r="P58" s="1112"/>
      <c r="Q58" s="1161"/>
      <c r="R58" s="93"/>
      <c r="S58" s="1112"/>
      <c r="T58" s="1112"/>
      <c r="U58" s="93"/>
      <c r="V58" s="1112"/>
      <c r="W58" s="93"/>
      <c r="X58" s="97"/>
    </row>
    <row r="59" spans="2:24">
      <c r="B59" s="92"/>
      <c r="C59" s="93"/>
      <c r="D59" s="258"/>
      <c r="E59" s="93"/>
      <c r="F59" s="1112"/>
      <c r="G59" s="93"/>
      <c r="H59" s="93"/>
      <c r="I59" s="93"/>
      <c r="J59" s="1112"/>
      <c r="K59" s="1112"/>
      <c r="L59" s="1112"/>
      <c r="M59" s="1112"/>
      <c r="N59" s="1160"/>
      <c r="O59" s="93"/>
      <c r="P59" s="1112"/>
      <c r="Q59" s="1161"/>
      <c r="R59" s="93"/>
      <c r="S59" s="1112"/>
      <c r="T59" s="1112"/>
      <c r="U59" s="93"/>
      <c r="V59" s="1112"/>
      <c r="W59" s="93"/>
      <c r="X59" s="97"/>
    </row>
    <row r="60" spans="2:24">
      <c r="B60" s="92"/>
      <c r="C60" s="93"/>
      <c r="D60" s="258"/>
      <c r="E60" s="93"/>
      <c r="F60" s="1112"/>
      <c r="G60" s="93"/>
      <c r="H60" s="93"/>
      <c r="I60" s="93"/>
      <c r="J60" s="1112"/>
      <c r="K60" s="1112"/>
      <c r="L60" s="1112"/>
      <c r="M60" s="1112"/>
      <c r="N60" s="1160"/>
      <c r="O60" s="93"/>
      <c r="P60" s="1112"/>
      <c r="Q60" s="1161"/>
      <c r="R60" s="93"/>
      <c r="S60" s="1112"/>
      <c r="T60" s="1112"/>
      <c r="U60" s="93"/>
      <c r="V60" s="1112"/>
      <c r="W60" s="93"/>
      <c r="X60" s="97"/>
    </row>
    <row r="61" spans="2:24">
      <c r="B61" s="92"/>
      <c r="C61" s="93"/>
      <c r="D61" s="258"/>
      <c r="E61" s="93"/>
      <c r="F61" s="1112"/>
      <c r="G61" s="93"/>
      <c r="H61" s="93"/>
      <c r="I61" s="93"/>
      <c r="J61" s="1112"/>
      <c r="K61" s="1112"/>
      <c r="L61" s="1112"/>
      <c r="M61" s="1112"/>
      <c r="N61" s="1160"/>
      <c r="O61" s="93"/>
      <c r="P61" s="1112"/>
      <c r="Q61" s="1161"/>
      <c r="R61" s="93"/>
      <c r="S61" s="1112"/>
      <c r="T61" s="1112"/>
      <c r="U61" s="93"/>
      <c r="V61" s="1112"/>
      <c r="W61" s="93"/>
      <c r="X61" s="97"/>
    </row>
    <row r="62" spans="2:24">
      <c r="B62" s="92"/>
      <c r="C62" s="93"/>
      <c r="D62" s="258"/>
      <c r="E62" s="93"/>
      <c r="F62" s="1112"/>
      <c r="G62" s="93"/>
      <c r="H62" s="93"/>
      <c r="I62" s="93"/>
      <c r="J62" s="1112"/>
      <c r="K62" s="1112"/>
      <c r="L62" s="1112"/>
      <c r="M62" s="1112"/>
      <c r="N62" s="1160"/>
      <c r="O62" s="93"/>
      <c r="P62" s="1112"/>
      <c r="Q62" s="1161"/>
      <c r="R62" s="93"/>
      <c r="S62" s="1112"/>
      <c r="T62" s="1112"/>
      <c r="U62" s="93"/>
      <c r="V62" s="1112"/>
      <c r="W62" s="93"/>
      <c r="X62" s="97"/>
    </row>
    <row r="63" spans="2:24">
      <c r="B63" s="92"/>
      <c r="C63" s="93"/>
      <c r="D63" s="258"/>
      <c r="E63" s="93"/>
      <c r="F63" s="1112"/>
      <c r="G63" s="93"/>
      <c r="H63" s="93"/>
      <c r="I63" s="93"/>
      <c r="J63" s="1112"/>
      <c r="K63" s="1112"/>
      <c r="L63" s="1112"/>
      <c r="M63" s="1112"/>
      <c r="N63" s="1160"/>
      <c r="O63" s="93"/>
      <c r="P63" s="1112"/>
      <c r="Q63" s="1161"/>
      <c r="R63" s="93"/>
      <c r="S63" s="1112"/>
      <c r="T63" s="1112"/>
      <c r="U63" s="93"/>
      <c r="V63" s="1112"/>
      <c r="W63" s="93"/>
      <c r="X63" s="97"/>
    </row>
    <row r="64" spans="2:24">
      <c r="B64" s="92"/>
      <c r="C64" s="93"/>
      <c r="D64" s="258"/>
      <c r="E64" s="93"/>
      <c r="F64" s="1112"/>
      <c r="G64" s="93"/>
      <c r="H64" s="93"/>
      <c r="I64" s="93"/>
      <c r="J64" s="1112"/>
      <c r="K64" s="1112"/>
      <c r="L64" s="1112"/>
      <c r="M64" s="1112"/>
      <c r="N64" s="1160"/>
      <c r="O64" s="93"/>
      <c r="P64" s="1112"/>
      <c r="Q64" s="1161"/>
      <c r="R64" s="93"/>
      <c r="S64" s="1112"/>
      <c r="T64" s="1112"/>
      <c r="U64" s="93"/>
      <c r="V64" s="1112"/>
      <c r="W64" s="93"/>
      <c r="X64" s="97"/>
    </row>
    <row r="65" spans="2:24">
      <c r="B65" s="92"/>
      <c r="C65" s="93"/>
      <c r="D65" s="258"/>
      <c r="E65" s="93"/>
      <c r="F65" s="1112"/>
      <c r="G65" s="93"/>
      <c r="H65" s="93"/>
      <c r="I65" s="93"/>
      <c r="J65" s="1112"/>
      <c r="K65" s="1112"/>
      <c r="L65" s="1112"/>
      <c r="M65" s="1112"/>
      <c r="N65" s="1160"/>
      <c r="O65" s="93"/>
      <c r="P65" s="1112"/>
      <c r="Q65" s="1161"/>
      <c r="R65" s="93"/>
      <c r="S65" s="1112"/>
      <c r="T65" s="1112"/>
      <c r="U65" s="93"/>
      <c r="V65" s="1112"/>
      <c r="W65" s="93"/>
      <c r="X65" s="97"/>
    </row>
    <row r="66" spans="2:24">
      <c r="B66" s="92"/>
      <c r="C66" s="93"/>
      <c r="D66" s="258"/>
      <c r="E66" s="93"/>
      <c r="F66" s="1112"/>
      <c r="G66" s="93"/>
      <c r="H66" s="93"/>
      <c r="I66" s="93"/>
      <c r="J66" s="1112"/>
      <c r="K66" s="1112"/>
      <c r="L66" s="1112"/>
      <c r="M66" s="1112"/>
      <c r="N66" s="1160"/>
      <c r="O66" s="93"/>
      <c r="P66" s="1112"/>
      <c r="Q66" s="1161"/>
      <c r="R66" s="93"/>
      <c r="S66" s="1112"/>
      <c r="T66" s="1112"/>
      <c r="U66" s="93"/>
      <c r="V66" s="1112"/>
      <c r="W66" s="93"/>
      <c r="X66" s="97"/>
    </row>
    <row r="67" spans="2:24">
      <c r="B67" s="92"/>
      <c r="C67" s="93"/>
      <c r="D67" s="258"/>
      <c r="E67" s="93"/>
      <c r="F67" s="1112"/>
      <c r="G67" s="93"/>
      <c r="H67" s="93"/>
      <c r="I67" s="93"/>
      <c r="J67" s="1112"/>
      <c r="K67" s="1112"/>
      <c r="L67" s="1112"/>
      <c r="M67" s="1112"/>
      <c r="N67" s="1160"/>
      <c r="O67" s="93"/>
      <c r="P67" s="1112"/>
      <c r="Q67" s="1161"/>
      <c r="R67" s="93"/>
      <c r="S67" s="1112"/>
      <c r="T67" s="1112"/>
      <c r="U67" s="93"/>
      <c r="V67" s="1112"/>
      <c r="W67" s="93"/>
      <c r="X67" s="97"/>
    </row>
    <row r="68" spans="2:24">
      <c r="B68" s="92"/>
      <c r="C68" s="93"/>
      <c r="D68" s="258"/>
      <c r="E68" s="93"/>
      <c r="F68" s="1112"/>
      <c r="G68" s="93"/>
      <c r="H68" s="93"/>
      <c r="I68" s="93"/>
      <c r="J68" s="1112"/>
      <c r="K68" s="1112"/>
      <c r="L68" s="1112"/>
      <c r="M68" s="1112"/>
      <c r="N68" s="1160"/>
      <c r="O68" s="93"/>
      <c r="P68" s="1112"/>
      <c r="Q68" s="1161"/>
      <c r="R68" s="93"/>
      <c r="S68" s="1112"/>
      <c r="T68" s="1112"/>
      <c r="U68" s="93"/>
      <c r="V68" s="1112"/>
      <c r="W68" s="93"/>
      <c r="X68" s="97"/>
    </row>
    <row r="69" spans="2:24">
      <c r="B69" s="92"/>
      <c r="C69" s="93"/>
      <c r="D69" s="258"/>
      <c r="E69" s="93"/>
      <c r="F69" s="1112"/>
      <c r="G69" s="93"/>
      <c r="H69" s="93"/>
      <c r="I69" s="93"/>
      <c r="J69" s="1112"/>
      <c r="K69" s="1112"/>
      <c r="L69" s="1112"/>
      <c r="M69" s="1112"/>
      <c r="N69" s="1160"/>
      <c r="O69" s="93"/>
      <c r="P69" s="1112"/>
      <c r="Q69" s="1161"/>
      <c r="R69" s="93"/>
      <c r="S69" s="1112"/>
      <c r="T69" s="1112"/>
      <c r="U69" s="93"/>
      <c r="V69" s="1112"/>
      <c r="W69" s="93"/>
      <c r="X69" s="97"/>
    </row>
    <row r="70" spans="2:24">
      <c r="B70" s="92"/>
      <c r="C70" s="93"/>
      <c r="D70" s="258"/>
      <c r="E70" s="93"/>
      <c r="F70" s="1112"/>
      <c r="G70" s="93"/>
      <c r="H70" s="93"/>
      <c r="I70" s="93"/>
      <c r="J70" s="1112"/>
      <c r="K70" s="1112"/>
      <c r="L70" s="1112"/>
      <c r="M70" s="1112"/>
      <c r="N70" s="1160"/>
      <c r="O70" s="93"/>
      <c r="P70" s="1112"/>
      <c r="Q70" s="1161"/>
      <c r="R70" s="93"/>
      <c r="S70" s="1112"/>
      <c r="T70" s="1112"/>
      <c r="U70" s="93"/>
      <c r="V70" s="1112"/>
      <c r="W70" s="93"/>
      <c r="X70" s="97"/>
    </row>
    <row r="71" spans="2:24">
      <c r="B71" s="92"/>
      <c r="C71" s="93"/>
      <c r="D71" s="258"/>
      <c r="E71" s="93"/>
      <c r="F71" s="1112"/>
      <c r="G71" s="93"/>
      <c r="H71" s="93"/>
      <c r="I71" s="93"/>
      <c r="J71" s="1112"/>
      <c r="K71" s="1112"/>
      <c r="L71" s="1112"/>
      <c r="M71" s="1112"/>
      <c r="N71" s="1160"/>
      <c r="O71" s="93"/>
      <c r="P71" s="1112"/>
      <c r="Q71" s="1161"/>
      <c r="R71" s="93"/>
      <c r="S71" s="1112"/>
      <c r="T71" s="1112"/>
      <c r="U71" s="93"/>
      <c r="V71" s="1112"/>
      <c r="W71" s="93"/>
      <c r="X71" s="97"/>
    </row>
    <row r="72" spans="2:24" ht="15">
      <c r="B72" s="113"/>
      <c r="C72" s="114"/>
      <c r="D72" s="281"/>
      <c r="E72" s="119"/>
      <c r="F72" s="266"/>
      <c r="G72" s="119"/>
      <c r="H72" s="119"/>
      <c r="I72" s="119"/>
      <c r="J72" s="266"/>
      <c r="K72" s="266"/>
      <c r="L72" s="266"/>
      <c r="M72" s="266"/>
      <c r="N72" s="1162"/>
      <c r="O72" s="119"/>
      <c r="P72" s="266"/>
      <c r="Q72" s="1163"/>
      <c r="R72" s="119"/>
      <c r="S72" s="266"/>
      <c r="T72" s="266"/>
      <c r="U72" s="119"/>
      <c r="V72" s="266"/>
      <c r="W72" s="119" t="s">
        <v>555</v>
      </c>
      <c r="X72" s="120"/>
    </row>
    <row r="73" spans="2:24">
      <c r="D73" s="251"/>
      <c r="F73" s="255"/>
      <c r="J73" s="255"/>
      <c r="K73" s="255"/>
      <c r="L73" s="255"/>
      <c r="M73" s="255"/>
      <c r="N73" s="1164"/>
      <c r="P73" s="255"/>
      <c r="Q73" s="1165"/>
      <c r="S73" s="255"/>
      <c r="T73" s="255"/>
      <c r="V73" s="255"/>
    </row>
    <row r="74" spans="2:24">
      <c r="J74" s="354"/>
      <c r="K74" s="354"/>
      <c r="L74" s="354"/>
      <c r="M74" s="354"/>
      <c r="P74" s="354"/>
    </row>
    <row r="75" spans="2:24">
      <c r="J75" s="354"/>
      <c r="K75" s="354"/>
      <c r="L75" s="354"/>
      <c r="M75" s="354"/>
      <c r="P75" s="354"/>
    </row>
    <row r="76" spans="2:24">
      <c r="J76" s="354"/>
      <c r="K76" s="354"/>
      <c r="L76" s="354"/>
      <c r="M76" s="354"/>
      <c r="P76" s="354"/>
    </row>
    <row r="77" spans="2:24">
      <c r="J77" s="354"/>
      <c r="K77" s="354"/>
      <c r="L77" s="354"/>
      <c r="M77" s="354"/>
      <c r="P77" s="354"/>
    </row>
    <row r="78" spans="2:24">
      <c r="D78" s="1166" t="s">
        <v>332</v>
      </c>
      <c r="J78" s="354"/>
      <c r="K78" s="354"/>
      <c r="L78" s="354"/>
      <c r="M78" s="354"/>
      <c r="P78" s="354"/>
    </row>
    <row r="79" spans="2:24">
      <c r="D79" s="1166" t="s">
        <v>333</v>
      </c>
      <c r="J79" s="354"/>
      <c r="K79" s="354"/>
      <c r="L79" s="354"/>
      <c r="M79" s="354"/>
      <c r="P79" s="354"/>
    </row>
    <row r="80" spans="2:24">
      <c r="D80" s="1166" t="s">
        <v>334</v>
      </c>
      <c r="J80" s="354"/>
      <c r="K80" s="354"/>
      <c r="L80" s="354"/>
      <c r="M80" s="354"/>
      <c r="P80" s="354"/>
    </row>
    <row r="81" spans="4:16">
      <c r="D81" s="1166" t="s">
        <v>335</v>
      </c>
      <c r="J81" s="354"/>
      <c r="K81" s="354"/>
      <c r="L81" s="354"/>
      <c r="M81" s="354"/>
      <c r="P81" s="354"/>
    </row>
    <row r="82" spans="4:16">
      <c r="D82" s="1166" t="s">
        <v>336</v>
      </c>
      <c r="J82" s="354"/>
      <c r="K82" s="354"/>
      <c r="L82" s="354"/>
      <c r="M82" s="354"/>
      <c r="P82" s="354"/>
    </row>
    <row r="83" spans="4:16">
      <c r="D83" s="1166" t="s">
        <v>337</v>
      </c>
      <c r="J83" s="354"/>
      <c r="K83" s="354"/>
      <c r="L83" s="354"/>
      <c r="M83" s="354"/>
      <c r="P83" s="354"/>
    </row>
    <row r="84" spans="4:16">
      <c r="D84" s="1166" t="s">
        <v>338</v>
      </c>
      <c r="J84" s="354"/>
      <c r="K84" s="354"/>
      <c r="L84" s="354"/>
      <c r="M84" s="354"/>
      <c r="P84" s="354"/>
    </row>
    <row r="85" spans="4:16">
      <c r="D85" s="1166" t="s">
        <v>339</v>
      </c>
      <c r="J85" s="354"/>
      <c r="K85" s="354"/>
      <c r="L85" s="354"/>
      <c r="M85" s="354"/>
      <c r="P85" s="354"/>
    </row>
    <row r="86" spans="4:16">
      <c r="D86" s="1166" t="s">
        <v>320</v>
      </c>
      <c r="J86" s="354"/>
      <c r="K86" s="354"/>
      <c r="L86" s="354"/>
      <c r="M86" s="354"/>
      <c r="P86" s="354"/>
    </row>
    <row r="87" spans="4:16">
      <c r="D87" s="1166" t="s">
        <v>340</v>
      </c>
      <c r="J87" s="354"/>
      <c r="K87" s="354"/>
      <c r="L87" s="354"/>
      <c r="M87" s="354"/>
      <c r="P87" s="354"/>
    </row>
    <row r="88" spans="4:16">
      <c r="D88" s="1166" t="s">
        <v>341</v>
      </c>
      <c r="J88" s="354"/>
      <c r="K88" s="354"/>
      <c r="L88" s="354"/>
      <c r="M88" s="354"/>
      <c r="P88" s="354"/>
    </row>
    <row r="89" spans="4:16">
      <c r="D89" s="1166" t="s">
        <v>342</v>
      </c>
      <c r="J89" s="354"/>
      <c r="K89" s="354"/>
      <c r="L89" s="354"/>
      <c r="M89" s="354"/>
      <c r="P89" s="354"/>
    </row>
    <row r="90" spans="4:16">
      <c r="D90" s="200" t="s">
        <v>343</v>
      </c>
      <c r="J90" s="354"/>
      <c r="K90" s="354"/>
      <c r="L90" s="354"/>
      <c r="M90" s="354"/>
      <c r="P90" s="354"/>
    </row>
    <row r="91" spans="4:16">
      <c r="D91" s="200" t="s">
        <v>344</v>
      </c>
      <c r="J91" s="354"/>
      <c r="K91" s="354"/>
      <c r="L91" s="354"/>
      <c r="M91" s="354"/>
      <c r="P91" s="354"/>
    </row>
    <row r="92" spans="4:16">
      <c r="D92" s="200" t="s">
        <v>345</v>
      </c>
      <c r="J92" s="354"/>
      <c r="K92" s="354"/>
      <c r="L92" s="354"/>
      <c r="M92" s="354"/>
      <c r="P92" s="354"/>
    </row>
    <row r="93" spans="4:16">
      <c r="D93" s="1166" t="s">
        <v>346</v>
      </c>
      <c r="J93" s="354"/>
      <c r="K93" s="354"/>
      <c r="L93" s="354"/>
      <c r="M93" s="354"/>
      <c r="P93" s="354"/>
    </row>
    <row r="94" spans="4:16">
      <c r="D94" s="1166" t="s">
        <v>322</v>
      </c>
      <c r="J94" s="354"/>
      <c r="K94" s="354"/>
      <c r="L94" s="354"/>
      <c r="M94" s="354"/>
      <c r="P94" s="354"/>
    </row>
    <row r="95" spans="4:16">
      <c r="D95" s="1166" t="s">
        <v>347</v>
      </c>
      <c r="J95" s="354"/>
      <c r="K95" s="354"/>
      <c r="L95" s="354"/>
      <c r="M95" s="354"/>
      <c r="P95" s="354"/>
    </row>
    <row r="96" spans="4:16">
      <c r="D96" s="1166" t="s">
        <v>348</v>
      </c>
      <c r="J96" s="354"/>
      <c r="K96" s="354"/>
      <c r="L96" s="354"/>
      <c r="M96" s="354"/>
      <c r="P96" s="354"/>
    </row>
    <row r="97" spans="4:16">
      <c r="D97" s="1166" t="s">
        <v>349</v>
      </c>
      <c r="J97" s="354"/>
      <c r="K97" s="354"/>
      <c r="L97" s="354"/>
      <c r="M97" s="354"/>
      <c r="P97" s="354"/>
    </row>
    <row r="98" spans="4:16">
      <c r="D98" s="200" t="s">
        <v>350</v>
      </c>
      <c r="J98" s="354"/>
      <c r="K98" s="354"/>
      <c r="L98" s="354"/>
      <c r="M98" s="354"/>
      <c r="P98" s="354"/>
    </row>
    <row r="99" spans="4:16">
      <c r="D99" s="200" t="s">
        <v>351</v>
      </c>
      <c r="J99" s="354"/>
      <c r="K99" s="354"/>
      <c r="L99" s="354"/>
      <c r="M99" s="354"/>
      <c r="P99" s="354"/>
    </row>
    <row r="100" spans="4:16">
      <c r="D100" s="287" t="s">
        <v>352</v>
      </c>
      <c r="J100" s="354"/>
      <c r="K100" s="354"/>
      <c r="L100" s="354"/>
      <c r="M100" s="354"/>
      <c r="P100" s="354"/>
    </row>
    <row r="101" spans="4:16">
      <c r="D101" s="287" t="s">
        <v>353</v>
      </c>
      <c r="J101" s="354"/>
      <c r="K101" s="354"/>
      <c r="L101" s="354"/>
      <c r="M101" s="354"/>
      <c r="P101" s="354"/>
    </row>
    <row r="102" spans="4:16">
      <c r="D102" s="287" t="s">
        <v>354</v>
      </c>
      <c r="J102" s="354"/>
      <c r="K102" s="354"/>
      <c r="L102" s="354"/>
      <c r="M102" s="354"/>
      <c r="P102" s="354"/>
    </row>
    <row r="103" spans="4:16">
      <c r="D103" s="287" t="s">
        <v>862</v>
      </c>
      <c r="J103" s="354"/>
      <c r="K103" s="354"/>
      <c r="L103" s="354"/>
      <c r="M103" s="354"/>
      <c r="P103" s="354"/>
    </row>
    <row r="104" spans="4:16">
      <c r="D104" s="287" t="s">
        <v>355</v>
      </c>
      <c r="J104" s="354"/>
      <c r="K104" s="354"/>
      <c r="L104" s="354"/>
      <c r="M104" s="354"/>
      <c r="P104" s="354"/>
    </row>
    <row r="105" spans="4:16">
      <c r="D105" s="200">
        <v>1</v>
      </c>
      <c r="J105" s="354"/>
      <c r="K105" s="354"/>
      <c r="L105" s="354"/>
      <c r="M105" s="354"/>
      <c r="P105" s="354"/>
    </row>
    <row r="106" spans="4:16">
      <c r="D106" s="200">
        <v>2</v>
      </c>
      <c r="J106" s="354"/>
      <c r="K106" s="354"/>
      <c r="L106" s="354"/>
      <c r="M106" s="354"/>
      <c r="P106" s="354"/>
    </row>
    <row r="107" spans="4:16">
      <c r="D107" s="200">
        <v>3</v>
      </c>
      <c r="J107" s="354"/>
      <c r="K107" s="354"/>
      <c r="L107" s="354"/>
      <c r="M107" s="354"/>
      <c r="P107" s="354"/>
    </row>
    <row r="108" spans="4:16">
      <c r="D108" s="200">
        <v>4</v>
      </c>
      <c r="J108" s="354"/>
      <c r="K108" s="354"/>
      <c r="L108" s="354"/>
      <c r="M108" s="354"/>
      <c r="P108" s="354"/>
    </row>
    <row r="109" spans="4:16">
      <c r="D109" s="200">
        <v>5</v>
      </c>
      <c r="J109" s="354"/>
      <c r="K109" s="354"/>
      <c r="L109" s="354"/>
      <c r="M109" s="354"/>
      <c r="P109" s="354"/>
    </row>
    <row r="110" spans="4:16">
      <c r="D110" s="200">
        <v>6</v>
      </c>
      <c r="J110" s="354"/>
      <c r="K110" s="354"/>
      <c r="L110" s="354"/>
      <c r="M110" s="354"/>
      <c r="P110" s="354"/>
    </row>
    <row r="111" spans="4:16">
      <c r="D111" s="200">
        <v>7</v>
      </c>
      <c r="J111" s="354"/>
      <c r="K111" s="354"/>
      <c r="L111" s="354"/>
      <c r="M111" s="354"/>
      <c r="P111" s="354"/>
    </row>
    <row r="112" spans="4:16">
      <c r="D112" s="200">
        <v>8</v>
      </c>
      <c r="J112" s="354"/>
      <c r="K112" s="354"/>
      <c r="L112" s="354"/>
      <c r="M112" s="354"/>
      <c r="P112" s="354"/>
    </row>
    <row r="113" spans="4:16">
      <c r="D113" s="200">
        <v>9</v>
      </c>
      <c r="J113" s="354"/>
      <c r="K113" s="354"/>
      <c r="L113" s="354"/>
      <c r="M113" s="354"/>
      <c r="P113" s="354"/>
    </row>
    <row r="114" spans="4:16">
      <c r="D114" s="200">
        <v>10</v>
      </c>
      <c r="J114" s="354"/>
      <c r="K114" s="354"/>
      <c r="L114" s="354"/>
      <c r="M114" s="354"/>
      <c r="P114" s="354"/>
    </row>
    <row r="115" spans="4:16">
      <c r="D115" s="200">
        <v>11</v>
      </c>
      <c r="J115" s="354"/>
      <c r="K115" s="354"/>
      <c r="L115" s="354"/>
      <c r="M115" s="354"/>
      <c r="P115" s="354"/>
    </row>
    <row r="116" spans="4:16">
      <c r="D116" s="200">
        <v>12</v>
      </c>
      <c r="J116" s="354"/>
      <c r="K116" s="354"/>
      <c r="L116" s="354"/>
      <c r="M116" s="354"/>
      <c r="P116" s="354"/>
    </row>
    <row r="117" spans="4:16">
      <c r="D117" s="200">
        <v>13</v>
      </c>
      <c r="J117" s="354"/>
      <c r="K117" s="354"/>
      <c r="L117" s="354"/>
      <c r="M117" s="354"/>
      <c r="P117" s="354"/>
    </row>
    <row r="118" spans="4:16">
      <c r="D118" s="200">
        <v>14</v>
      </c>
      <c r="J118" s="354"/>
      <c r="K118" s="354"/>
      <c r="L118" s="354"/>
      <c r="M118" s="354"/>
      <c r="P118" s="354"/>
    </row>
    <row r="119" spans="4:16">
      <c r="J119" s="354"/>
      <c r="K119" s="354"/>
      <c r="L119" s="354"/>
      <c r="M119" s="354"/>
      <c r="P119" s="354"/>
    </row>
    <row r="120" spans="4:16">
      <c r="J120" s="354"/>
      <c r="K120" s="354"/>
      <c r="L120" s="354"/>
      <c r="M120" s="354"/>
      <c r="P120" s="354"/>
    </row>
    <row r="121" spans="4:16">
      <c r="J121" s="354"/>
      <c r="K121" s="354"/>
      <c r="L121" s="354"/>
      <c r="M121" s="354"/>
      <c r="P121" s="354"/>
    </row>
    <row r="122" spans="4:16">
      <c r="J122" s="354"/>
      <c r="K122" s="354"/>
      <c r="L122" s="354"/>
      <c r="M122" s="354"/>
      <c r="P122" s="354"/>
    </row>
    <row r="123" spans="4:16">
      <c r="J123" s="354"/>
      <c r="K123" s="354"/>
      <c r="L123" s="354"/>
      <c r="M123" s="354"/>
      <c r="P123" s="354"/>
    </row>
    <row r="124" spans="4:16">
      <c r="J124" s="354"/>
      <c r="K124" s="354"/>
      <c r="L124" s="354"/>
      <c r="M124" s="354"/>
      <c r="P124" s="354"/>
    </row>
    <row r="125" spans="4:16">
      <c r="J125" s="354"/>
      <c r="K125" s="354"/>
      <c r="L125" s="354"/>
      <c r="M125" s="354"/>
      <c r="P125" s="354"/>
    </row>
  </sheetData>
  <dataValidations count="1">
    <dataValidation type="list" allowBlank="1" showInputMessage="1" showErrorMessage="1" sqref="K25:K30 K37:K42 K13:K18 K49:K54">
      <formula1>$D$78:$D$118</formula1>
    </dataValidation>
  </dataValidations>
  <pageMargins left="0.74803149606299213" right="0.74803149606299213" top="0.98425196850393704" bottom="0.98425196850393704" header="0.51181102362204722" footer="0.51181102362204722"/>
  <pageSetup paperSize="9" scale="50" orientation="landscape" r:id="rId1"/>
  <headerFooter alignWithMargins="0">
    <oddHeader>&amp;L&amp;"Arial,Vet"&amp;F&amp;R&amp;"Arial,Vet"&amp;A</oddHeader>
    <oddFooter>&amp;L&amp;"Arial,Vet"keizer / goedhart&amp;C&amp;"Arial,Vet"&amp;D&amp;R&amp;"Arial,Vet"pagina &amp;P</oddFooter>
  </headerFooter>
  <drawing r:id="rId2"/>
  <legacyDrawing r:id="rId3"/>
</worksheet>
</file>

<file path=xl/worksheets/sheet13.xml><?xml version="1.0" encoding="utf-8"?>
<worksheet xmlns="http://schemas.openxmlformats.org/spreadsheetml/2006/main" xmlns:r="http://schemas.openxmlformats.org/officeDocument/2006/relationships">
  <dimension ref="B1:L107"/>
  <sheetViews>
    <sheetView zoomScale="85" zoomScaleNormal="85" workbookViewId="0">
      <pane ySplit="9" topLeftCell="A26" activePane="bottomLeft" state="frozen"/>
      <selection activeCell="B2" sqref="B2"/>
      <selection pane="bottomLeft" activeCell="B2" sqref="B2"/>
    </sheetView>
  </sheetViews>
  <sheetFormatPr defaultRowHeight="12.75"/>
  <cols>
    <col min="1" max="1" width="3.7109375" style="68" customWidth="1"/>
    <col min="2" max="3" width="2.7109375" style="68" customWidth="1"/>
    <col min="4" max="4" width="45.7109375" style="68" customWidth="1"/>
    <col min="5" max="5" width="2.7109375" style="68" customWidth="1"/>
    <col min="6" max="9" width="16.85546875" style="68" customWidth="1"/>
    <col min="10" max="11" width="2.7109375" style="68" customWidth="1"/>
    <col min="12" max="16384" width="9.140625" style="68"/>
  </cols>
  <sheetData>
    <row r="1" spans="2:12" ht="12.75" customHeight="1"/>
    <row r="2" spans="2:12" ht="12.75" customHeight="1">
      <c r="B2" s="87"/>
      <c r="C2" s="88"/>
      <c r="D2" s="88"/>
      <c r="E2" s="88"/>
      <c r="F2" s="88"/>
      <c r="G2" s="88"/>
      <c r="H2" s="88"/>
      <c r="I2" s="88"/>
      <c r="J2" s="88"/>
      <c r="K2" s="91"/>
    </row>
    <row r="3" spans="2:12" ht="12.75" customHeight="1">
      <c r="B3" s="92"/>
      <c r="C3" s="93"/>
      <c r="D3" s="93"/>
      <c r="E3" s="93"/>
      <c r="F3" s="93"/>
      <c r="G3" s="93"/>
      <c r="H3" s="93"/>
      <c r="I3" s="93"/>
      <c r="J3" s="93"/>
      <c r="K3" s="97"/>
    </row>
    <row r="4" spans="2:12" s="663" customFormat="1" ht="18" customHeight="1">
      <c r="B4" s="790"/>
      <c r="C4" s="168" t="s">
        <v>14</v>
      </c>
      <c r="D4" s="168"/>
      <c r="E4" s="167"/>
      <c r="F4" s="791"/>
      <c r="G4" s="167"/>
      <c r="H4" s="167"/>
      <c r="I4" s="167"/>
      <c r="J4" s="167"/>
      <c r="K4" s="671"/>
    </row>
    <row r="5" spans="2:12" ht="18" customHeight="1">
      <c r="B5" s="731"/>
      <c r="C5" s="105" t="str">
        <f>geg!I12</f>
        <v>De speciale school</v>
      </c>
      <c r="D5" s="735"/>
      <c r="E5" s="93"/>
      <c r="F5" s="261"/>
      <c r="G5" s="93"/>
      <c r="H5" s="93"/>
      <c r="I5" s="93"/>
      <c r="J5" s="93"/>
      <c r="K5" s="97"/>
    </row>
    <row r="6" spans="2:12" ht="12.75" customHeight="1">
      <c r="B6" s="92"/>
      <c r="C6" s="93"/>
      <c r="D6" s="93"/>
      <c r="E6" s="93"/>
      <c r="F6" s="93"/>
      <c r="G6" s="93"/>
      <c r="H6" s="93"/>
      <c r="I6" s="93"/>
      <c r="J6" s="93"/>
      <c r="K6" s="97"/>
    </row>
    <row r="7" spans="2:12" ht="12.75" customHeight="1">
      <c r="B7" s="92"/>
      <c r="C7" s="93"/>
      <c r="D7" s="93"/>
      <c r="E7" s="93"/>
      <c r="F7" s="93"/>
      <c r="G7" s="93"/>
      <c r="H7" s="93"/>
      <c r="I7" s="93"/>
      <c r="J7" s="93"/>
      <c r="K7" s="97"/>
    </row>
    <row r="8" spans="2:12" s="663" customFormat="1" ht="12.75" customHeight="1">
      <c r="B8" s="664"/>
      <c r="C8" s="167"/>
      <c r="D8" s="792"/>
      <c r="E8" s="793"/>
      <c r="F8" s="164">
        <f>tab!E4</f>
        <v>2013</v>
      </c>
      <c r="G8" s="164">
        <f>tab!F4</f>
        <v>2014</v>
      </c>
      <c r="H8" s="164">
        <f>tab!G4</f>
        <v>2015</v>
      </c>
      <c r="I8" s="164">
        <f>tab!H4</f>
        <v>2016</v>
      </c>
      <c r="J8" s="794"/>
      <c r="K8" s="795"/>
      <c r="L8" s="796"/>
    </row>
    <row r="9" spans="2:12" ht="12.75" customHeight="1">
      <c r="B9" s="92"/>
      <c r="C9" s="93"/>
      <c r="D9" s="93"/>
      <c r="E9" s="732"/>
      <c r="F9" s="93"/>
      <c r="G9" s="93"/>
      <c r="H9" s="93"/>
      <c r="I9" s="93"/>
      <c r="J9" s="797"/>
      <c r="K9" s="798"/>
      <c r="L9" s="799"/>
    </row>
    <row r="10" spans="2:12" ht="12.75" customHeight="1">
      <c r="B10" s="92"/>
      <c r="C10" s="124"/>
      <c r="D10" s="127"/>
      <c r="E10" s="800"/>
      <c r="F10" s="127"/>
      <c r="G10" s="127"/>
      <c r="H10" s="127"/>
      <c r="I10" s="127"/>
      <c r="J10" s="801"/>
      <c r="K10" s="798"/>
      <c r="L10" s="799"/>
    </row>
    <row r="11" spans="2:12" ht="12.75" customHeight="1">
      <c r="B11" s="92"/>
      <c r="C11" s="131"/>
      <c r="D11" s="174" t="s">
        <v>744</v>
      </c>
      <c r="E11" s="707"/>
      <c r="F11" s="133"/>
      <c r="G11" s="133"/>
      <c r="H11" s="133"/>
      <c r="I11" s="133"/>
      <c r="J11" s="802"/>
      <c r="K11" s="798"/>
      <c r="L11" s="799"/>
    </row>
    <row r="12" spans="2:12" ht="12.75" customHeight="1">
      <c r="B12" s="92"/>
      <c r="C12" s="131"/>
      <c r="D12" s="133"/>
      <c r="E12" s="707"/>
      <c r="F12" s="133"/>
      <c r="G12" s="133"/>
      <c r="H12" s="133"/>
      <c r="I12" s="133"/>
      <c r="J12" s="802"/>
      <c r="K12" s="798"/>
      <c r="L12" s="799"/>
    </row>
    <row r="13" spans="2:12" ht="12.75" customHeight="1">
      <c r="B13" s="92"/>
      <c r="C13" s="131"/>
      <c r="D13" s="216" t="s">
        <v>745</v>
      </c>
      <c r="E13" s="707"/>
      <c r="F13" s="133"/>
      <c r="G13" s="133"/>
      <c r="H13" s="133"/>
      <c r="I13" s="133"/>
      <c r="J13" s="802"/>
      <c r="K13" s="798"/>
      <c r="L13" s="799"/>
    </row>
    <row r="14" spans="2:12" ht="12.75" customHeight="1">
      <c r="B14" s="92"/>
      <c r="C14" s="131"/>
      <c r="D14" s="155" t="s">
        <v>746</v>
      </c>
      <c r="E14" s="133"/>
      <c r="F14" s="803">
        <f>pers!J243+mat!K143</f>
        <v>3810248.1600000006</v>
      </c>
      <c r="G14" s="803">
        <f>pers!K243+mat!L143</f>
        <v>3810248.1600000006</v>
      </c>
      <c r="H14" s="803">
        <f>pers!L243+mat!M143</f>
        <v>3810248.1600000006</v>
      </c>
      <c r="I14" s="803">
        <f>pers!M243+mat!N143</f>
        <v>3810248.1600000006</v>
      </c>
      <c r="J14" s="136"/>
      <c r="K14" s="97"/>
    </row>
    <row r="15" spans="2:12" ht="12.75" customHeight="1">
      <c r="B15" s="92"/>
      <c r="C15" s="131"/>
      <c r="D15" s="155" t="s">
        <v>747</v>
      </c>
      <c r="E15" s="133"/>
      <c r="F15" s="804">
        <f>pers!J244+mat!K154</f>
        <v>0</v>
      </c>
      <c r="G15" s="804">
        <f>pers!K244+mat!L154</f>
        <v>0</v>
      </c>
      <c r="H15" s="804">
        <f>pers!L244+mat!M154</f>
        <v>0</v>
      </c>
      <c r="I15" s="804">
        <f>pers!M244+mat!N154</f>
        <v>0</v>
      </c>
      <c r="J15" s="136"/>
      <c r="K15" s="97"/>
    </row>
    <row r="16" spans="2:12" ht="12.75" customHeight="1">
      <c r="B16" s="92"/>
      <c r="C16" s="131"/>
      <c r="D16" s="155" t="s">
        <v>748</v>
      </c>
      <c r="E16" s="133"/>
      <c r="F16" s="803">
        <v>0</v>
      </c>
      <c r="G16" s="803">
        <v>0</v>
      </c>
      <c r="H16" s="803">
        <v>0</v>
      </c>
      <c r="I16" s="803">
        <v>0</v>
      </c>
      <c r="J16" s="136"/>
      <c r="K16" s="97"/>
    </row>
    <row r="17" spans="2:11" ht="12.75" customHeight="1">
      <c r="B17" s="92"/>
      <c r="C17" s="131"/>
      <c r="D17" s="155" t="s">
        <v>749</v>
      </c>
      <c r="E17" s="133"/>
      <c r="F17" s="803">
        <f>pers!J245+mat!K160</f>
        <v>0</v>
      </c>
      <c r="G17" s="803">
        <f>pers!K245+mat!L160</f>
        <v>0</v>
      </c>
      <c r="H17" s="803">
        <f>pers!L245+mat!M160</f>
        <v>0</v>
      </c>
      <c r="I17" s="803">
        <f>pers!M245+mat!N160</f>
        <v>0</v>
      </c>
      <c r="J17" s="136"/>
      <c r="K17" s="97"/>
    </row>
    <row r="18" spans="2:11" ht="12.75" customHeight="1">
      <c r="B18" s="92"/>
      <c r="C18" s="131"/>
      <c r="D18" s="155" t="s">
        <v>750</v>
      </c>
      <c r="E18" s="133"/>
      <c r="F18" s="803">
        <f>pers!J248+mat!K168-mat!K160</f>
        <v>0</v>
      </c>
      <c r="G18" s="803">
        <f>pers!K248+mat!L168-mat!L160</f>
        <v>0</v>
      </c>
      <c r="H18" s="803">
        <f>pers!L248+mat!M168-mat!M160</f>
        <v>0</v>
      </c>
      <c r="I18" s="803">
        <f>pers!M248+mat!N168-mat!N160</f>
        <v>0</v>
      </c>
      <c r="J18" s="136"/>
      <c r="K18" s="97"/>
    </row>
    <row r="19" spans="2:11" ht="12.75" customHeight="1">
      <c r="B19" s="92"/>
      <c r="C19" s="131"/>
      <c r="D19" s="319"/>
      <c r="E19" s="138"/>
      <c r="F19" s="805">
        <f>SUM(F14:F18)</f>
        <v>3810248.1600000006</v>
      </c>
      <c r="G19" s="805">
        <f>SUM(G14:G18)</f>
        <v>3810248.1600000006</v>
      </c>
      <c r="H19" s="805">
        <f>SUM(H14:H18)</f>
        <v>3810248.1600000006</v>
      </c>
      <c r="I19" s="805">
        <f>SUM(I14:I18)</f>
        <v>3810248.1600000006</v>
      </c>
      <c r="J19" s="136"/>
      <c r="K19" s="97"/>
    </row>
    <row r="20" spans="2:11" ht="12.75" customHeight="1">
      <c r="B20" s="806"/>
      <c r="C20" s="807"/>
      <c r="D20" s="216" t="s">
        <v>677</v>
      </c>
      <c r="E20" s="138"/>
      <c r="F20" s="808"/>
      <c r="G20" s="808"/>
      <c r="H20" s="808"/>
      <c r="I20" s="808"/>
      <c r="J20" s="136"/>
      <c r="K20" s="97"/>
    </row>
    <row r="21" spans="2:11" ht="12.75" hidden="1" customHeight="1">
      <c r="B21" s="92"/>
      <c r="C21" s="131"/>
      <c r="D21" s="292" t="s">
        <v>61</v>
      </c>
      <c r="E21" s="213"/>
      <c r="F21" s="809">
        <f>pers!J253</f>
        <v>69062.399999999994</v>
      </c>
      <c r="G21" s="809">
        <f>pers!K253</f>
        <v>69062.399999999994</v>
      </c>
      <c r="H21" s="809">
        <f>pers!L253</f>
        <v>69062.399999999994</v>
      </c>
      <c r="I21" s="809">
        <f>pers!M253</f>
        <v>69062.399999999994</v>
      </c>
      <c r="J21" s="136"/>
      <c r="K21" s="97"/>
    </row>
    <row r="22" spans="2:11" ht="12.75" hidden="1" customHeight="1">
      <c r="B22" s="92"/>
      <c r="C22" s="131"/>
      <c r="D22" s="544" t="s">
        <v>596</v>
      </c>
      <c r="E22" s="213"/>
      <c r="F22" s="809">
        <f>pers!J254</f>
        <v>0</v>
      </c>
      <c r="G22" s="809">
        <f>pers!K254</f>
        <v>0</v>
      </c>
      <c r="H22" s="809">
        <f>pers!L254</f>
        <v>0</v>
      </c>
      <c r="I22" s="809">
        <f>pers!M254</f>
        <v>0</v>
      </c>
      <c r="J22" s="136"/>
      <c r="K22" s="97"/>
    </row>
    <row r="23" spans="2:11" ht="12.75" customHeight="1">
      <c r="B23" s="92"/>
      <c r="C23" s="131"/>
      <c r="D23" s="326" t="s">
        <v>751</v>
      </c>
      <c r="E23" s="213"/>
      <c r="F23" s="804">
        <f>F21+F22</f>
        <v>69062.399999999994</v>
      </c>
      <c r="G23" s="804">
        <f>G21+G22</f>
        <v>69062.399999999994</v>
      </c>
      <c r="H23" s="804">
        <f>H21+H22</f>
        <v>69062.399999999994</v>
      </c>
      <c r="I23" s="804">
        <f>I21+I22</f>
        <v>69062.399999999994</v>
      </c>
      <c r="J23" s="136"/>
      <c r="K23" s="97"/>
    </row>
    <row r="24" spans="2:11" ht="12.75" customHeight="1">
      <c r="B24" s="92"/>
      <c r="C24" s="131"/>
      <c r="D24" s="133" t="s">
        <v>752</v>
      </c>
      <c r="E24" s="133"/>
      <c r="F24" s="804">
        <f>mat!K190</f>
        <v>0</v>
      </c>
      <c r="G24" s="804">
        <f>mat!L190</f>
        <v>0</v>
      </c>
      <c r="H24" s="804">
        <f>mat!M190</f>
        <v>0</v>
      </c>
      <c r="I24" s="804">
        <f>mat!N190</f>
        <v>0</v>
      </c>
      <c r="J24" s="136"/>
      <c r="K24" s="97"/>
    </row>
    <row r="25" spans="2:11" ht="12.75" customHeight="1">
      <c r="B25" s="92"/>
      <c r="C25" s="131"/>
      <c r="D25" s="133" t="s">
        <v>753</v>
      </c>
      <c r="E25" s="133"/>
      <c r="F25" s="804">
        <f>mat!K207</f>
        <v>0</v>
      </c>
      <c r="G25" s="804">
        <f>mat!L207</f>
        <v>0</v>
      </c>
      <c r="H25" s="804">
        <f>mat!M207</f>
        <v>0</v>
      </c>
      <c r="I25" s="804">
        <f>mat!N207</f>
        <v>0</v>
      </c>
      <c r="J25" s="136"/>
      <c r="K25" s="97"/>
    </row>
    <row r="26" spans="2:11" ht="12.75" customHeight="1">
      <c r="B26" s="92"/>
      <c r="C26" s="131"/>
      <c r="D26" s="133" t="s">
        <v>754</v>
      </c>
      <c r="E26" s="133"/>
      <c r="F26" s="803">
        <f>mat!K249</f>
        <v>0</v>
      </c>
      <c r="G26" s="803">
        <f>mat!L249</f>
        <v>0</v>
      </c>
      <c r="H26" s="803">
        <f>mat!M249</f>
        <v>0</v>
      </c>
      <c r="I26" s="803">
        <f>mat!N249</f>
        <v>0</v>
      </c>
      <c r="J26" s="136"/>
      <c r="K26" s="97"/>
    </row>
    <row r="27" spans="2:11" ht="12.75" customHeight="1">
      <c r="B27" s="92"/>
      <c r="C27" s="131"/>
      <c r="D27" s="319"/>
      <c r="E27" s="133"/>
      <c r="F27" s="805">
        <f>SUM(F23:F26)</f>
        <v>69062.399999999994</v>
      </c>
      <c r="G27" s="805">
        <f>SUM(G23:G26)</f>
        <v>69062.399999999994</v>
      </c>
      <c r="H27" s="805">
        <f>SUM(H23:H26)</f>
        <v>69062.399999999994</v>
      </c>
      <c r="I27" s="805">
        <f>SUM(I23:I26)</f>
        <v>69062.399999999994</v>
      </c>
      <c r="J27" s="136"/>
      <c r="K27" s="97"/>
    </row>
    <row r="28" spans="2:11" ht="12.75" customHeight="1">
      <c r="B28" s="92"/>
      <c r="C28" s="131"/>
      <c r="D28" s="295"/>
      <c r="E28" s="213"/>
      <c r="F28" s="810"/>
      <c r="G28" s="810"/>
      <c r="H28" s="810"/>
      <c r="I28" s="810"/>
      <c r="J28" s="136"/>
      <c r="K28" s="97"/>
    </row>
    <row r="29" spans="2:11" ht="12.75" customHeight="1">
      <c r="B29" s="785"/>
      <c r="C29" s="786"/>
      <c r="D29" s="319" t="s">
        <v>755</v>
      </c>
      <c r="E29" s="213"/>
      <c r="F29" s="811">
        <f>F19-F27</f>
        <v>3741185.7600000007</v>
      </c>
      <c r="G29" s="811">
        <f>G19-G27</f>
        <v>3741185.7600000007</v>
      </c>
      <c r="H29" s="811">
        <f>H19-H27</f>
        <v>3741185.7600000007</v>
      </c>
      <c r="I29" s="811">
        <f>I19-I27</f>
        <v>3741185.7600000007</v>
      </c>
      <c r="J29" s="136"/>
      <c r="K29" s="97"/>
    </row>
    <row r="30" spans="2:11" ht="12.75" customHeight="1">
      <c r="B30" s="92"/>
      <c r="C30" s="141"/>
      <c r="D30" s="758"/>
      <c r="E30" s="812"/>
      <c r="F30" s="813"/>
      <c r="G30" s="813"/>
      <c r="H30" s="813"/>
      <c r="I30" s="813"/>
      <c r="J30" s="147"/>
      <c r="K30" s="97"/>
    </row>
    <row r="31" spans="2:11" ht="12.75" customHeight="1">
      <c r="B31" s="92"/>
      <c r="C31" s="93"/>
      <c r="D31" s="279"/>
      <c r="E31" s="272"/>
      <c r="F31" s="814"/>
      <c r="G31" s="814"/>
      <c r="H31" s="814"/>
      <c r="I31" s="814"/>
      <c r="J31" s="93"/>
      <c r="K31" s="97"/>
    </row>
    <row r="32" spans="2:11" ht="12.75" customHeight="1">
      <c r="B32" s="92"/>
      <c r="C32" s="124"/>
      <c r="D32" s="751"/>
      <c r="E32" s="815"/>
      <c r="F32" s="816"/>
      <c r="G32" s="816"/>
      <c r="H32" s="816"/>
      <c r="I32" s="816"/>
      <c r="J32" s="130"/>
      <c r="K32" s="97"/>
    </row>
    <row r="33" spans="2:11" ht="12.75" customHeight="1">
      <c r="B33" s="92"/>
      <c r="C33" s="131"/>
      <c r="D33" s="239" t="s">
        <v>19</v>
      </c>
      <c r="E33" s="213"/>
      <c r="F33" s="817"/>
      <c r="G33" s="817"/>
      <c r="H33" s="817"/>
      <c r="I33" s="817"/>
      <c r="J33" s="136"/>
      <c r="K33" s="97"/>
    </row>
    <row r="34" spans="2:11" ht="12.75" customHeight="1">
      <c r="B34" s="92"/>
      <c r="C34" s="131"/>
      <c r="D34" s="292"/>
      <c r="E34" s="213"/>
      <c r="F34" s="817"/>
      <c r="G34" s="817"/>
      <c r="H34" s="817"/>
      <c r="I34" s="817"/>
      <c r="J34" s="136"/>
      <c r="K34" s="97"/>
    </row>
    <row r="35" spans="2:11" ht="12.75" customHeight="1">
      <c r="B35" s="92"/>
      <c r="C35" s="131"/>
      <c r="D35" s="155" t="s">
        <v>756</v>
      </c>
      <c r="E35" s="213"/>
      <c r="F35" s="341">
        <v>0</v>
      </c>
      <c r="G35" s="341">
        <f t="shared" ref="G35:I36" si="0">F35</f>
        <v>0</v>
      </c>
      <c r="H35" s="341">
        <f t="shared" si="0"/>
        <v>0</v>
      </c>
      <c r="I35" s="341">
        <f t="shared" si="0"/>
        <v>0</v>
      </c>
      <c r="J35" s="136"/>
      <c r="K35" s="97"/>
    </row>
    <row r="36" spans="2:11" ht="12.75" customHeight="1">
      <c r="B36" s="92"/>
      <c r="C36" s="131"/>
      <c r="D36" s="155" t="s">
        <v>757</v>
      </c>
      <c r="E36" s="213"/>
      <c r="F36" s="341">
        <v>0</v>
      </c>
      <c r="G36" s="341">
        <f t="shared" si="0"/>
        <v>0</v>
      </c>
      <c r="H36" s="341">
        <f t="shared" si="0"/>
        <v>0</v>
      </c>
      <c r="I36" s="341">
        <f t="shared" si="0"/>
        <v>0</v>
      </c>
      <c r="J36" s="136"/>
      <c r="K36" s="97"/>
    </row>
    <row r="37" spans="2:11" ht="12.75" customHeight="1">
      <c r="B37" s="92"/>
      <c r="C37" s="131"/>
      <c r="D37" s="155"/>
      <c r="E37" s="213"/>
      <c r="F37" s="817"/>
      <c r="G37" s="817"/>
      <c r="H37" s="817"/>
      <c r="I37" s="817"/>
      <c r="J37" s="136"/>
      <c r="K37" s="97"/>
    </row>
    <row r="38" spans="2:11" s="76" customFormat="1" ht="12.75" customHeight="1">
      <c r="B38" s="785"/>
      <c r="C38" s="786"/>
      <c r="D38" s="319" t="s">
        <v>20</v>
      </c>
      <c r="E38" s="138"/>
      <c r="F38" s="811">
        <f>F35-F36</f>
        <v>0</v>
      </c>
      <c r="G38" s="811">
        <f>G35-G36</f>
        <v>0</v>
      </c>
      <c r="H38" s="811">
        <f>H35-H36</f>
        <v>0</v>
      </c>
      <c r="I38" s="811">
        <f>I35-I36</f>
        <v>0</v>
      </c>
      <c r="J38" s="787"/>
      <c r="K38" s="280"/>
    </row>
    <row r="39" spans="2:11" ht="12.75" customHeight="1">
      <c r="B39" s="92"/>
      <c r="C39" s="131"/>
      <c r="D39" s="155"/>
      <c r="E39" s="213"/>
      <c r="F39" s="817"/>
      <c r="G39" s="817"/>
      <c r="H39" s="817"/>
      <c r="I39" s="817"/>
      <c r="J39" s="136"/>
      <c r="K39" s="97"/>
    </row>
    <row r="40" spans="2:11" ht="12.75" customHeight="1">
      <c r="B40" s="92"/>
      <c r="C40" s="93"/>
      <c r="D40" s="279"/>
      <c r="E40" s="272"/>
      <c r="F40" s="814"/>
      <c r="G40" s="814"/>
      <c r="H40" s="814"/>
      <c r="I40" s="814"/>
      <c r="J40" s="93"/>
      <c r="K40" s="97"/>
    </row>
    <row r="41" spans="2:11" ht="12.75" customHeight="1">
      <c r="B41" s="92"/>
      <c r="C41" s="131"/>
      <c r="D41" s="155"/>
      <c r="E41" s="213"/>
      <c r="F41" s="817"/>
      <c r="G41" s="817"/>
      <c r="H41" s="817"/>
      <c r="I41" s="817"/>
      <c r="J41" s="136"/>
      <c r="K41" s="97"/>
    </row>
    <row r="42" spans="2:11" s="76" customFormat="1" ht="12.75" customHeight="1">
      <c r="B42" s="785"/>
      <c r="C42" s="786"/>
      <c r="D42" s="239" t="s">
        <v>25</v>
      </c>
      <c r="E42" s="138"/>
      <c r="F42" s="811">
        <f>F29+F38</f>
        <v>3741185.7600000007</v>
      </c>
      <c r="G42" s="811">
        <f>G29+G38</f>
        <v>3741185.7600000007</v>
      </c>
      <c r="H42" s="811">
        <f>H29+H38</f>
        <v>3741185.7600000007</v>
      </c>
      <c r="I42" s="811">
        <f>I29+I38</f>
        <v>3741185.7600000007</v>
      </c>
      <c r="J42" s="787"/>
      <c r="K42" s="280"/>
    </row>
    <row r="43" spans="2:11" ht="12.75" customHeight="1">
      <c r="B43" s="92"/>
      <c r="C43" s="131"/>
      <c r="D43" s="155"/>
      <c r="E43" s="213"/>
      <c r="F43" s="817"/>
      <c r="G43" s="817"/>
      <c r="H43" s="817"/>
      <c r="I43" s="817"/>
      <c r="J43" s="136"/>
      <c r="K43" s="97"/>
    </row>
    <row r="44" spans="2:11" ht="12.75" customHeight="1">
      <c r="B44" s="92"/>
      <c r="C44" s="93"/>
      <c r="D44" s="279"/>
      <c r="E44" s="272"/>
      <c r="F44" s="814"/>
      <c r="G44" s="814"/>
      <c r="H44" s="814"/>
      <c r="I44" s="814"/>
      <c r="J44" s="93"/>
      <c r="K44" s="97"/>
    </row>
    <row r="45" spans="2:11" ht="12.75" customHeight="1">
      <c r="B45" s="92"/>
      <c r="C45" s="93"/>
      <c r="D45" s="279"/>
      <c r="E45" s="272"/>
      <c r="F45" s="814"/>
      <c r="G45" s="814"/>
      <c r="H45" s="814"/>
      <c r="I45" s="814"/>
      <c r="J45" s="93"/>
      <c r="K45" s="97"/>
    </row>
    <row r="46" spans="2:11" ht="12.75" customHeight="1">
      <c r="B46" s="92"/>
      <c r="C46" s="131"/>
      <c r="D46" s="133"/>
      <c r="E46" s="133"/>
      <c r="F46" s="137"/>
      <c r="G46" s="137"/>
      <c r="H46" s="137"/>
      <c r="I46" s="137"/>
      <c r="J46" s="818"/>
      <c r="K46" s="97"/>
    </row>
    <row r="47" spans="2:11" s="663" customFormat="1" ht="12.75" customHeight="1">
      <c r="B47" s="664"/>
      <c r="C47" s="669"/>
      <c r="D47" s="174" t="s">
        <v>21</v>
      </c>
      <c r="E47" s="216"/>
      <c r="F47" s="334"/>
      <c r="G47" s="334"/>
      <c r="H47" s="334"/>
      <c r="I47" s="334"/>
      <c r="J47" s="819"/>
      <c r="K47" s="671"/>
    </row>
    <row r="48" spans="2:11" ht="12.75" customHeight="1">
      <c r="B48" s="92"/>
      <c r="C48" s="131"/>
      <c r="D48" s="133"/>
      <c r="E48" s="133"/>
      <c r="F48" s="137"/>
      <c r="G48" s="137"/>
      <c r="H48" s="137"/>
      <c r="I48" s="137"/>
      <c r="J48" s="818"/>
      <c r="K48" s="97"/>
    </row>
    <row r="49" spans="2:11" ht="12.75" customHeight="1">
      <c r="B49" s="92"/>
      <c r="C49" s="131"/>
      <c r="D49" s="133" t="s">
        <v>22</v>
      </c>
      <c r="E49" s="133"/>
      <c r="F49" s="779">
        <f>pers!J249</f>
        <v>0</v>
      </c>
      <c r="G49" s="779">
        <f>pers!K249</f>
        <v>0</v>
      </c>
      <c r="H49" s="779">
        <f>pers!L249</f>
        <v>0</v>
      </c>
      <c r="I49" s="779">
        <f>pers!M249</f>
        <v>0</v>
      </c>
      <c r="J49" s="818"/>
      <c r="K49" s="97"/>
    </row>
    <row r="50" spans="2:11" ht="12.75" customHeight="1">
      <c r="B50" s="92"/>
      <c r="C50" s="131"/>
      <c r="D50" s="133" t="s">
        <v>23</v>
      </c>
      <c r="E50" s="133"/>
      <c r="F50" s="779">
        <f>mat!K140</f>
        <v>0</v>
      </c>
      <c r="G50" s="779">
        <f>mat!L140</f>
        <v>0</v>
      </c>
      <c r="H50" s="779">
        <f>mat!M140</f>
        <v>0</v>
      </c>
      <c r="I50" s="779">
        <f>mat!N140</f>
        <v>0</v>
      </c>
      <c r="J50" s="818"/>
      <c r="K50" s="97"/>
    </row>
    <row r="51" spans="2:11" ht="12.75" customHeight="1">
      <c r="B51" s="92"/>
      <c r="C51" s="131"/>
      <c r="D51" s="138"/>
      <c r="E51" s="133"/>
      <c r="F51" s="344">
        <f>SUM(F49:F50)</f>
        <v>0</v>
      </c>
      <c r="G51" s="344">
        <f>SUM(G49:G50)</f>
        <v>0</v>
      </c>
      <c r="H51" s="344">
        <f>SUM(H49:H50)</f>
        <v>0</v>
      </c>
      <c r="I51" s="344">
        <f>SUM(I49:I50)</f>
        <v>0</v>
      </c>
      <c r="J51" s="818"/>
      <c r="K51" s="97"/>
    </row>
    <row r="52" spans="2:11" ht="12.75" customHeight="1">
      <c r="B52" s="92"/>
      <c r="C52" s="141"/>
      <c r="D52" s="144"/>
      <c r="E52" s="144"/>
      <c r="F52" s="820"/>
      <c r="G52" s="820"/>
      <c r="H52" s="820"/>
      <c r="I52" s="820"/>
      <c r="J52" s="821"/>
      <c r="K52" s="97"/>
    </row>
    <row r="53" spans="2:11" ht="12.75" customHeight="1">
      <c r="B53" s="92"/>
      <c r="C53" s="93"/>
      <c r="D53" s="258"/>
      <c r="E53" s="93"/>
      <c r="F53" s="822"/>
      <c r="G53" s="822"/>
      <c r="H53" s="822"/>
      <c r="I53" s="822"/>
      <c r="J53" s="93"/>
      <c r="K53" s="97"/>
    </row>
    <row r="54" spans="2:11" ht="12.75" customHeight="1">
      <c r="B54" s="113"/>
      <c r="C54" s="114"/>
      <c r="D54" s="281"/>
      <c r="E54" s="114"/>
      <c r="F54" s="266"/>
      <c r="G54" s="266"/>
      <c r="H54" s="266"/>
      <c r="I54" s="266"/>
      <c r="J54" s="119" t="s">
        <v>555</v>
      </c>
      <c r="K54" s="120"/>
    </row>
    <row r="55" spans="2:11">
      <c r="D55" s="251"/>
      <c r="F55" s="255"/>
      <c r="G55" s="255"/>
      <c r="H55" s="255"/>
      <c r="I55" s="255"/>
    </row>
    <row r="56" spans="2:11">
      <c r="H56" s="354"/>
    </row>
    <row r="57" spans="2:11">
      <c r="H57" s="354"/>
    </row>
    <row r="58" spans="2:11">
      <c r="H58" s="354"/>
    </row>
    <row r="59" spans="2:11">
      <c r="H59" s="354"/>
    </row>
    <row r="60" spans="2:11">
      <c r="H60" s="354"/>
    </row>
    <row r="61" spans="2:11">
      <c r="H61" s="354"/>
    </row>
    <row r="62" spans="2:11">
      <c r="H62" s="354"/>
    </row>
    <row r="63" spans="2:11">
      <c r="H63" s="354"/>
    </row>
    <row r="64" spans="2:11">
      <c r="H64" s="354"/>
    </row>
    <row r="65" spans="8:8">
      <c r="H65" s="354"/>
    </row>
    <row r="66" spans="8:8">
      <c r="H66" s="354"/>
    </row>
    <row r="67" spans="8:8">
      <c r="H67" s="354"/>
    </row>
    <row r="68" spans="8:8">
      <c r="H68" s="354"/>
    </row>
    <row r="69" spans="8:8">
      <c r="H69" s="354"/>
    </row>
    <row r="70" spans="8:8">
      <c r="H70" s="354"/>
    </row>
    <row r="71" spans="8:8">
      <c r="H71" s="354"/>
    </row>
    <row r="72" spans="8:8">
      <c r="H72" s="354"/>
    </row>
    <row r="73" spans="8:8">
      <c r="H73" s="354"/>
    </row>
    <row r="74" spans="8:8">
      <c r="H74" s="354"/>
    </row>
    <row r="75" spans="8:8">
      <c r="H75" s="354"/>
    </row>
    <row r="76" spans="8:8">
      <c r="H76" s="354"/>
    </row>
    <row r="77" spans="8:8">
      <c r="H77" s="354"/>
    </row>
    <row r="78" spans="8:8">
      <c r="H78" s="354"/>
    </row>
    <row r="79" spans="8:8">
      <c r="H79" s="354"/>
    </row>
    <row r="80" spans="8:8">
      <c r="H80" s="354"/>
    </row>
    <row r="81" spans="8:8">
      <c r="H81" s="354"/>
    </row>
    <row r="82" spans="8:8">
      <c r="H82" s="354"/>
    </row>
    <row r="83" spans="8:8">
      <c r="H83" s="354"/>
    </row>
    <row r="84" spans="8:8">
      <c r="H84" s="354"/>
    </row>
    <row r="85" spans="8:8">
      <c r="H85" s="354"/>
    </row>
    <row r="86" spans="8:8">
      <c r="H86" s="354"/>
    </row>
    <row r="87" spans="8:8">
      <c r="H87" s="354"/>
    </row>
    <row r="88" spans="8:8">
      <c r="H88" s="354"/>
    </row>
    <row r="89" spans="8:8">
      <c r="H89" s="354"/>
    </row>
    <row r="90" spans="8:8">
      <c r="H90" s="354"/>
    </row>
    <row r="91" spans="8:8">
      <c r="H91" s="354"/>
    </row>
    <row r="92" spans="8:8">
      <c r="H92" s="354"/>
    </row>
    <row r="93" spans="8:8">
      <c r="H93" s="354"/>
    </row>
    <row r="94" spans="8:8">
      <c r="H94" s="354"/>
    </row>
    <row r="95" spans="8:8">
      <c r="H95" s="354"/>
    </row>
    <row r="96" spans="8:8">
      <c r="H96" s="354"/>
    </row>
    <row r="97" spans="8:8">
      <c r="H97" s="354"/>
    </row>
    <row r="98" spans="8:8">
      <c r="H98" s="354"/>
    </row>
    <row r="99" spans="8:8">
      <c r="H99" s="354"/>
    </row>
    <row r="100" spans="8:8">
      <c r="H100" s="354"/>
    </row>
    <row r="101" spans="8:8">
      <c r="H101" s="354"/>
    </row>
    <row r="102" spans="8:8">
      <c r="H102" s="354"/>
    </row>
    <row r="103" spans="8:8">
      <c r="H103" s="354"/>
    </row>
    <row r="104" spans="8:8">
      <c r="H104" s="354"/>
    </row>
    <row r="105" spans="8:8">
      <c r="H105" s="354"/>
    </row>
    <row r="106" spans="8:8">
      <c r="H106" s="354"/>
    </row>
    <row r="107" spans="8:8">
      <c r="H107" s="354"/>
    </row>
  </sheetData>
  <sheetProtection password="DFB1" sheet="1" objects="1" scenarios="1"/>
  <phoneticPr fontId="0" type="noConversion"/>
  <pageMargins left="0.75" right="0.75" top="1" bottom="1" header="0.5" footer="0.5"/>
  <pageSetup paperSize="9" scale="60" orientation="portrait" r:id="rId1"/>
  <headerFooter alignWithMargins="0">
    <oddHeader>&amp;L&amp;"Arial,Vet"&amp;F&amp;R&amp;"Arial,Vet"&amp;A</oddHeader>
    <oddFooter>&amp;L&amp;"Arial,Vet"keizer / goedhart&amp;C&amp;"Arial,Vet"&amp;D&amp;R&amp;"Arial,Vet"pagina &amp;P</oddFooter>
  </headerFooter>
  <drawing r:id="rId2"/>
</worksheet>
</file>

<file path=xl/worksheets/sheet14.xml><?xml version="1.0" encoding="utf-8"?>
<worksheet xmlns="http://schemas.openxmlformats.org/spreadsheetml/2006/main" xmlns:r="http://schemas.openxmlformats.org/officeDocument/2006/relationships">
  <dimension ref="B1:T59"/>
  <sheetViews>
    <sheetView zoomScale="85" zoomScaleNormal="85" workbookViewId="0">
      <pane ySplit="9" topLeftCell="A10" activePane="bottomLeft" state="frozen"/>
      <selection activeCell="B2" sqref="B2"/>
      <selection pane="bottomLeft" activeCell="B2" sqref="B2"/>
    </sheetView>
  </sheetViews>
  <sheetFormatPr defaultRowHeight="12.75"/>
  <cols>
    <col min="1" max="1" width="3.7109375" style="68" customWidth="1"/>
    <col min="2" max="3" width="2.7109375" style="68" customWidth="1"/>
    <col min="4" max="4" width="45.7109375" style="68" customWidth="1"/>
    <col min="5" max="5" width="2.7109375" style="68" customWidth="1"/>
    <col min="6" max="6" width="14.85546875" style="68" customWidth="1"/>
    <col min="7" max="10" width="14.85546875" style="67" customWidth="1"/>
    <col min="11" max="11" width="2.7109375" style="67" customWidth="1"/>
    <col min="12" max="12" width="2.7109375" style="68" customWidth="1"/>
    <col min="13" max="13" width="11.42578125" style="353" customWidth="1"/>
    <col min="14" max="14" width="33.7109375" style="68" customWidth="1"/>
    <col min="15" max="15" width="2.5703125" style="68" customWidth="1"/>
    <col min="16" max="20" width="10.7109375" style="68" customWidth="1"/>
    <col min="21" max="21" width="2.7109375" style="68" customWidth="1"/>
    <col min="22" max="16384" width="9.140625" style="68"/>
  </cols>
  <sheetData>
    <row r="1" spans="2:16" ht="12.75" customHeight="1"/>
    <row r="2" spans="2:16">
      <c r="B2" s="87"/>
      <c r="C2" s="88"/>
      <c r="D2" s="88"/>
      <c r="E2" s="88"/>
      <c r="F2" s="88"/>
      <c r="G2" s="90"/>
      <c r="H2" s="90"/>
      <c r="I2" s="90"/>
      <c r="J2" s="90"/>
      <c r="K2" s="90"/>
      <c r="L2" s="91"/>
    </row>
    <row r="3" spans="2:16">
      <c r="B3" s="92"/>
      <c r="C3" s="93"/>
      <c r="D3" s="93"/>
      <c r="E3" s="93"/>
      <c r="F3" s="93"/>
      <c r="G3" s="95"/>
      <c r="H3" s="95"/>
      <c r="I3" s="95"/>
      <c r="J3" s="95"/>
      <c r="K3" s="95"/>
      <c r="L3" s="97"/>
    </row>
    <row r="4" spans="2:16" s="402" customFormat="1" ht="18.75">
      <c r="B4" s="823"/>
      <c r="C4" s="168" t="s">
        <v>412</v>
      </c>
      <c r="D4" s="167"/>
      <c r="E4" s="729"/>
      <c r="F4" s="729"/>
      <c r="G4" s="824"/>
      <c r="H4" s="824"/>
      <c r="I4" s="824"/>
      <c r="J4" s="824"/>
      <c r="K4" s="824"/>
      <c r="L4" s="740"/>
      <c r="M4" s="825"/>
    </row>
    <row r="5" spans="2:16" s="402" customFormat="1" ht="18.75">
      <c r="B5" s="823"/>
      <c r="C5" s="105" t="str">
        <f>geg!I12</f>
        <v>De speciale school</v>
      </c>
      <c r="D5" s="729"/>
      <c r="E5" s="729"/>
      <c r="F5" s="729"/>
      <c r="G5" s="824"/>
      <c r="H5" s="824"/>
      <c r="I5" s="824"/>
      <c r="J5" s="824"/>
      <c r="K5" s="824"/>
      <c r="L5" s="740"/>
      <c r="M5" s="825"/>
    </row>
    <row r="6" spans="2:16">
      <c r="B6" s="269"/>
      <c r="C6" s="272"/>
      <c r="D6" s="93"/>
      <c r="E6" s="93"/>
      <c r="F6" s="93"/>
      <c r="G6" s="95"/>
      <c r="H6" s="95"/>
      <c r="I6" s="95"/>
      <c r="J6" s="95"/>
      <c r="K6" s="95"/>
      <c r="L6" s="97"/>
    </row>
    <row r="7" spans="2:16">
      <c r="B7" s="269"/>
      <c r="C7" s="272"/>
      <c r="D7" s="93"/>
      <c r="E7" s="93"/>
      <c r="F7" s="93"/>
      <c r="G7" s="95"/>
      <c r="H7" s="95"/>
      <c r="I7" s="95"/>
      <c r="J7" s="95"/>
      <c r="K7" s="95"/>
      <c r="L7" s="97"/>
    </row>
    <row r="8" spans="2:16" s="402" customFormat="1">
      <c r="B8" s="737"/>
      <c r="C8" s="738"/>
      <c r="D8" s="773"/>
      <c r="E8" s="729"/>
      <c r="F8" s="164">
        <f>tab!D4</f>
        <v>2012</v>
      </c>
      <c r="G8" s="164">
        <f>tab!E4</f>
        <v>2013</v>
      </c>
      <c r="H8" s="164">
        <f>tab!F4</f>
        <v>2014</v>
      </c>
      <c r="I8" s="164">
        <f>tab!G4</f>
        <v>2015</v>
      </c>
      <c r="J8" s="164">
        <f>tab!H4</f>
        <v>2016</v>
      </c>
      <c r="K8" s="108"/>
      <c r="L8" s="740"/>
      <c r="M8" s="825"/>
    </row>
    <row r="9" spans="2:16">
      <c r="B9" s="785"/>
      <c r="C9" s="110"/>
      <c r="D9" s="272"/>
      <c r="E9" s="93"/>
      <c r="F9" s="93"/>
      <c r="G9" s="276"/>
      <c r="H9" s="276"/>
      <c r="I9" s="276"/>
      <c r="J9" s="276"/>
      <c r="K9" s="276"/>
      <c r="L9" s="97"/>
    </row>
    <row r="10" spans="2:16">
      <c r="B10" s="785"/>
      <c r="C10" s="826"/>
      <c r="D10" s="815"/>
      <c r="E10" s="127"/>
      <c r="F10" s="127"/>
      <c r="G10" s="827"/>
      <c r="H10" s="827"/>
      <c r="I10" s="827"/>
      <c r="J10" s="827"/>
      <c r="K10" s="828"/>
      <c r="L10" s="97"/>
    </row>
    <row r="11" spans="2:16">
      <c r="B11" s="92"/>
      <c r="C11" s="131"/>
      <c r="D11" s="174" t="s">
        <v>55</v>
      </c>
      <c r="E11" s="133"/>
      <c r="F11" s="133"/>
      <c r="G11" s="330"/>
      <c r="H11" s="330"/>
      <c r="I11" s="330"/>
      <c r="J11" s="330"/>
      <c r="K11" s="829"/>
      <c r="L11" s="97"/>
    </row>
    <row r="12" spans="2:16">
      <c r="B12" s="92"/>
      <c r="C12" s="131"/>
      <c r="D12" s="133"/>
      <c r="E12" s="133"/>
      <c r="F12" s="133"/>
      <c r="G12" s="133"/>
      <c r="H12" s="133"/>
      <c r="I12" s="133"/>
      <c r="J12" s="133"/>
      <c r="K12" s="136"/>
      <c r="L12" s="109"/>
      <c r="M12" s="224"/>
      <c r="N12" s="67"/>
      <c r="O12" s="67"/>
      <c r="P12" s="67"/>
    </row>
    <row r="13" spans="2:16">
      <c r="B13" s="92"/>
      <c r="C13" s="131"/>
      <c r="D13" s="214" t="s">
        <v>408</v>
      </c>
      <c r="E13" s="133"/>
      <c r="F13" s="133"/>
      <c r="G13" s="133"/>
      <c r="H13" s="133"/>
      <c r="I13" s="133"/>
      <c r="J13" s="133"/>
      <c r="K13" s="136"/>
      <c r="L13" s="97"/>
    </row>
    <row r="14" spans="2:16">
      <c r="B14" s="92"/>
      <c r="C14" s="131"/>
      <c r="D14" s="133" t="s">
        <v>452</v>
      </c>
      <c r="E14" s="133"/>
      <c r="F14" s="314">
        <f>act!F61</f>
        <v>0</v>
      </c>
      <c r="G14" s="314">
        <f>act!G61</f>
        <v>0</v>
      </c>
      <c r="H14" s="314">
        <f>act!H61</f>
        <v>0</v>
      </c>
      <c r="I14" s="314">
        <f>act!I61</f>
        <v>0</v>
      </c>
      <c r="J14" s="314">
        <f>act!J61</f>
        <v>0</v>
      </c>
      <c r="K14" s="830"/>
      <c r="L14" s="97"/>
    </row>
    <row r="15" spans="2:16">
      <c r="B15" s="92"/>
      <c r="C15" s="131"/>
      <c r="D15" s="133" t="s">
        <v>449</v>
      </c>
      <c r="E15" s="133"/>
      <c r="F15" s="779">
        <v>0</v>
      </c>
      <c r="G15" s="779">
        <f>F15</f>
        <v>0</v>
      </c>
      <c r="H15" s="779">
        <f t="shared" ref="H15:J16" si="0">G15</f>
        <v>0</v>
      </c>
      <c r="I15" s="779">
        <f t="shared" si="0"/>
        <v>0</v>
      </c>
      <c r="J15" s="779">
        <f t="shared" si="0"/>
        <v>0</v>
      </c>
      <c r="K15" s="830"/>
      <c r="L15" s="97"/>
    </row>
    <row r="16" spans="2:16">
      <c r="B16" s="92"/>
      <c r="C16" s="131"/>
      <c r="D16" s="133" t="s">
        <v>451</v>
      </c>
      <c r="E16" s="133"/>
      <c r="F16" s="314">
        <v>0</v>
      </c>
      <c r="G16" s="314">
        <f>F16</f>
        <v>0</v>
      </c>
      <c r="H16" s="314">
        <f t="shared" si="0"/>
        <v>0</v>
      </c>
      <c r="I16" s="314">
        <f t="shared" si="0"/>
        <v>0</v>
      </c>
      <c r="J16" s="314">
        <f t="shared" si="0"/>
        <v>0</v>
      </c>
      <c r="K16" s="830"/>
      <c r="L16" s="97"/>
    </row>
    <row r="17" spans="2:20">
      <c r="B17" s="92"/>
      <c r="C17" s="131"/>
      <c r="D17" s="319"/>
      <c r="E17" s="133"/>
      <c r="F17" s="783">
        <f>SUM(F14:F16)</f>
        <v>0</v>
      </c>
      <c r="G17" s="783">
        <f>SUM(G14:G16)</f>
        <v>0</v>
      </c>
      <c r="H17" s="783">
        <f>SUM(H14:H16)</f>
        <v>0</v>
      </c>
      <c r="I17" s="783">
        <f>SUM(I14:I16)</f>
        <v>0</v>
      </c>
      <c r="J17" s="783">
        <f>SUM(J14:J16)</f>
        <v>0</v>
      </c>
      <c r="K17" s="831"/>
      <c r="L17" s="97"/>
    </row>
    <row r="18" spans="2:20">
      <c r="B18" s="92"/>
      <c r="C18" s="131"/>
      <c r="D18" s="214" t="s">
        <v>407</v>
      </c>
      <c r="E18" s="133"/>
      <c r="F18" s="133"/>
      <c r="G18" s="328"/>
      <c r="H18" s="328"/>
      <c r="I18" s="328"/>
      <c r="J18" s="328"/>
      <c r="K18" s="830"/>
      <c r="L18" s="97"/>
    </row>
    <row r="19" spans="2:20">
      <c r="B19" s="92"/>
      <c r="C19" s="131"/>
      <c r="D19" s="133" t="s">
        <v>403</v>
      </c>
      <c r="E19" s="133"/>
      <c r="F19" s="314">
        <v>0</v>
      </c>
      <c r="G19" s="314">
        <f>F19</f>
        <v>0</v>
      </c>
      <c r="H19" s="314">
        <f>G19</f>
        <v>0</v>
      </c>
      <c r="I19" s="314">
        <f>H19</f>
        <v>0</v>
      </c>
      <c r="J19" s="314">
        <f>I19</f>
        <v>0</v>
      </c>
      <c r="K19" s="830"/>
      <c r="L19" s="97"/>
    </row>
    <row r="20" spans="2:20">
      <c r="B20" s="92"/>
      <c r="C20" s="131"/>
      <c r="D20" s="133" t="s">
        <v>404</v>
      </c>
      <c r="E20" s="133"/>
      <c r="F20" s="314">
        <v>0</v>
      </c>
      <c r="G20" s="314">
        <f>F20</f>
        <v>0</v>
      </c>
      <c r="H20" s="314">
        <f t="shared" ref="H20:J21" si="1">G20</f>
        <v>0</v>
      </c>
      <c r="I20" s="314">
        <f t="shared" si="1"/>
        <v>0</v>
      </c>
      <c r="J20" s="314">
        <f t="shared" si="1"/>
        <v>0</v>
      </c>
      <c r="K20" s="830"/>
      <c r="L20" s="97"/>
    </row>
    <row r="21" spans="2:20">
      <c r="B21" s="92"/>
      <c r="C21" s="131"/>
      <c r="D21" s="133" t="s">
        <v>99</v>
      </c>
      <c r="E21" s="133"/>
      <c r="F21" s="314">
        <v>0</v>
      </c>
      <c r="G21" s="314">
        <f>F21</f>
        <v>0</v>
      </c>
      <c r="H21" s="314">
        <f t="shared" si="1"/>
        <v>0</v>
      </c>
      <c r="I21" s="314">
        <f t="shared" si="1"/>
        <v>0</v>
      </c>
      <c r="J21" s="314">
        <f t="shared" si="1"/>
        <v>0</v>
      </c>
      <c r="K21" s="830"/>
      <c r="L21" s="97"/>
    </row>
    <row r="22" spans="2:20">
      <c r="B22" s="92"/>
      <c r="C22" s="131"/>
      <c r="D22" s="133" t="s">
        <v>100</v>
      </c>
      <c r="E22" s="133"/>
      <c r="F22" s="314">
        <v>0</v>
      </c>
      <c r="G22" s="332">
        <f>G56-(G17+(SUM(G19:G21)))</f>
        <v>3741185.7600000007</v>
      </c>
      <c r="H22" s="332">
        <f>H56-(H17+(SUM(H19:H21)))</f>
        <v>7482371.5200000014</v>
      </c>
      <c r="I22" s="332">
        <f>I56-(I17+(SUM(I19:I21)))</f>
        <v>11223557.280000001</v>
      </c>
      <c r="J22" s="332">
        <f>J56-(J17+(SUM(J19:J21)))</f>
        <v>14964743.040000003</v>
      </c>
      <c r="K22" s="830"/>
      <c r="L22" s="97"/>
    </row>
    <row r="23" spans="2:20">
      <c r="B23" s="92"/>
      <c r="C23" s="131"/>
      <c r="D23" s="319"/>
      <c r="E23" s="133"/>
      <c r="F23" s="783">
        <f>SUM(F19:F22)</f>
        <v>0</v>
      </c>
      <c r="G23" s="783">
        <f>SUM(G19:G22)</f>
        <v>3741185.7600000007</v>
      </c>
      <c r="H23" s="783">
        <f>SUM(H19:H22)</f>
        <v>7482371.5200000014</v>
      </c>
      <c r="I23" s="783">
        <f>SUM(I19:I22)</f>
        <v>11223557.280000001</v>
      </c>
      <c r="J23" s="783">
        <f>SUM(J19:J22)</f>
        <v>14964743.040000003</v>
      </c>
      <c r="K23" s="831"/>
      <c r="L23" s="97"/>
    </row>
    <row r="24" spans="2:20">
      <c r="B24" s="92"/>
      <c r="C24" s="131"/>
      <c r="D24" s="133"/>
      <c r="E24" s="133"/>
      <c r="F24" s="133"/>
      <c r="G24" s="133"/>
      <c r="H24" s="133"/>
      <c r="I24" s="133"/>
      <c r="J24" s="133"/>
      <c r="K24" s="136"/>
      <c r="L24" s="97"/>
    </row>
    <row r="25" spans="2:20">
      <c r="B25" s="92"/>
      <c r="C25" s="131"/>
      <c r="D25" s="239" t="s">
        <v>56</v>
      </c>
      <c r="E25" s="137"/>
      <c r="F25" s="245">
        <f>F17+F23</f>
        <v>0</v>
      </c>
      <c r="G25" s="245">
        <f>G17+G23</f>
        <v>3741185.7600000007</v>
      </c>
      <c r="H25" s="245">
        <f>H17+H23</f>
        <v>7482371.5200000014</v>
      </c>
      <c r="I25" s="245">
        <f>I17+I23</f>
        <v>11223557.280000001</v>
      </c>
      <c r="J25" s="245">
        <f>J17+J23</f>
        <v>14964743.040000003</v>
      </c>
      <c r="K25" s="831"/>
      <c r="L25" s="97"/>
    </row>
    <row r="26" spans="2:20">
      <c r="B26" s="92"/>
      <c r="C26" s="141"/>
      <c r="D26" s="144"/>
      <c r="E26" s="820"/>
      <c r="F26" s="820"/>
      <c r="G26" s="146"/>
      <c r="H26" s="146"/>
      <c r="I26" s="146"/>
      <c r="J26" s="146"/>
      <c r="K26" s="832"/>
      <c r="L26" s="97"/>
      <c r="N26" s="251"/>
      <c r="P26" s="833"/>
      <c r="Q26" s="833"/>
      <c r="R26" s="833"/>
      <c r="S26" s="833"/>
      <c r="T26" s="833"/>
    </row>
    <row r="27" spans="2:20">
      <c r="B27" s="92"/>
      <c r="C27" s="93"/>
      <c r="D27" s="93"/>
      <c r="E27" s="261"/>
      <c r="F27" s="261"/>
      <c r="G27" s="95"/>
      <c r="H27" s="95"/>
      <c r="I27" s="95"/>
      <c r="J27" s="95"/>
      <c r="K27" s="95"/>
      <c r="L27" s="97"/>
      <c r="N27" s="251"/>
      <c r="P27" s="833"/>
      <c r="Q27" s="833"/>
      <c r="R27" s="833"/>
      <c r="S27" s="833"/>
      <c r="T27" s="833"/>
    </row>
    <row r="28" spans="2:20">
      <c r="B28" s="92"/>
      <c r="C28" s="124"/>
      <c r="D28" s="127"/>
      <c r="E28" s="834"/>
      <c r="F28" s="834"/>
      <c r="G28" s="834"/>
      <c r="H28" s="834"/>
      <c r="I28" s="834"/>
      <c r="J28" s="834"/>
      <c r="K28" s="835"/>
      <c r="L28" s="97"/>
      <c r="N28" s="251"/>
      <c r="P28" s="833"/>
      <c r="Q28" s="833"/>
      <c r="R28" s="833"/>
      <c r="S28" s="833"/>
      <c r="T28" s="833"/>
    </row>
    <row r="29" spans="2:20">
      <c r="B29" s="92"/>
      <c r="C29" s="131"/>
      <c r="D29" s="174" t="s">
        <v>65</v>
      </c>
      <c r="E29" s="133"/>
      <c r="F29" s="137"/>
      <c r="G29" s="135"/>
      <c r="H29" s="135"/>
      <c r="I29" s="135"/>
      <c r="J29" s="135"/>
      <c r="K29" s="553"/>
      <c r="L29" s="97"/>
      <c r="N29" s="251"/>
      <c r="P29" s="833"/>
      <c r="Q29" s="833"/>
      <c r="R29" s="833"/>
      <c r="S29" s="833"/>
      <c r="T29" s="833"/>
    </row>
    <row r="30" spans="2:20">
      <c r="B30" s="836"/>
      <c r="C30" s="837"/>
      <c r="D30" s="133"/>
      <c r="E30" s="137"/>
      <c r="F30" s="137"/>
      <c r="G30" s="135"/>
      <c r="H30" s="135"/>
      <c r="I30" s="135"/>
      <c r="J30" s="135"/>
      <c r="K30" s="553"/>
      <c r="L30" s="97"/>
      <c r="N30" s="251"/>
      <c r="P30" s="833"/>
      <c r="Q30" s="833"/>
      <c r="R30" s="833"/>
      <c r="S30" s="833"/>
      <c r="T30" s="833"/>
    </row>
    <row r="31" spans="2:20">
      <c r="B31" s="836"/>
      <c r="C31" s="837"/>
      <c r="D31" s="133" t="s">
        <v>57</v>
      </c>
      <c r="E31" s="137"/>
      <c r="F31" s="137"/>
      <c r="G31" s="135"/>
      <c r="H31" s="135"/>
      <c r="I31" s="135"/>
      <c r="J31" s="135"/>
      <c r="K31" s="553"/>
      <c r="L31" s="97"/>
      <c r="N31" s="251"/>
      <c r="P31" s="833"/>
      <c r="Q31" s="833"/>
      <c r="R31" s="833"/>
      <c r="S31" s="833"/>
      <c r="T31" s="833"/>
    </row>
    <row r="32" spans="2:20">
      <c r="B32" s="836"/>
      <c r="C32" s="837"/>
      <c r="D32" s="213" t="s">
        <v>58</v>
      </c>
      <c r="E32" s="137"/>
      <c r="F32" s="838">
        <f>F25-(F33+F34+F35+F41+F45+F54)</f>
        <v>0</v>
      </c>
      <c r="G32" s="332">
        <f>F36+begr!F42-SUM(G33:G35)</f>
        <v>3741185.7600000007</v>
      </c>
      <c r="H32" s="332">
        <f>G36+begr!G42-SUM(H33:H35)</f>
        <v>7482371.5200000014</v>
      </c>
      <c r="I32" s="332">
        <f>H36+begr!H42-SUM(I33:I35)</f>
        <v>11223557.280000001</v>
      </c>
      <c r="J32" s="332">
        <f>I36+begr!I42-SUM(J33:J35)</f>
        <v>14964743.040000003</v>
      </c>
      <c r="K32" s="553"/>
      <c r="L32" s="97"/>
      <c r="N32" s="251"/>
      <c r="P32" s="833"/>
      <c r="Q32" s="833"/>
      <c r="R32" s="833"/>
      <c r="S32" s="833"/>
      <c r="T32" s="833"/>
    </row>
    <row r="33" spans="2:20">
      <c r="B33" s="836"/>
      <c r="C33" s="837"/>
      <c r="D33" s="839" t="s">
        <v>59</v>
      </c>
      <c r="E33" s="137"/>
      <c r="F33" s="314">
        <v>0</v>
      </c>
      <c r="G33" s="314">
        <f>F33</f>
        <v>0</v>
      </c>
      <c r="H33" s="314">
        <f t="shared" ref="H33:J35" si="2">G33</f>
        <v>0</v>
      </c>
      <c r="I33" s="314">
        <f t="shared" si="2"/>
        <v>0</v>
      </c>
      <c r="J33" s="314">
        <f t="shared" si="2"/>
        <v>0</v>
      </c>
      <c r="K33" s="553"/>
      <c r="L33" s="97"/>
      <c r="N33" s="251"/>
      <c r="P33" s="833"/>
      <c r="Q33" s="833"/>
      <c r="R33" s="833"/>
      <c r="S33" s="833"/>
      <c r="T33" s="833"/>
    </row>
    <row r="34" spans="2:20">
      <c r="B34" s="836"/>
      <c r="C34" s="837"/>
      <c r="D34" s="839" t="s">
        <v>60</v>
      </c>
      <c r="E34" s="137"/>
      <c r="F34" s="314">
        <v>0</v>
      </c>
      <c r="G34" s="314">
        <f>F34</f>
        <v>0</v>
      </c>
      <c r="H34" s="314">
        <f t="shared" si="2"/>
        <v>0</v>
      </c>
      <c r="I34" s="314">
        <f t="shared" si="2"/>
        <v>0</v>
      </c>
      <c r="J34" s="314">
        <f t="shared" si="2"/>
        <v>0</v>
      </c>
      <c r="K34" s="553"/>
      <c r="L34" s="97"/>
      <c r="N34" s="251"/>
      <c r="P34" s="833"/>
      <c r="Q34" s="833"/>
      <c r="R34" s="833"/>
      <c r="S34" s="833"/>
      <c r="T34" s="833"/>
    </row>
    <row r="35" spans="2:20">
      <c r="B35" s="836"/>
      <c r="C35" s="837"/>
      <c r="D35" s="839" t="s">
        <v>77</v>
      </c>
      <c r="E35" s="137"/>
      <c r="F35" s="314">
        <v>0</v>
      </c>
      <c r="G35" s="314">
        <f>F35</f>
        <v>0</v>
      </c>
      <c r="H35" s="314">
        <f t="shared" si="2"/>
        <v>0</v>
      </c>
      <c r="I35" s="314">
        <f t="shared" si="2"/>
        <v>0</v>
      </c>
      <c r="J35" s="314">
        <f t="shared" si="2"/>
        <v>0</v>
      </c>
      <c r="K35" s="553"/>
      <c r="L35" s="97"/>
      <c r="N35" s="251"/>
      <c r="P35" s="833"/>
      <c r="Q35" s="833"/>
      <c r="R35" s="833"/>
      <c r="S35" s="833"/>
      <c r="T35" s="833"/>
    </row>
    <row r="36" spans="2:20">
      <c r="B36" s="92"/>
      <c r="C36" s="131"/>
      <c r="D36" s="138"/>
      <c r="E36" s="133"/>
      <c r="F36" s="783">
        <f>SUM(F32:F35)</f>
        <v>0</v>
      </c>
      <c r="G36" s="783">
        <f>SUM(G32:G35)</f>
        <v>3741185.7600000007</v>
      </c>
      <c r="H36" s="783">
        <f>SUM(H32:H35)</f>
        <v>7482371.5200000014</v>
      </c>
      <c r="I36" s="783">
        <f>SUM(I32:I35)</f>
        <v>11223557.280000001</v>
      </c>
      <c r="J36" s="783">
        <f>SUM(J32:J35)</f>
        <v>14964743.040000003</v>
      </c>
      <c r="K36" s="831"/>
      <c r="L36" s="97"/>
    </row>
    <row r="37" spans="2:20">
      <c r="B37" s="92"/>
      <c r="C37" s="131"/>
      <c r="D37" s="133" t="s">
        <v>413</v>
      </c>
      <c r="E37" s="133"/>
      <c r="F37" s="133"/>
      <c r="G37" s="133"/>
      <c r="H37" s="133"/>
      <c r="I37" s="133"/>
      <c r="J37" s="133"/>
      <c r="K37" s="136"/>
      <c r="L37" s="97"/>
    </row>
    <row r="38" spans="2:20">
      <c r="B38" s="92"/>
      <c r="C38" s="131"/>
      <c r="D38" s="213" t="s">
        <v>453</v>
      </c>
      <c r="E38" s="133"/>
      <c r="F38" s="332">
        <f>mop!F19</f>
        <v>0</v>
      </c>
      <c r="G38" s="332">
        <f>mop!G19</f>
        <v>0</v>
      </c>
      <c r="H38" s="332">
        <f>mop!H19</f>
        <v>0</v>
      </c>
      <c r="I38" s="332">
        <f>mop!I19</f>
        <v>0</v>
      </c>
      <c r="J38" s="332">
        <f>mop!J19</f>
        <v>0</v>
      </c>
      <c r="K38" s="830"/>
      <c r="L38" s="97"/>
    </row>
    <row r="39" spans="2:20" s="402" customFormat="1">
      <c r="B39" s="487"/>
      <c r="C39" s="622"/>
      <c r="D39" s="213" t="s">
        <v>24</v>
      </c>
      <c r="E39" s="133"/>
      <c r="F39" s="314">
        <v>0</v>
      </c>
      <c r="G39" s="314">
        <f>F39+pers!J257-pers!J258</f>
        <v>0</v>
      </c>
      <c r="H39" s="314">
        <f>G39+pers!K257-pers!K258</f>
        <v>0</v>
      </c>
      <c r="I39" s="314">
        <f>H39+pers!L257-pers!L258</f>
        <v>0</v>
      </c>
      <c r="J39" s="314">
        <f>I39+pers!M257-pers!M258</f>
        <v>0</v>
      </c>
      <c r="K39" s="830"/>
      <c r="L39" s="740"/>
      <c r="M39" s="825"/>
    </row>
    <row r="40" spans="2:20" s="402" customFormat="1">
      <c r="B40" s="487"/>
      <c r="C40" s="622"/>
      <c r="D40" s="213" t="s">
        <v>169</v>
      </c>
      <c r="E40" s="133"/>
      <c r="F40" s="314">
        <v>0</v>
      </c>
      <c r="G40" s="314">
        <f>F40</f>
        <v>0</v>
      </c>
      <c r="H40" s="314">
        <f>G40</f>
        <v>0</v>
      </c>
      <c r="I40" s="314">
        <f>H40</f>
        <v>0</v>
      </c>
      <c r="J40" s="314">
        <f>I40</f>
        <v>0</v>
      </c>
      <c r="K40" s="830"/>
      <c r="L40" s="740"/>
      <c r="M40" s="825"/>
    </row>
    <row r="41" spans="2:20">
      <c r="B41" s="92"/>
      <c r="C41" s="131"/>
      <c r="D41" s="138"/>
      <c r="E41" s="133"/>
      <c r="F41" s="783">
        <f>SUM(F38:F40)</f>
        <v>0</v>
      </c>
      <c r="G41" s="783">
        <f>SUM(G38:G40)</f>
        <v>0</v>
      </c>
      <c r="H41" s="783">
        <f>SUM(H38:H40)</f>
        <v>0</v>
      </c>
      <c r="I41" s="783">
        <f>SUM(I38:I40)</f>
        <v>0</v>
      </c>
      <c r="J41" s="783">
        <f>SUM(J38:J40)</f>
        <v>0</v>
      </c>
      <c r="K41" s="831"/>
      <c r="L41" s="97"/>
    </row>
    <row r="42" spans="2:20">
      <c r="B42" s="92"/>
      <c r="C42" s="131"/>
      <c r="D42" s="133" t="s">
        <v>409</v>
      </c>
      <c r="E42" s="133"/>
      <c r="F42" s="133"/>
      <c r="G42" s="328"/>
      <c r="H42" s="328"/>
      <c r="I42" s="328"/>
      <c r="J42" s="328"/>
      <c r="K42" s="830"/>
      <c r="L42" s="97"/>
    </row>
    <row r="43" spans="2:20">
      <c r="B43" s="92"/>
      <c r="C43" s="131"/>
      <c r="D43" s="213" t="s">
        <v>416</v>
      </c>
      <c r="E43" s="133"/>
      <c r="F43" s="314">
        <v>0</v>
      </c>
      <c r="G43" s="314">
        <f>F43</f>
        <v>0</v>
      </c>
      <c r="H43" s="314">
        <f t="shared" ref="H43:J44" si="3">G43</f>
        <v>0</v>
      </c>
      <c r="I43" s="314">
        <f t="shared" si="3"/>
        <v>0</v>
      </c>
      <c r="J43" s="314">
        <f t="shared" si="3"/>
        <v>0</v>
      </c>
      <c r="K43" s="830"/>
      <c r="L43" s="97"/>
    </row>
    <row r="44" spans="2:20">
      <c r="B44" s="92"/>
      <c r="C44" s="131"/>
      <c r="D44" s="213" t="s">
        <v>417</v>
      </c>
      <c r="E44" s="133"/>
      <c r="F44" s="314">
        <v>0</v>
      </c>
      <c r="G44" s="314">
        <f>F44</f>
        <v>0</v>
      </c>
      <c r="H44" s="314">
        <f t="shared" si="3"/>
        <v>0</v>
      </c>
      <c r="I44" s="314">
        <f t="shared" si="3"/>
        <v>0</v>
      </c>
      <c r="J44" s="314">
        <f t="shared" si="3"/>
        <v>0</v>
      </c>
      <c r="K44" s="830"/>
      <c r="L44" s="97"/>
    </row>
    <row r="45" spans="2:20">
      <c r="B45" s="92"/>
      <c r="C45" s="131"/>
      <c r="D45" s="319"/>
      <c r="E45" s="133"/>
      <c r="F45" s="783">
        <f>SUM(F43:F44)</f>
        <v>0</v>
      </c>
      <c r="G45" s="783">
        <f>SUM(G43:G44)</f>
        <v>0</v>
      </c>
      <c r="H45" s="783">
        <f>SUM(H43:H44)</f>
        <v>0</v>
      </c>
      <c r="I45" s="783">
        <f>SUM(I43:I44)</f>
        <v>0</v>
      </c>
      <c r="J45" s="783">
        <f>SUM(J43:J44)</f>
        <v>0</v>
      </c>
      <c r="K45" s="831"/>
      <c r="L45" s="97"/>
    </row>
    <row r="46" spans="2:20">
      <c r="B46" s="92"/>
      <c r="C46" s="131"/>
      <c r="D46" s="133" t="s">
        <v>410</v>
      </c>
      <c r="E46" s="133"/>
      <c r="F46" s="133"/>
      <c r="G46" s="328"/>
      <c r="H46" s="328"/>
      <c r="I46" s="328"/>
      <c r="J46" s="328"/>
      <c r="K46" s="830"/>
      <c r="L46" s="97"/>
    </row>
    <row r="47" spans="2:20">
      <c r="B47" s="92"/>
      <c r="C47" s="131"/>
      <c r="D47" s="213" t="s">
        <v>416</v>
      </c>
      <c r="E47" s="133"/>
      <c r="F47" s="314">
        <v>0</v>
      </c>
      <c r="G47" s="314">
        <f t="shared" ref="G47:G53" si="4">F47</f>
        <v>0</v>
      </c>
      <c r="H47" s="314">
        <f>G47</f>
        <v>0</v>
      </c>
      <c r="I47" s="314">
        <f t="shared" ref="I47:J53" si="5">H47</f>
        <v>0</v>
      </c>
      <c r="J47" s="314">
        <f t="shared" si="5"/>
        <v>0</v>
      </c>
      <c r="K47" s="830"/>
      <c r="L47" s="97"/>
    </row>
    <row r="48" spans="2:20">
      <c r="B48" s="92"/>
      <c r="C48" s="131"/>
      <c r="D48" s="213" t="s">
        <v>411</v>
      </c>
      <c r="E48" s="133"/>
      <c r="F48" s="314">
        <v>0</v>
      </c>
      <c r="G48" s="314">
        <f t="shared" si="4"/>
        <v>0</v>
      </c>
      <c r="H48" s="314">
        <f t="shared" ref="H48:H53" si="6">G48</f>
        <v>0</v>
      </c>
      <c r="I48" s="314">
        <f t="shared" si="5"/>
        <v>0</v>
      </c>
      <c r="J48" s="314">
        <f t="shared" si="5"/>
        <v>0</v>
      </c>
      <c r="K48" s="830"/>
      <c r="L48" s="97"/>
    </row>
    <row r="49" spans="2:12">
      <c r="B49" s="92"/>
      <c r="C49" s="131"/>
      <c r="D49" s="213" t="s">
        <v>415</v>
      </c>
      <c r="E49" s="133"/>
      <c r="F49" s="314">
        <v>0</v>
      </c>
      <c r="G49" s="314">
        <f t="shared" si="4"/>
        <v>0</v>
      </c>
      <c r="H49" s="314">
        <f t="shared" si="6"/>
        <v>0</v>
      </c>
      <c r="I49" s="314">
        <f t="shared" si="5"/>
        <v>0</v>
      </c>
      <c r="J49" s="314">
        <f t="shared" si="5"/>
        <v>0</v>
      </c>
      <c r="K49" s="830"/>
      <c r="L49" s="97"/>
    </row>
    <row r="50" spans="2:12">
      <c r="B50" s="92"/>
      <c r="C50" s="131"/>
      <c r="D50" s="213" t="s">
        <v>418</v>
      </c>
      <c r="E50" s="133"/>
      <c r="F50" s="314">
        <v>0</v>
      </c>
      <c r="G50" s="314">
        <f t="shared" si="4"/>
        <v>0</v>
      </c>
      <c r="H50" s="314">
        <f>G50</f>
        <v>0</v>
      </c>
      <c r="I50" s="314">
        <f t="shared" si="5"/>
        <v>0</v>
      </c>
      <c r="J50" s="314">
        <f t="shared" si="5"/>
        <v>0</v>
      </c>
      <c r="K50" s="830"/>
      <c r="L50" s="97"/>
    </row>
    <row r="51" spans="2:12">
      <c r="B51" s="92"/>
      <c r="C51" s="131"/>
      <c r="D51" s="213" t="s">
        <v>419</v>
      </c>
      <c r="E51" s="133"/>
      <c r="F51" s="314">
        <v>0</v>
      </c>
      <c r="G51" s="314">
        <f t="shared" si="4"/>
        <v>0</v>
      </c>
      <c r="H51" s="314">
        <f t="shared" si="6"/>
        <v>0</v>
      </c>
      <c r="I51" s="314">
        <f t="shared" si="5"/>
        <v>0</v>
      </c>
      <c r="J51" s="314">
        <f t="shared" si="5"/>
        <v>0</v>
      </c>
      <c r="K51" s="830"/>
      <c r="L51" s="97"/>
    </row>
    <row r="52" spans="2:12">
      <c r="B52" s="92"/>
      <c r="C52" s="131"/>
      <c r="D52" s="213" t="s">
        <v>420</v>
      </c>
      <c r="E52" s="133"/>
      <c r="F52" s="314">
        <v>0</v>
      </c>
      <c r="G52" s="314">
        <f t="shared" si="4"/>
        <v>0</v>
      </c>
      <c r="H52" s="314">
        <f t="shared" si="6"/>
        <v>0</v>
      </c>
      <c r="I52" s="314">
        <f t="shared" si="5"/>
        <v>0</v>
      </c>
      <c r="J52" s="314">
        <f t="shared" si="5"/>
        <v>0</v>
      </c>
      <c r="K52" s="830"/>
      <c r="L52" s="97"/>
    </row>
    <row r="53" spans="2:12">
      <c r="B53" s="92"/>
      <c r="C53" s="131"/>
      <c r="D53" s="213" t="s">
        <v>421</v>
      </c>
      <c r="E53" s="133"/>
      <c r="F53" s="314">
        <v>0</v>
      </c>
      <c r="G53" s="314">
        <f t="shared" si="4"/>
        <v>0</v>
      </c>
      <c r="H53" s="314">
        <f t="shared" si="6"/>
        <v>0</v>
      </c>
      <c r="I53" s="314">
        <f t="shared" si="5"/>
        <v>0</v>
      </c>
      <c r="J53" s="314">
        <f t="shared" si="5"/>
        <v>0</v>
      </c>
      <c r="K53" s="830"/>
      <c r="L53" s="97"/>
    </row>
    <row r="54" spans="2:12">
      <c r="B54" s="92"/>
      <c r="C54" s="131"/>
      <c r="D54" s="319"/>
      <c r="E54" s="133"/>
      <c r="F54" s="783">
        <f>SUM(F47:F53)</f>
        <v>0</v>
      </c>
      <c r="G54" s="783">
        <f>SUM(G47:G53)</f>
        <v>0</v>
      </c>
      <c r="H54" s="783">
        <f>SUM(H47:H53)</f>
        <v>0</v>
      </c>
      <c r="I54" s="783">
        <f>SUM(I47:I53)</f>
        <v>0</v>
      </c>
      <c r="J54" s="783">
        <f>SUM(J47:J53)</f>
        <v>0</v>
      </c>
      <c r="K54" s="831"/>
      <c r="L54" s="97"/>
    </row>
    <row r="55" spans="2:12">
      <c r="B55" s="92"/>
      <c r="C55" s="131"/>
      <c r="D55" s="133"/>
      <c r="E55" s="133"/>
      <c r="F55" s="133"/>
      <c r="G55" s="133"/>
      <c r="H55" s="133"/>
      <c r="I55" s="133"/>
      <c r="J55" s="133"/>
      <c r="K55" s="136"/>
      <c r="L55" s="97"/>
    </row>
    <row r="56" spans="2:12">
      <c r="B56" s="92"/>
      <c r="C56" s="131"/>
      <c r="D56" s="239" t="s">
        <v>66</v>
      </c>
      <c r="E56" s="133"/>
      <c r="F56" s="245">
        <f>F36+F41+F45+F54</f>
        <v>0</v>
      </c>
      <c r="G56" s="245">
        <f>G36+G41+G45+G54</f>
        <v>3741185.7600000007</v>
      </c>
      <c r="H56" s="245">
        <f>H36+H41+H45+H54</f>
        <v>7482371.5200000014</v>
      </c>
      <c r="I56" s="245">
        <f>I36+I41+I45+I54</f>
        <v>11223557.280000001</v>
      </c>
      <c r="J56" s="245">
        <f>J36+J41+J45+J54</f>
        <v>14964743.040000003</v>
      </c>
      <c r="K56" s="831"/>
      <c r="L56" s="97"/>
    </row>
    <row r="57" spans="2:12">
      <c r="B57" s="92"/>
      <c r="C57" s="141"/>
      <c r="D57" s="840"/>
      <c r="E57" s="144"/>
      <c r="F57" s="841"/>
      <c r="G57" s="841"/>
      <c r="H57" s="841"/>
      <c r="I57" s="841"/>
      <c r="J57" s="841"/>
      <c r="K57" s="842"/>
      <c r="L57" s="97"/>
    </row>
    <row r="58" spans="2:12">
      <c r="B58" s="92"/>
      <c r="C58" s="93"/>
      <c r="D58" s="277"/>
      <c r="E58" s="93"/>
      <c r="F58" s="500"/>
      <c r="G58" s="500"/>
      <c r="H58" s="500"/>
      <c r="I58" s="500"/>
      <c r="J58" s="500"/>
      <c r="K58" s="500"/>
      <c r="L58" s="97"/>
    </row>
    <row r="59" spans="2:12" ht="15">
      <c r="B59" s="113"/>
      <c r="C59" s="114"/>
      <c r="D59" s="115"/>
      <c r="E59" s="114"/>
      <c r="F59" s="114"/>
      <c r="G59" s="843"/>
      <c r="H59" s="843"/>
      <c r="I59" s="843"/>
      <c r="J59" s="843"/>
      <c r="K59" s="119" t="s">
        <v>555</v>
      </c>
      <c r="L59" s="120"/>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&amp;L&amp;"Arial,Vet"keizer / goedhart&amp;C&amp;"Arial,Vet"&amp;D&amp;R&amp;"Arial,Vet"pagina &amp;P</oddFooter>
  </headerFooter>
  <drawing r:id="rId2"/>
</worksheet>
</file>

<file path=xl/worksheets/sheet15.xml><?xml version="1.0" encoding="utf-8"?>
<worksheet xmlns="http://schemas.openxmlformats.org/spreadsheetml/2006/main" xmlns:r="http://schemas.openxmlformats.org/officeDocument/2006/relationships">
  <dimension ref="B1:L55"/>
  <sheetViews>
    <sheetView zoomScale="85" zoomScaleNormal="85" workbookViewId="0">
      <pane ySplit="9" topLeftCell="A34" activePane="bottomLeft" state="frozen"/>
      <selection activeCell="B2" sqref="B2"/>
      <selection pane="bottomLeft" activeCell="B2" sqref="B2"/>
    </sheetView>
  </sheetViews>
  <sheetFormatPr defaultRowHeight="12.75"/>
  <cols>
    <col min="1" max="1" width="3.7109375" style="844" customWidth="1"/>
    <col min="2" max="3" width="2.7109375" style="844" customWidth="1"/>
    <col min="4" max="4" width="45.7109375" style="844" customWidth="1"/>
    <col min="5" max="5" width="2.7109375" style="845" customWidth="1"/>
    <col min="6" max="9" width="16.85546875" style="845" customWidth="1"/>
    <col min="10" max="10" width="2.7109375" style="845" customWidth="1"/>
    <col min="11" max="11" width="2.7109375" style="844" customWidth="1"/>
    <col min="12" max="12" width="2.7109375" style="846" customWidth="1"/>
    <col min="13" max="13" width="2.7109375" style="844" customWidth="1"/>
    <col min="14" max="14" width="2.5703125" style="844" customWidth="1"/>
    <col min="15" max="19" width="10.7109375" style="844" customWidth="1"/>
    <col min="20" max="20" width="2.7109375" style="844" customWidth="1"/>
    <col min="21" max="16384" width="9.140625" style="844"/>
  </cols>
  <sheetData>
    <row r="1" spans="2:12" ht="12.75" customHeight="1"/>
    <row r="2" spans="2:12">
      <c r="B2" s="87" t="s">
        <v>199</v>
      </c>
      <c r="C2" s="88"/>
      <c r="D2" s="88"/>
      <c r="E2" s="90"/>
      <c r="F2" s="90"/>
      <c r="G2" s="90"/>
      <c r="H2" s="90"/>
      <c r="I2" s="90"/>
      <c r="J2" s="90"/>
      <c r="K2" s="91"/>
    </row>
    <row r="3" spans="2:12">
      <c r="B3" s="92"/>
      <c r="C3" s="93"/>
      <c r="D3" s="93"/>
      <c r="E3" s="95"/>
      <c r="F3" s="95"/>
      <c r="G3" s="95"/>
      <c r="H3" s="95"/>
      <c r="I3" s="95"/>
      <c r="J3" s="95"/>
      <c r="K3" s="97"/>
    </row>
    <row r="4" spans="2:12" s="847" customFormat="1" ht="18.75">
      <c r="B4" s="823"/>
      <c r="C4" s="304" t="s">
        <v>445</v>
      </c>
      <c r="D4" s="729"/>
      <c r="E4" s="824"/>
      <c r="F4" s="259"/>
      <c r="G4" s="824"/>
      <c r="H4" s="824"/>
      <c r="I4" s="824"/>
      <c r="J4" s="824"/>
      <c r="K4" s="740"/>
      <c r="L4" s="848"/>
    </row>
    <row r="5" spans="2:12" s="849" customFormat="1" ht="18.75">
      <c r="B5" s="850"/>
      <c r="C5" s="260" t="str">
        <f>geg!I12</f>
        <v>De speciale school</v>
      </c>
      <c r="D5" s="735"/>
      <c r="E5" s="851"/>
      <c r="F5" s="303"/>
      <c r="G5" s="851"/>
      <c r="H5" s="851"/>
      <c r="I5" s="851"/>
      <c r="J5" s="851"/>
      <c r="K5" s="852"/>
      <c r="L5" s="853"/>
    </row>
    <row r="6" spans="2:12">
      <c r="B6" s="836"/>
      <c r="C6" s="854"/>
      <c r="D6" s="93"/>
      <c r="E6" s="95"/>
      <c r="F6" s="95"/>
      <c r="G6" s="95"/>
      <c r="H6" s="95"/>
      <c r="I6" s="95"/>
      <c r="J6" s="95"/>
      <c r="K6" s="97"/>
    </row>
    <row r="7" spans="2:12">
      <c r="B7" s="836"/>
      <c r="C7" s="854"/>
      <c r="D7" s="93"/>
      <c r="E7" s="95"/>
      <c r="F7" s="95"/>
      <c r="G7" s="95"/>
      <c r="H7" s="95"/>
      <c r="I7" s="95"/>
      <c r="J7" s="95"/>
      <c r="K7" s="97"/>
    </row>
    <row r="8" spans="2:12" s="847" customFormat="1">
      <c r="B8" s="737"/>
      <c r="C8" s="738"/>
      <c r="D8" s="772"/>
      <c r="E8" s="108"/>
      <c r="F8" s="164">
        <f>tab!E4</f>
        <v>2013</v>
      </c>
      <c r="G8" s="164">
        <f>tab!F4</f>
        <v>2014</v>
      </c>
      <c r="H8" s="164">
        <f>tab!G4</f>
        <v>2015</v>
      </c>
      <c r="I8" s="164">
        <f>tab!H4</f>
        <v>2016</v>
      </c>
      <c r="J8" s="108"/>
      <c r="K8" s="740"/>
      <c r="L8" s="848"/>
    </row>
    <row r="9" spans="2:12">
      <c r="B9" s="785"/>
      <c r="C9" s="110"/>
      <c r="D9" s="272"/>
      <c r="E9" s="276"/>
      <c r="F9" s="276"/>
      <c r="G9" s="276"/>
      <c r="H9" s="276"/>
      <c r="I9" s="276"/>
      <c r="J9" s="276"/>
      <c r="K9" s="97"/>
    </row>
    <row r="10" spans="2:12">
      <c r="B10" s="92"/>
      <c r="C10" s="124"/>
      <c r="D10" s="127"/>
      <c r="E10" s="129"/>
      <c r="F10" s="129"/>
      <c r="G10" s="129"/>
      <c r="H10" s="129"/>
      <c r="I10" s="129"/>
      <c r="J10" s="855"/>
      <c r="K10" s="97"/>
    </row>
    <row r="11" spans="2:12" s="856" customFormat="1">
      <c r="B11" s="785"/>
      <c r="C11" s="786"/>
      <c r="D11" s="174" t="s">
        <v>377</v>
      </c>
      <c r="E11" s="139"/>
      <c r="F11" s="245">
        <f>bal!F22</f>
        <v>0</v>
      </c>
      <c r="G11" s="245">
        <f>bal!G22</f>
        <v>3741185.7600000007</v>
      </c>
      <c r="H11" s="245">
        <f>bal!H22</f>
        <v>7482371.5200000014</v>
      </c>
      <c r="I11" s="245">
        <f>bal!I22</f>
        <v>11223557.280000001</v>
      </c>
      <c r="J11" s="857"/>
      <c r="K11" s="280"/>
      <c r="L11" s="858"/>
    </row>
    <row r="12" spans="2:12">
      <c r="B12" s="92"/>
      <c r="C12" s="141"/>
      <c r="D12" s="859"/>
      <c r="E12" s="146"/>
      <c r="F12" s="146"/>
      <c r="G12" s="146"/>
      <c r="H12" s="146"/>
      <c r="I12" s="146"/>
      <c r="J12" s="832"/>
      <c r="K12" s="97"/>
    </row>
    <row r="13" spans="2:12">
      <c r="B13" s="92"/>
      <c r="C13" s="93"/>
      <c r="D13" s="93"/>
      <c r="E13" s="95"/>
      <c r="F13" s="95"/>
      <c r="G13" s="95"/>
      <c r="H13" s="95"/>
      <c r="I13" s="95"/>
      <c r="J13" s="95"/>
      <c r="K13" s="97"/>
    </row>
    <row r="14" spans="2:12">
      <c r="B14" s="92"/>
      <c r="C14" s="124"/>
      <c r="D14" s="127"/>
      <c r="E14" s="129"/>
      <c r="F14" s="129"/>
      <c r="G14" s="129"/>
      <c r="H14" s="129"/>
      <c r="I14" s="129"/>
      <c r="J14" s="855"/>
      <c r="K14" s="97"/>
    </row>
    <row r="15" spans="2:12">
      <c r="B15" s="92"/>
      <c r="C15" s="131"/>
      <c r="D15" s="174" t="s">
        <v>435</v>
      </c>
      <c r="E15" s="135"/>
      <c r="F15" s="135"/>
      <c r="G15" s="135"/>
      <c r="H15" s="135"/>
      <c r="I15" s="135"/>
      <c r="J15" s="553"/>
      <c r="K15" s="97"/>
    </row>
    <row r="16" spans="2:12">
      <c r="B16" s="92"/>
      <c r="C16" s="131"/>
      <c r="D16" s="138"/>
      <c r="E16" s="135"/>
      <c r="F16" s="135"/>
      <c r="G16" s="135"/>
      <c r="H16" s="135"/>
      <c r="I16" s="135"/>
      <c r="J16" s="553"/>
      <c r="K16" s="97"/>
    </row>
    <row r="17" spans="2:11">
      <c r="B17" s="92"/>
      <c r="C17" s="131"/>
      <c r="D17" s="133" t="s">
        <v>25</v>
      </c>
      <c r="E17" s="135"/>
      <c r="F17" s="803">
        <f>begr!F42</f>
        <v>3741185.7600000007</v>
      </c>
      <c r="G17" s="803">
        <f>begr!G42</f>
        <v>3741185.7600000007</v>
      </c>
      <c r="H17" s="803">
        <f>begr!H42</f>
        <v>3741185.7600000007</v>
      </c>
      <c r="I17" s="803">
        <f>begr!I42</f>
        <v>3741185.7600000007</v>
      </c>
      <c r="J17" s="553"/>
      <c r="K17" s="97"/>
    </row>
    <row r="18" spans="2:11">
      <c r="B18" s="92"/>
      <c r="C18" s="131"/>
      <c r="D18" s="133"/>
      <c r="E18" s="135"/>
      <c r="F18" s="135"/>
      <c r="G18" s="135"/>
      <c r="H18" s="135"/>
      <c r="I18" s="135"/>
      <c r="J18" s="553"/>
      <c r="K18" s="97"/>
    </row>
    <row r="19" spans="2:11">
      <c r="B19" s="92"/>
      <c r="C19" s="131"/>
      <c r="D19" s="133" t="s">
        <v>237</v>
      </c>
      <c r="E19" s="135"/>
      <c r="F19" s="332">
        <f>act!G50</f>
        <v>0</v>
      </c>
      <c r="G19" s="332">
        <f>act!H50</f>
        <v>0</v>
      </c>
      <c r="H19" s="332">
        <f>act!I50</f>
        <v>0</v>
      </c>
      <c r="I19" s="332">
        <f>act!J50</f>
        <v>0</v>
      </c>
      <c r="J19" s="553"/>
      <c r="K19" s="97"/>
    </row>
    <row r="20" spans="2:11">
      <c r="B20" s="92"/>
      <c r="C20" s="131"/>
      <c r="D20" s="133"/>
      <c r="E20" s="135"/>
      <c r="F20" s="328"/>
      <c r="G20" s="328"/>
      <c r="H20" s="328"/>
      <c r="I20" s="328"/>
      <c r="J20" s="553"/>
      <c r="K20" s="97"/>
    </row>
    <row r="21" spans="2:11">
      <c r="B21" s="92"/>
      <c r="C21" s="131"/>
      <c r="D21" s="860" t="s">
        <v>436</v>
      </c>
      <c r="E21" s="135"/>
      <c r="F21" s="328"/>
      <c r="G21" s="328"/>
      <c r="H21" s="328"/>
      <c r="I21" s="328"/>
      <c r="J21" s="553"/>
      <c r="K21" s="97"/>
    </row>
    <row r="22" spans="2:11">
      <c r="B22" s="92"/>
      <c r="C22" s="131"/>
      <c r="D22" s="133" t="s">
        <v>438</v>
      </c>
      <c r="E22" s="135"/>
      <c r="F22" s="332">
        <f>bal!F19-bal!G19</f>
        <v>0</v>
      </c>
      <c r="G22" s="332">
        <f>bal!G19-bal!H19</f>
        <v>0</v>
      </c>
      <c r="H22" s="332">
        <f>bal!H19-bal!I19</f>
        <v>0</v>
      </c>
      <c r="I22" s="332">
        <f>bal!I19-bal!J19</f>
        <v>0</v>
      </c>
      <c r="J22" s="553"/>
      <c r="K22" s="97"/>
    </row>
    <row r="23" spans="2:11">
      <c r="B23" s="92"/>
      <c r="C23" s="131"/>
      <c r="D23" s="133" t="s">
        <v>437</v>
      </c>
      <c r="E23" s="135"/>
      <c r="F23" s="332">
        <f>bal!F20-bal!G20</f>
        <v>0</v>
      </c>
      <c r="G23" s="332">
        <f>bal!G20-bal!H20</f>
        <v>0</v>
      </c>
      <c r="H23" s="332">
        <f>bal!H20-bal!I20</f>
        <v>0</v>
      </c>
      <c r="I23" s="332">
        <f>bal!I20-bal!J20</f>
        <v>0</v>
      </c>
      <c r="J23" s="553"/>
      <c r="K23" s="97"/>
    </row>
    <row r="24" spans="2:11">
      <c r="B24" s="92"/>
      <c r="C24" s="131"/>
      <c r="D24" s="133" t="s">
        <v>439</v>
      </c>
      <c r="E24" s="135"/>
      <c r="F24" s="332">
        <f>bal!F21-bal!G21</f>
        <v>0</v>
      </c>
      <c r="G24" s="332">
        <f>bal!G21-bal!H21</f>
        <v>0</v>
      </c>
      <c r="H24" s="332">
        <f>bal!H21-bal!I21</f>
        <v>0</v>
      </c>
      <c r="I24" s="332">
        <f>bal!I21-bal!J21</f>
        <v>0</v>
      </c>
      <c r="J24" s="553"/>
      <c r="K24" s="97"/>
    </row>
    <row r="25" spans="2:11">
      <c r="B25" s="92"/>
      <c r="C25" s="131"/>
      <c r="D25" s="133" t="s">
        <v>440</v>
      </c>
      <c r="E25" s="135"/>
      <c r="F25" s="332">
        <f>bal!G54-bal!F54</f>
        <v>0</v>
      </c>
      <c r="G25" s="332">
        <f>bal!H54-bal!G54</f>
        <v>0</v>
      </c>
      <c r="H25" s="332">
        <f>bal!I54-bal!H54</f>
        <v>0</v>
      </c>
      <c r="I25" s="332">
        <f>bal!J54-bal!I54</f>
        <v>0</v>
      </c>
      <c r="J25" s="553"/>
      <c r="K25" s="97"/>
    </row>
    <row r="26" spans="2:11">
      <c r="B26" s="92"/>
      <c r="C26" s="131"/>
      <c r="D26" s="133"/>
      <c r="E26" s="135"/>
      <c r="F26" s="783">
        <f>SUM(F22:F25)</f>
        <v>0</v>
      </c>
      <c r="G26" s="783">
        <f>SUM(G22:G25)</f>
        <v>0</v>
      </c>
      <c r="H26" s="783">
        <f>SUM(H22:H25)</f>
        <v>0</v>
      </c>
      <c r="I26" s="783">
        <f>SUM(I22:I25)</f>
        <v>0</v>
      </c>
      <c r="J26" s="553"/>
      <c r="K26" s="97"/>
    </row>
    <row r="27" spans="2:11">
      <c r="B27" s="92"/>
      <c r="C27" s="131"/>
      <c r="D27" s="861"/>
      <c r="E27" s="135"/>
      <c r="F27" s="328"/>
      <c r="G27" s="328"/>
      <c r="H27" s="328"/>
      <c r="I27" s="328"/>
      <c r="J27" s="553"/>
      <c r="K27" s="97"/>
    </row>
    <row r="28" spans="2:11">
      <c r="B28" s="92"/>
      <c r="C28" s="131"/>
      <c r="D28" s="133" t="s">
        <v>443</v>
      </c>
      <c r="E28" s="135"/>
      <c r="F28" s="332">
        <f>bal!G41-bal!F41</f>
        <v>0</v>
      </c>
      <c r="G28" s="332">
        <f>bal!H41-bal!G41</f>
        <v>0</v>
      </c>
      <c r="H28" s="332">
        <f>bal!I41-bal!H41</f>
        <v>0</v>
      </c>
      <c r="I28" s="332">
        <f>bal!J41-bal!I41</f>
        <v>0</v>
      </c>
      <c r="J28" s="553"/>
      <c r="K28" s="97"/>
    </row>
    <row r="29" spans="2:11">
      <c r="B29" s="92"/>
      <c r="C29" s="131"/>
      <c r="D29" s="133"/>
      <c r="E29" s="135"/>
      <c r="F29" s="328"/>
      <c r="G29" s="328"/>
      <c r="H29" s="328"/>
      <c r="I29" s="328"/>
      <c r="J29" s="553"/>
      <c r="K29" s="97"/>
    </row>
    <row r="30" spans="2:11">
      <c r="B30" s="92"/>
      <c r="C30" s="131"/>
      <c r="D30" s="138" t="s">
        <v>391</v>
      </c>
      <c r="E30" s="135"/>
      <c r="F30" s="245">
        <f>F17+F19+F26+F28</f>
        <v>3741185.7600000007</v>
      </c>
      <c r="G30" s="245">
        <f>G17+G19+G26+G28</f>
        <v>3741185.7600000007</v>
      </c>
      <c r="H30" s="245">
        <f>H17+H19+H26+H28</f>
        <v>3741185.7600000007</v>
      </c>
      <c r="I30" s="245">
        <f>I17+I19+I26+I28</f>
        <v>3741185.7600000007</v>
      </c>
      <c r="J30" s="553"/>
      <c r="K30" s="97"/>
    </row>
    <row r="31" spans="2:11">
      <c r="B31" s="92"/>
      <c r="C31" s="131"/>
      <c r="D31" s="133"/>
      <c r="E31" s="135"/>
      <c r="F31" s="328"/>
      <c r="G31" s="328"/>
      <c r="H31" s="328"/>
      <c r="I31" s="328"/>
      <c r="J31" s="553"/>
      <c r="K31" s="97"/>
    </row>
    <row r="32" spans="2:11">
      <c r="B32" s="92"/>
      <c r="C32" s="93"/>
      <c r="D32" s="93"/>
      <c r="E32" s="95"/>
      <c r="F32" s="95"/>
      <c r="G32" s="95"/>
      <c r="H32" s="95"/>
      <c r="I32" s="95"/>
      <c r="J32" s="95"/>
      <c r="K32" s="97"/>
    </row>
    <row r="33" spans="2:11">
      <c r="B33" s="92"/>
      <c r="C33" s="131"/>
      <c r="D33" s="133"/>
      <c r="E33" s="135"/>
      <c r="F33" s="328"/>
      <c r="G33" s="328"/>
      <c r="H33" s="328"/>
      <c r="I33" s="328"/>
      <c r="J33" s="553"/>
      <c r="K33" s="97"/>
    </row>
    <row r="34" spans="2:11">
      <c r="B34" s="92"/>
      <c r="C34" s="131"/>
      <c r="D34" s="174" t="s">
        <v>441</v>
      </c>
      <c r="E34" s="135"/>
      <c r="F34" s="328"/>
      <c r="G34" s="328"/>
      <c r="H34" s="328"/>
      <c r="I34" s="328"/>
      <c r="J34" s="553"/>
      <c r="K34" s="97"/>
    </row>
    <row r="35" spans="2:11">
      <c r="B35" s="92"/>
      <c r="C35" s="131"/>
      <c r="D35" s="138"/>
      <c r="E35" s="135"/>
      <c r="F35" s="328"/>
      <c r="G35" s="328"/>
      <c r="H35" s="328"/>
      <c r="I35" s="328"/>
      <c r="J35" s="553"/>
      <c r="K35" s="97"/>
    </row>
    <row r="36" spans="2:11">
      <c r="B36" s="92"/>
      <c r="C36" s="131"/>
      <c r="D36" s="133" t="s">
        <v>446</v>
      </c>
      <c r="E36" s="135"/>
      <c r="F36" s="332">
        <f>bal!G15-bal!F15</f>
        <v>0</v>
      </c>
      <c r="G36" s="332">
        <f>bal!H15-bal!G15</f>
        <v>0</v>
      </c>
      <c r="H36" s="332">
        <f>bal!I15-bal!H15</f>
        <v>0</v>
      </c>
      <c r="I36" s="332">
        <f>bal!J15-bal!I15</f>
        <v>0</v>
      </c>
      <c r="J36" s="553"/>
      <c r="K36" s="97"/>
    </row>
    <row r="37" spans="2:11">
      <c r="B37" s="92"/>
      <c r="C37" s="131"/>
      <c r="D37" s="133" t="s">
        <v>447</v>
      </c>
      <c r="E37" s="135"/>
      <c r="F37" s="332">
        <f>act!G29</f>
        <v>0</v>
      </c>
      <c r="G37" s="332">
        <f>act!H29</f>
        <v>0</v>
      </c>
      <c r="H37" s="332">
        <f>act!I29</f>
        <v>0</v>
      </c>
      <c r="I37" s="332">
        <f>act!J29</f>
        <v>0</v>
      </c>
      <c r="J37" s="553"/>
      <c r="K37" s="97"/>
    </row>
    <row r="38" spans="2:11">
      <c r="B38" s="92"/>
      <c r="C38" s="131"/>
      <c r="D38" s="133" t="s">
        <v>448</v>
      </c>
      <c r="E38" s="135"/>
      <c r="F38" s="332">
        <f>bal!G16-bal!F16</f>
        <v>0</v>
      </c>
      <c r="G38" s="332">
        <f>bal!H16-bal!G16</f>
        <v>0</v>
      </c>
      <c r="H38" s="332">
        <f>bal!I16-bal!H16</f>
        <v>0</v>
      </c>
      <c r="I38" s="332">
        <f>bal!J16-bal!I16</f>
        <v>0</v>
      </c>
      <c r="J38" s="553"/>
      <c r="K38" s="97"/>
    </row>
    <row r="39" spans="2:11">
      <c r="B39" s="92"/>
      <c r="C39" s="131"/>
      <c r="D39" s="133"/>
      <c r="E39" s="135"/>
      <c r="F39" s="328"/>
      <c r="G39" s="328"/>
      <c r="H39" s="328"/>
      <c r="I39" s="328"/>
      <c r="J39" s="553"/>
      <c r="K39" s="97"/>
    </row>
    <row r="40" spans="2:11">
      <c r="B40" s="92"/>
      <c r="C40" s="131"/>
      <c r="D40" s="138" t="s">
        <v>391</v>
      </c>
      <c r="E40" s="135"/>
      <c r="F40" s="862">
        <f>SUM(F36:F38)</f>
        <v>0</v>
      </c>
      <c r="G40" s="862">
        <f>SUM(G36:G38)</f>
        <v>0</v>
      </c>
      <c r="H40" s="862">
        <f>SUM(H36:H38)</f>
        <v>0</v>
      </c>
      <c r="I40" s="862">
        <f>SUM(I36:I38)</f>
        <v>0</v>
      </c>
      <c r="J40" s="553"/>
      <c r="K40" s="97"/>
    </row>
    <row r="41" spans="2:11">
      <c r="B41" s="92"/>
      <c r="C41" s="131"/>
      <c r="D41" s="133"/>
      <c r="E41" s="135"/>
      <c r="F41" s="328"/>
      <c r="G41" s="328"/>
      <c r="H41" s="328"/>
      <c r="I41" s="328"/>
      <c r="J41" s="553"/>
      <c r="K41" s="97"/>
    </row>
    <row r="42" spans="2:11">
      <c r="B42" s="92"/>
      <c r="C42" s="93"/>
      <c r="D42" s="93"/>
      <c r="E42" s="95"/>
      <c r="F42" s="95"/>
      <c r="G42" s="95"/>
      <c r="H42" s="95"/>
      <c r="I42" s="95"/>
      <c r="J42" s="95"/>
      <c r="K42" s="97"/>
    </row>
    <row r="43" spans="2:11">
      <c r="B43" s="92"/>
      <c r="C43" s="131"/>
      <c r="D43" s="133"/>
      <c r="E43" s="135"/>
      <c r="F43" s="328"/>
      <c r="G43" s="328"/>
      <c r="H43" s="328"/>
      <c r="I43" s="328"/>
      <c r="J43" s="553"/>
      <c r="K43" s="97"/>
    </row>
    <row r="44" spans="2:11">
      <c r="B44" s="92"/>
      <c r="C44" s="131"/>
      <c r="D44" s="174" t="s">
        <v>444</v>
      </c>
      <c r="E44" s="135"/>
      <c r="F44" s="245">
        <f>bal!G45-bal!F45</f>
        <v>0</v>
      </c>
      <c r="G44" s="245">
        <f>bal!H45-bal!G45</f>
        <v>0</v>
      </c>
      <c r="H44" s="245">
        <f>bal!I45-bal!H45</f>
        <v>0</v>
      </c>
      <c r="I44" s="245">
        <f>bal!J45-bal!I45</f>
        <v>0</v>
      </c>
      <c r="J44" s="553"/>
      <c r="K44" s="97"/>
    </row>
    <row r="45" spans="2:11">
      <c r="B45" s="92"/>
      <c r="C45" s="131"/>
      <c r="D45" s="138"/>
      <c r="E45" s="135"/>
      <c r="F45" s="328"/>
      <c r="G45" s="328"/>
      <c r="H45" s="328"/>
      <c r="I45" s="328"/>
      <c r="J45" s="553"/>
      <c r="K45" s="97"/>
    </row>
    <row r="46" spans="2:11">
      <c r="B46" s="92"/>
      <c r="C46" s="93"/>
      <c r="D46" s="93"/>
      <c r="E46" s="95"/>
      <c r="F46" s="95"/>
      <c r="G46" s="95"/>
      <c r="H46" s="95"/>
      <c r="I46" s="95"/>
      <c r="J46" s="95"/>
      <c r="K46" s="97"/>
    </row>
    <row r="47" spans="2:11">
      <c r="B47" s="92"/>
      <c r="C47" s="131"/>
      <c r="D47" s="133"/>
      <c r="E47" s="135"/>
      <c r="F47" s="328"/>
      <c r="G47" s="328"/>
      <c r="H47" s="328"/>
      <c r="I47" s="328"/>
      <c r="J47" s="553"/>
      <c r="K47" s="97"/>
    </row>
    <row r="48" spans="2:11">
      <c r="B48" s="92"/>
      <c r="C48" s="131"/>
      <c r="D48" s="239" t="s">
        <v>422</v>
      </c>
      <c r="E48" s="135"/>
      <c r="F48" s="245">
        <f>ROUND((F30-F40+F44),0)</f>
        <v>3741186</v>
      </c>
      <c r="G48" s="245">
        <f>ROUND((G30-G40+G44),0)</f>
        <v>3741186</v>
      </c>
      <c r="H48" s="245">
        <f>ROUND((H30-H40+H44),0)</f>
        <v>3741186</v>
      </c>
      <c r="I48" s="245">
        <f>ROUND((I30-I40+I44),0)</f>
        <v>3741186</v>
      </c>
      <c r="J48" s="553"/>
      <c r="K48" s="97"/>
    </row>
    <row r="49" spans="2:12">
      <c r="B49" s="92"/>
      <c r="C49" s="131"/>
      <c r="D49" s="863" t="s">
        <v>378</v>
      </c>
      <c r="E49" s="864"/>
      <c r="F49" s="865">
        <f>ROUND((bal!G22-bal!F22),0)</f>
        <v>3741186</v>
      </c>
      <c r="G49" s="865">
        <f>ROUND((bal!H22-bal!G22),0)</f>
        <v>3741186</v>
      </c>
      <c r="H49" s="865">
        <f>ROUND((bal!I22-bal!H22),0)</f>
        <v>3741186</v>
      </c>
      <c r="I49" s="865">
        <f>ROUND((bal!J22-bal!I22),0)</f>
        <v>3741186</v>
      </c>
      <c r="J49" s="553"/>
      <c r="K49" s="97"/>
    </row>
    <row r="50" spans="2:12">
      <c r="B50" s="92"/>
      <c r="C50" s="131"/>
      <c r="D50" s="133"/>
      <c r="E50" s="135"/>
      <c r="F50" s="328"/>
      <c r="G50" s="328"/>
      <c r="H50" s="328"/>
      <c r="I50" s="328"/>
      <c r="J50" s="553"/>
      <c r="K50" s="97"/>
    </row>
    <row r="51" spans="2:12" s="856" customFormat="1">
      <c r="B51" s="785"/>
      <c r="C51" s="786"/>
      <c r="D51" s="174" t="s">
        <v>379</v>
      </c>
      <c r="E51" s="139"/>
      <c r="F51" s="344">
        <f>F11+F48</f>
        <v>3741186</v>
      </c>
      <c r="G51" s="245">
        <f>G48+F51</f>
        <v>7482372</v>
      </c>
      <c r="H51" s="245">
        <f>H48+G51</f>
        <v>11223558</v>
      </c>
      <c r="I51" s="245">
        <f>I48+H51</f>
        <v>14964744</v>
      </c>
      <c r="J51" s="857"/>
      <c r="K51" s="280"/>
      <c r="L51" s="858"/>
    </row>
    <row r="52" spans="2:12" s="856" customFormat="1">
      <c r="B52" s="785"/>
      <c r="C52" s="786"/>
      <c r="D52" s="866" t="s">
        <v>380</v>
      </c>
      <c r="E52" s="867"/>
      <c r="F52" s="868">
        <f>ken!F122</f>
        <v>0</v>
      </c>
      <c r="G52" s="869">
        <f>ken!G122</f>
        <v>0</v>
      </c>
      <c r="H52" s="869">
        <f>ken!H122</f>
        <v>0</v>
      </c>
      <c r="I52" s="869">
        <f>ken!I122</f>
        <v>0</v>
      </c>
      <c r="J52" s="857"/>
      <c r="K52" s="280"/>
      <c r="L52" s="858"/>
    </row>
    <row r="53" spans="2:12">
      <c r="B53" s="92"/>
      <c r="C53" s="141"/>
      <c r="D53" s="144"/>
      <c r="E53" s="146"/>
      <c r="F53" s="870"/>
      <c r="G53" s="870"/>
      <c r="H53" s="870"/>
      <c r="I53" s="870"/>
      <c r="J53" s="832"/>
      <c r="K53" s="97"/>
    </row>
    <row r="54" spans="2:12">
      <c r="B54" s="92"/>
      <c r="C54" s="93"/>
      <c r="D54" s="93"/>
      <c r="E54" s="95"/>
      <c r="F54" s="618"/>
      <c r="G54" s="618"/>
      <c r="H54" s="618"/>
      <c r="I54" s="618"/>
      <c r="J54" s="95"/>
      <c r="K54" s="97"/>
    </row>
    <row r="55" spans="2:12" ht="15">
      <c r="B55" s="113"/>
      <c r="C55" s="114"/>
      <c r="D55" s="114"/>
      <c r="E55" s="118"/>
      <c r="F55" s="497"/>
      <c r="G55" s="497"/>
      <c r="H55" s="497"/>
      <c r="I55" s="497"/>
      <c r="J55" s="119" t="s">
        <v>555</v>
      </c>
      <c r="K55" s="120"/>
    </row>
  </sheetData>
  <sheetProtection password="DFB1" sheet="1" objects="1" scenarios="1"/>
  <phoneticPr fontId="0" type="noConversion"/>
  <pageMargins left="0.74803149606299213" right="0.74803149606299213" top="0.98425196850393704" bottom="0.98425196850393704" header="0.51181102362204722" footer="0.51181102362204722"/>
  <pageSetup paperSize="9" scale="60" orientation="portrait" r:id="rId1"/>
  <headerFooter alignWithMargins="0">
    <oddHeader>&amp;L&amp;"Arial,Vet"&amp;F&amp;R&amp;"Arial,Vet"&amp;A</oddHeader>
    <oddFooter>&amp;L&amp;"Arial,Vet"keizer / goedhart&amp;C&amp;"Arial,Vet"&amp;D&amp;R&amp;"Arial,Vet"pagina &amp;P</oddFooter>
  </headerFooter>
  <drawing r:id="rId2"/>
</worksheet>
</file>

<file path=xl/worksheets/sheet16.xml><?xml version="1.0" encoding="utf-8"?>
<worksheet xmlns="http://schemas.openxmlformats.org/spreadsheetml/2006/main" xmlns:r="http://schemas.openxmlformats.org/officeDocument/2006/relationships">
  <dimension ref="B1:K217"/>
  <sheetViews>
    <sheetView zoomScale="85" zoomScaleNormal="85" zoomScaleSheetLayoutView="85" workbookViewId="0">
      <pane ySplit="8" topLeftCell="A9" activePane="bottomLeft" state="frozen"/>
      <selection activeCell="B2" sqref="B2"/>
      <selection pane="bottomLeft" activeCell="B2" sqref="B2"/>
    </sheetView>
  </sheetViews>
  <sheetFormatPr defaultRowHeight="12.75"/>
  <cols>
    <col min="1" max="1" width="3.7109375" style="68" customWidth="1"/>
    <col min="2" max="3" width="2.7109375" style="68" customWidth="1"/>
    <col min="4" max="4" width="45.7109375" style="379" customWidth="1"/>
    <col min="5" max="5" width="2.7109375" style="68" customWidth="1"/>
    <col min="6" max="9" width="14.85546875" style="224" customWidth="1"/>
    <col min="10" max="10" width="2.7109375" style="353" customWidth="1"/>
    <col min="11" max="11" width="2.7109375" style="68" customWidth="1"/>
    <col min="12" max="13" width="14.7109375" style="68" customWidth="1"/>
    <col min="14" max="16384" width="9.140625" style="68"/>
  </cols>
  <sheetData>
    <row r="1" spans="2:11" ht="12.75" customHeight="1"/>
    <row r="2" spans="2:11">
      <c r="B2" s="87"/>
      <c r="C2" s="88"/>
      <c r="D2" s="918"/>
      <c r="E2" s="88"/>
      <c r="F2" s="611"/>
      <c r="G2" s="611"/>
      <c r="H2" s="611"/>
      <c r="I2" s="611"/>
      <c r="J2" s="431"/>
      <c r="K2" s="91"/>
    </row>
    <row r="3" spans="2:11">
      <c r="B3" s="92"/>
      <c r="C3" s="93"/>
      <c r="D3" s="473"/>
      <c r="E3" s="93"/>
      <c r="F3" s="618"/>
      <c r="G3" s="618"/>
      <c r="H3" s="618"/>
      <c r="I3" s="618"/>
      <c r="J3" s="440"/>
      <c r="K3" s="97"/>
    </row>
    <row r="4" spans="2:11" s="724" customFormat="1" ht="18.75">
      <c r="B4" s="727"/>
      <c r="C4" s="168" t="s">
        <v>458</v>
      </c>
      <c r="D4" s="919"/>
      <c r="E4" s="728"/>
      <c r="F4" s="920"/>
      <c r="G4" s="920"/>
      <c r="H4" s="920"/>
      <c r="I4" s="920"/>
      <c r="J4" s="953"/>
      <c r="K4" s="730"/>
    </row>
    <row r="5" spans="2:11" s="724" customFormat="1" ht="18.75">
      <c r="B5" s="727"/>
      <c r="C5" s="105" t="str">
        <f>geg!I12</f>
        <v>De speciale school</v>
      </c>
      <c r="D5" s="919"/>
      <c r="E5" s="728"/>
      <c r="F5" s="920"/>
      <c r="G5" s="920"/>
      <c r="H5" s="920"/>
      <c r="I5" s="920"/>
      <c r="J5" s="953"/>
      <c r="K5" s="730"/>
    </row>
    <row r="6" spans="2:11">
      <c r="B6" s="92"/>
      <c r="C6" s="93"/>
      <c r="D6" s="473"/>
      <c r="E6" s="93"/>
      <c r="F6" s="618"/>
      <c r="G6" s="618"/>
      <c r="H6" s="618"/>
      <c r="I6" s="618"/>
      <c r="J6" s="440"/>
      <c r="K6" s="97"/>
    </row>
    <row r="7" spans="2:11">
      <c r="B7" s="92"/>
      <c r="C7" s="93"/>
      <c r="D7" s="473"/>
      <c r="E7" s="93"/>
      <c r="F7" s="164">
        <f>tab!E4</f>
        <v>2013</v>
      </c>
      <c r="G7" s="164">
        <f>tab!F4</f>
        <v>2014</v>
      </c>
      <c r="H7" s="164">
        <f>tab!G4</f>
        <v>2015</v>
      </c>
      <c r="I7" s="164">
        <f>tab!H4</f>
        <v>2016</v>
      </c>
      <c r="J7" s="440"/>
      <c r="K7" s="97"/>
    </row>
    <row r="8" spans="2:11">
      <c r="B8" s="92"/>
      <c r="C8" s="93"/>
      <c r="D8" s="473"/>
      <c r="E8" s="93"/>
      <c r="F8" s="276"/>
      <c r="G8" s="276"/>
      <c r="H8" s="276"/>
      <c r="I8" s="276"/>
      <c r="J8" s="440"/>
      <c r="K8" s="97"/>
    </row>
    <row r="9" spans="2:11">
      <c r="B9" s="836"/>
      <c r="C9" s="124"/>
      <c r="D9" s="127"/>
      <c r="E9" s="127"/>
      <c r="F9" s="129"/>
      <c r="G9" s="129"/>
      <c r="H9" s="129"/>
      <c r="I9" s="129"/>
      <c r="J9" s="127"/>
      <c r="K9" s="97"/>
    </row>
    <row r="10" spans="2:11">
      <c r="B10" s="836"/>
      <c r="C10" s="131"/>
      <c r="D10" s="174" t="s">
        <v>542</v>
      </c>
      <c r="E10" s="133"/>
      <c r="F10" s="135"/>
      <c r="G10" s="135"/>
      <c r="H10" s="135"/>
      <c r="I10" s="135"/>
      <c r="J10" s="133"/>
      <c r="K10" s="97"/>
    </row>
    <row r="11" spans="2:11">
      <c r="B11" s="836"/>
      <c r="C11" s="131"/>
      <c r="D11" s="133"/>
      <c r="E11" s="133"/>
      <c r="F11" s="135"/>
      <c r="G11" s="135"/>
      <c r="H11" s="135"/>
      <c r="I11" s="135"/>
      <c r="J11" s="133"/>
      <c r="K11" s="97"/>
    </row>
    <row r="12" spans="2:11">
      <c r="B12" s="836"/>
      <c r="C12" s="131"/>
      <c r="D12" s="214" t="s">
        <v>459</v>
      </c>
      <c r="E12" s="133"/>
      <c r="F12" s="135"/>
      <c r="G12" s="135"/>
      <c r="H12" s="135"/>
      <c r="I12" s="135"/>
      <c r="J12" s="133"/>
      <c r="K12" s="97"/>
    </row>
    <row r="13" spans="2:11">
      <c r="B13" s="836"/>
      <c r="C13" s="131"/>
      <c r="D13" s="133" t="s">
        <v>68</v>
      </c>
      <c r="E13" s="133"/>
      <c r="F13" s="332">
        <f>begr!F19</f>
        <v>3810248.1600000006</v>
      </c>
      <c r="G13" s="332">
        <f>begr!G19</f>
        <v>3810248.1600000006</v>
      </c>
      <c r="H13" s="332">
        <f>begr!H19</f>
        <v>3810248.1600000006</v>
      </c>
      <c r="I13" s="332">
        <f>begr!I19</f>
        <v>3810248.1600000006</v>
      </c>
      <c r="J13" s="133"/>
      <c r="K13" s="97"/>
    </row>
    <row r="14" spans="2:11">
      <c r="B14" s="836"/>
      <c r="C14" s="131"/>
      <c r="D14" s="133" t="s">
        <v>460</v>
      </c>
      <c r="E14" s="133"/>
      <c r="F14" s="332">
        <f>begr!F35</f>
        <v>0</v>
      </c>
      <c r="G14" s="332">
        <f>begr!G35</f>
        <v>0</v>
      </c>
      <c r="H14" s="332">
        <f>begr!H35</f>
        <v>0</v>
      </c>
      <c r="I14" s="332">
        <f>begr!I35</f>
        <v>0</v>
      </c>
      <c r="J14" s="133"/>
      <c r="K14" s="97"/>
    </row>
    <row r="15" spans="2:11">
      <c r="B15" s="785"/>
      <c r="C15" s="131"/>
      <c r="D15" s="319" t="s">
        <v>391</v>
      </c>
      <c r="E15" s="133"/>
      <c r="F15" s="245">
        <f>SUM(F13:F14)</f>
        <v>3810248.1600000006</v>
      </c>
      <c r="G15" s="245">
        <f>SUM(G13:G14)</f>
        <v>3810248.1600000006</v>
      </c>
      <c r="H15" s="245">
        <f>SUM(H13:H14)</f>
        <v>3810248.1600000006</v>
      </c>
      <c r="I15" s="245">
        <f>SUM(I13:I14)</f>
        <v>3810248.1600000006</v>
      </c>
      <c r="J15" s="133"/>
      <c r="K15" s="97"/>
    </row>
    <row r="16" spans="2:11">
      <c r="B16" s="836"/>
      <c r="C16" s="317"/>
      <c r="D16" s="863" t="s">
        <v>461</v>
      </c>
      <c r="E16" s="866"/>
      <c r="F16" s="865">
        <f>IF(geg!$L$148=0,0,F15/geg!$L$148)</f>
        <v>17888.489014084509</v>
      </c>
      <c r="G16" s="865">
        <f>IF(geg!$O$148=0,0,G15/geg!$O$148)</f>
        <v>17888.489014084509</v>
      </c>
      <c r="H16" s="865">
        <f>IF(geg!$R$148=0,0,H15/geg!$R$148)</f>
        <v>17888.489014084509</v>
      </c>
      <c r="I16" s="865">
        <f>IF(geg!$U$148=0,0,I15/geg!$U$148)</f>
        <v>17888.489014084509</v>
      </c>
      <c r="J16" s="133"/>
      <c r="K16" s="97"/>
    </row>
    <row r="17" spans="2:11">
      <c r="B17" s="836"/>
      <c r="C17" s="131"/>
      <c r="D17" s="138"/>
      <c r="E17" s="133"/>
      <c r="F17" s="328"/>
      <c r="G17" s="328"/>
      <c r="H17" s="328"/>
      <c r="I17" s="328"/>
      <c r="J17" s="133"/>
      <c r="K17" s="97"/>
    </row>
    <row r="18" spans="2:11">
      <c r="B18" s="836"/>
      <c r="C18" s="131"/>
      <c r="D18" s="214" t="s">
        <v>234</v>
      </c>
      <c r="E18" s="133"/>
      <c r="F18" s="862">
        <f>pers!J246+mat!K161</f>
        <v>0</v>
      </c>
      <c r="G18" s="862">
        <f>pers!K246+mat!L161</f>
        <v>0</v>
      </c>
      <c r="H18" s="862">
        <f>pers!L246+mat!M161</f>
        <v>0</v>
      </c>
      <c r="I18" s="862">
        <f>pers!M246+mat!N161</f>
        <v>0</v>
      </c>
      <c r="J18" s="133"/>
      <c r="K18" s="97"/>
    </row>
    <row r="19" spans="2:11">
      <c r="B19" s="836"/>
      <c r="C19" s="131"/>
      <c r="D19" s="863" t="s">
        <v>461</v>
      </c>
      <c r="E19" s="866"/>
      <c r="F19" s="865">
        <f>IF(geg!$L$148=0,0,F18/geg!$L$148)</f>
        <v>0</v>
      </c>
      <c r="G19" s="865">
        <f>IF(geg!$O$148=0,0,G18/geg!$O$148)</f>
        <v>0</v>
      </c>
      <c r="H19" s="865">
        <f>IF(geg!$R$148=0,0,H18/geg!$R$148)</f>
        <v>0</v>
      </c>
      <c r="I19" s="865">
        <f>IF(geg!$U$148=0,0,I18/geg!$U$148)</f>
        <v>0</v>
      </c>
      <c r="J19" s="133"/>
      <c r="K19" s="97"/>
    </row>
    <row r="20" spans="2:11">
      <c r="B20" s="836"/>
      <c r="C20" s="131"/>
      <c r="D20" s="138"/>
      <c r="E20" s="133"/>
      <c r="F20" s="328"/>
      <c r="G20" s="328"/>
      <c r="H20" s="328"/>
      <c r="I20" s="328"/>
      <c r="J20" s="133"/>
      <c r="K20" s="97"/>
    </row>
    <row r="21" spans="2:11">
      <c r="B21" s="836"/>
      <c r="C21" s="131"/>
      <c r="D21" s="214" t="s">
        <v>235</v>
      </c>
      <c r="E21" s="133"/>
      <c r="F21" s="862">
        <f>pers!J247+mat!K162</f>
        <v>0</v>
      </c>
      <c r="G21" s="862">
        <f>pers!K247+mat!L162</f>
        <v>0</v>
      </c>
      <c r="H21" s="862">
        <f>pers!L247+mat!M162</f>
        <v>0</v>
      </c>
      <c r="I21" s="862">
        <f>pers!M247+mat!N162</f>
        <v>0</v>
      </c>
      <c r="J21" s="133"/>
      <c r="K21" s="97"/>
    </row>
    <row r="22" spans="2:11">
      <c r="B22" s="836"/>
      <c r="C22" s="131"/>
      <c r="D22" s="863" t="s">
        <v>461</v>
      </c>
      <c r="E22" s="866"/>
      <c r="F22" s="865">
        <f>IF(geg!$L$148=0,0,F21/geg!$L$148)</f>
        <v>0</v>
      </c>
      <c r="G22" s="865">
        <f>IF(geg!$O$148=0,0,G21/geg!$O$148)</f>
        <v>0</v>
      </c>
      <c r="H22" s="865">
        <f>IF(geg!$R$148=0,0,H21/geg!$R$148)</f>
        <v>0</v>
      </c>
      <c r="I22" s="865">
        <f>IF(geg!$U$148=0,0,I21/geg!$U$148)</f>
        <v>0</v>
      </c>
      <c r="J22" s="133"/>
      <c r="K22" s="97"/>
    </row>
    <row r="23" spans="2:11">
      <c r="B23" s="836"/>
      <c r="C23" s="131"/>
      <c r="D23" s="138"/>
      <c r="E23" s="133"/>
      <c r="F23" s="328"/>
      <c r="G23" s="328"/>
      <c r="H23" s="328"/>
      <c r="I23" s="328"/>
      <c r="J23" s="133"/>
      <c r="K23" s="97"/>
    </row>
    <row r="24" spans="2:11">
      <c r="B24" s="836"/>
      <c r="C24" s="131"/>
      <c r="D24" s="214" t="s">
        <v>462</v>
      </c>
      <c r="E24" s="133"/>
      <c r="F24" s="237"/>
      <c r="G24" s="237"/>
      <c r="H24" s="237"/>
      <c r="I24" s="237"/>
      <c r="J24" s="138"/>
      <c r="K24" s="97"/>
    </row>
    <row r="25" spans="2:11">
      <c r="B25" s="836"/>
      <c r="C25" s="131"/>
      <c r="D25" s="133" t="s">
        <v>69</v>
      </c>
      <c r="E25" s="133"/>
      <c r="F25" s="332">
        <f>+begr!F27</f>
        <v>69062.399999999994</v>
      </c>
      <c r="G25" s="332">
        <f>+begr!G27</f>
        <v>69062.399999999994</v>
      </c>
      <c r="H25" s="332">
        <f>+begr!H27</f>
        <v>69062.399999999994</v>
      </c>
      <c r="I25" s="332">
        <f>+begr!I27</f>
        <v>69062.399999999994</v>
      </c>
      <c r="J25" s="133"/>
      <c r="K25" s="97"/>
    </row>
    <row r="26" spans="2:11">
      <c r="B26" s="836"/>
      <c r="C26" s="131"/>
      <c r="D26" s="133" t="s">
        <v>463</v>
      </c>
      <c r="E26" s="133"/>
      <c r="F26" s="332">
        <f>+begr!F36</f>
        <v>0</v>
      </c>
      <c r="G26" s="332">
        <f>+begr!G36</f>
        <v>0</v>
      </c>
      <c r="H26" s="332">
        <f>+begr!H36</f>
        <v>0</v>
      </c>
      <c r="I26" s="332">
        <f>+begr!I36</f>
        <v>0</v>
      </c>
      <c r="J26" s="133"/>
      <c r="K26" s="97"/>
    </row>
    <row r="27" spans="2:11">
      <c r="B27" s="785"/>
      <c r="C27" s="131"/>
      <c r="D27" s="319" t="s">
        <v>391</v>
      </c>
      <c r="E27" s="133"/>
      <c r="F27" s="245">
        <f>SUM(F25:F26)</f>
        <v>69062.399999999994</v>
      </c>
      <c r="G27" s="245">
        <f>SUM(G25:G26)</f>
        <v>69062.399999999994</v>
      </c>
      <c r="H27" s="245">
        <f>SUM(H25:H26)</f>
        <v>69062.399999999994</v>
      </c>
      <c r="I27" s="245">
        <f>SUM(I25:I26)</f>
        <v>69062.399999999994</v>
      </c>
      <c r="J27" s="133"/>
      <c r="K27" s="97"/>
    </row>
    <row r="28" spans="2:11">
      <c r="B28" s="836"/>
      <c r="C28" s="317"/>
      <c r="D28" s="863" t="s">
        <v>461</v>
      </c>
      <c r="E28" s="866"/>
      <c r="F28" s="865">
        <f>IF(geg!$L$148=0,0,F27/geg!$L$148)</f>
        <v>324.23661971830984</v>
      </c>
      <c r="G28" s="865">
        <f>IF(geg!$O$148=0,0,G27/geg!$O$148)</f>
        <v>324.23661971830984</v>
      </c>
      <c r="H28" s="865">
        <f>IF(geg!$R$148=0,0,H27/geg!$R$148)</f>
        <v>324.23661971830984</v>
      </c>
      <c r="I28" s="865">
        <f>IF(geg!$U$148=0,0,I27/geg!$U$148)</f>
        <v>324.23661971830984</v>
      </c>
      <c r="J28" s="133"/>
      <c r="K28" s="97"/>
    </row>
    <row r="29" spans="2:11">
      <c r="B29" s="836"/>
      <c r="C29" s="131"/>
      <c r="D29" s="133"/>
      <c r="E29" s="133"/>
      <c r="F29" s="135"/>
      <c r="G29" s="135"/>
      <c r="H29" s="135"/>
      <c r="I29" s="135"/>
      <c r="J29" s="133"/>
      <c r="K29" s="97"/>
    </row>
    <row r="30" spans="2:11">
      <c r="B30" s="836"/>
      <c r="C30" s="131"/>
      <c r="D30" s="214" t="s">
        <v>236</v>
      </c>
      <c r="E30" s="133"/>
      <c r="F30" s="135"/>
      <c r="G30" s="135"/>
      <c r="H30" s="135"/>
      <c r="I30" s="135"/>
      <c r="J30" s="133"/>
      <c r="K30" s="97"/>
    </row>
    <row r="31" spans="2:11">
      <c r="B31" s="836"/>
      <c r="C31" s="131"/>
      <c r="D31" s="133" t="s">
        <v>396</v>
      </c>
      <c r="E31" s="133"/>
      <c r="F31" s="332">
        <f>+pers!J250</f>
        <v>0</v>
      </c>
      <c r="G31" s="332">
        <f>+pers!K250</f>
        <v>0</v>
      </c>
      <c r="H31" s="332">
        <f>+pers!L250</f>
        <v>0</v>
      </c>
      <c r="I31" s="332">
        <f>+pers!M250</f>
        <v>0</v>
      </c>
      <c r="J31" s="133"/>
      <c r="K31" s="97"/>
    </row>
    <row r="32" spans="2:11">
      <c r="B32" s="836"/>
      <c r="C32" s="131"/>
      <c r="D32" s="133" t="s">
        <v>464</v>
      </c>
      <c r="E32" s="133"/>
      <c r="F32" s="332">
        <f>+pers!J251</f>
        <v>69062.399999999994</v>
      </c>
      <c r="G32" s="332">
        <f>+pers!K251</f>
        <v>69062.399999999994</v>
      </c>
      <c r="H32" s="332">
        <f>+pers!L251</f>
        <v>69062.399999999994</v>
      </c>
      <c r="I32" s="332">
        <f>+pers!M251</f>
        <v>69062.399999999994</v>
      </c>
      <c r="J32" s="133"/>
      <c r="K32" s="97"/>
    </row>
    <row r="33" spans="2:11">
      <c r="B33" s="836"/>
      <c r="C33" s="131"/>
      <c r="D33" s="133" t="s">
        <v>398</v>
      </c>
      <c r="E33" s="133"/>
      <c r="F33" s="332">
        <f>+pers!J252</f>
        <v>0</v>
      </c>
      <c r="G33" s="332">
        <f>+pers!K252</f>
        <v>0</v>
      </c>
      <c r="H33" s="332">
        <f>+pers!L252</f>
        <v>0</v>
      </c>
      <c r="I33" s="332">
        <f>+pers!M252</f>
        <v>0</v>
      </c>
      <c r="J33" s="133"/>
      <c r="K33" s="97"/>
    </row>
    <row r="34" spans="2:11">
      <c r="B34" s="785"/>
      <c r="C34" s="131"/>
      <c r="D34" s="319" t="s">
        <v>391</v>
      </c>
      <c r="E34" s="138"/>
      <c r="F34" s="245">
        <f>SUM(F31:F33)</f>
        <v>69062.399999999994</v>
      </c>
      <c r="G34" s="245">
        <f>SUM(G31:G33)</f>
        <v>69062.399999999994</v>
      </c>
      <c r="H34" s="245">
        <f>SUM(H31:H33)</f>
        <v>69062.399999999994</v>
      </c>
      <c r="I34" s="245">
        <f>SUM(I31:I33)</f>
        <v>69062.399999999994</v>
      </c>
      <c r="J34" s="133"/>
      <c r="K34" s="97"/>
    </row>
    <row r="35" spans="2:11">
      <c r="B35" s="836"/>
      <c r="C35" s="317"/>
      <c r="D35" s="863" t="s">
        <v>461</v>
      </c>
      <c r="E35" s="866"/>
      <c r="F35" s="865">
        <f>IF(geg!$L$148=0,0,F34/geg!$L$148)</f>
        <v>324.23661971830984</v>
      </c>
      <c r="G35" s="865">
        <f>IF(geg!$O$148=0,0,G34/geg!$O$148)</f>
        <v>324.23661971830984</v>
      </c>
      <c r="H35" s="865">
        <f>IF(geg!$R$148=0,0,H34/geg!$R$148)</f>
        <v>324.23661971830984</v>
      </c>
      <c r="I35" s="865">
        <f>IF(geg!$U$148=0,0,I34/geg!$U$148)</f>
        <v>324.23661971830984</v>
      </c>
      <c r="J35" s="133"/>
      <c r="K35" s="97"/>
    </row>
    <row r="36" spans="2:11">
      <c r="B36" s="836"/>
      <c r="C36" s="131"/>
      <c r="D36" s="133"/>
      <c r="E36" s="133"/>
      <c r="F36" s="328"/>
      <c r="G36" s="328"/>
      <c r="H36" s="328"/>
      <c r="I36" s="328"/>
      <c r="J36" s="133"/>
      <c r="K36" s="97"/>
    </row>
    <row r="37" spans="2:11">
      <c r="B37" s="836"/>
      <c r="C37" s="131"/>
      <c r="D37" s="528" t="s">
        <v>465</v>
      </c>
      <c r="E37" s="133"/>
      <c r="F37" s="328"/>
      <c r="G37" s="328"/>
      <c r="H37" s="328"/>
      <c r="I37" s="328"/>
      <c r="J37" s="133"/>
      <c r="K37" s="97"/>
    </row>
    <row r="38" spans="2:11">
      <c r="B38" s="836"/>
      <c r="C38" s="131"/>
      <c r="D38" s="155" t="s">
        <v>466</v>
      </c>
      <c r="E38" s="133"/>
      <c r="F38" s="314">
        <v>0</v>
      </c>
      <c r="G38" s="314">
        <f t="shared" ref="G38:I40" si="0">F38</f>
        <v>0</v>
      </c>
      <c r="H38" s="314">
        <f t="shared" si="0"/>
        <v>0</v>
      </c>
      <c r="I38" s="314">
        <f t="shared" si="0"/>
        <v>0</v>
      </c>
      <c r="J38" s="133"/>
      <c r="K38" s="97"/>
    </row>
    <row r="39" spans="2:11">
      <c r="B39" s="836"/>
      <c r="C39" s="131"/>
      <c r="D39" s="155" t="s">
        <v>467</v>
      </c>
      <c r="E39" s="133"/>
      <c r="F39" s="314">
        <v>0</v>
      </c>
      <c r="G39" s="314">
        <f t="shared" si="0"/>
        <v>0</v>
      </c>
      <c r="H39" s="314">
        <f t="shared" si="0"/>
        <v>0</v>
      </c>
      <c r="I39" s="314">
        <f t="shared" si="0"/>
        <v>0</v>
      </c>
      <c r="J39" s="133"/>
      <c r="K39" s="97"/>
    </row>
    <row r="40" spans="2:11">
      <c r="B40" s="836"/>
      <c r="C40" s="131"/>
      <c r="D40" s="155" t="s">
        <v>468</v>
      </c>
      <c r="E40" s="133"/>
      <c r="F40" s="314">
        <v>0</v>
      </c>
      <c r="G40" s="314">
        <f t="shared" si="0"/>
        <v>0</v>
      </c>
      <c r="H40" s="314">
        <f t="shared" si="0"/>
        <v>0</v>
      </c>
      <c r="I40" s="314">
        <f t="shared" si="0"/>
        <v>0</v>
      </c>
      <c r="J40" s="133"/>
      <c r="K40" s="97"/>
    </row>
    <row r="41" spans="2:11">
      <c r="B41" s="785"/>
      <c r="C41" s="131"/>
      <c r="D41" s="319" t="s">
        <v>391</v>
      </c>
      <c r="E41" s="138"/>
      <c r="F41" s="245">
        <f>SUM(F38:F40)</f>
        <v>0</v>
      </c>
      <c r="G41" s="245">
        <f>SUM(G38:G40)</f>
        <v>0</v>
      </c>
      <c r="H41" s="245">
        <f>SUM(H38:H40)</f>
        <v>0</v>
      </c>
      <c r="I41" s="245">
        <f>SUM(I38:I40)</f>
        <v>0</v>
      </c>
      <c r="J41" s="133"/>
      <c r="K41" s="97"/>
    </row>
    <row r="42" spans="2:11">
      <c r="B42" s="836"/>
      <c r="C42" s="317"/>
      <c r="D42" s="863" t="s">
        <v>461</v>
      </c>
      <c r="E42" s="866"/>
      <c r="F42" s="865">
        <f>IF(geg!$L$148=0,0,F41/geg!$L$148)</f>
        <v>0</v>
      </c>
      <c r="G42" s="865">
        <f>IF(geg!$O$148=0,0,G41/geg!$O$148)</f>
        <v>0</v>
      </c>
      <c r="H42" s="865">
        <f>IF(geg!$R$148=0,0,H41/geg!$R$148)</f>
        <v>0</v>
      </c>
      <c r="I42" s="865">
        <f>IF(geg!$U$148=0,0,I41/geg!$U$148)</f>
        <v>0</v>
      </c>
      <c r="J42" s="133"/>
      <c r="K42" s="97"/>
    </row>
    <row r="43" spans="2:11">
      <c r="B43" s="836"/>
      <c r="C43" s="131"/>
      <c r="D43" s="155"/>
      <c r="E43" s="133"/>
      <c r="F43" s="328"/>
      <c r="G43" s="328"/>
      <c r="H43" s="328"/>
      <c r="I43" s="328"/>
      <c r="J43" s="133"/>
      <c r="K43" s="97"/>
    </row>
    <row r="44" spans="2:11">
      <c r="B44" s="836"/>
      <c r="C44" s="131"/>
      <c r="D44" s="528" t="s">
        <v>469</v>
      </c>
      <c r="E44" s="133"/>
      <c r="F44" s="328"/>
      <c r="G44" s="328"/>
      <c r="H44" s="328"/>
      <c r="I44" s="328"/>
      <c r="J44" s="133"/>
      <c r="K44" s="97"/>
    </row>
    <row r="45" spans="2:11">
      <c r="B45" s="836"/>
      <c r="C45" s="131"/>
      <c r="D45" s="155" t="s">
        <v>470</v>
      </c>
      <c r="E45" s="133"/>
      <c r="F45" s="314">
        <v>0</v>
      </c>
      <c r="G45" s="314">
        <f t="shared" ref="G45:I47" si="1">F45</f>
        <v>0</v>
      </c>
      <c r="H45" s="314">
        <f t="shared" si="1"/>
        <v>0</v>
      </c>
      <c r="I45" s="314">
        <f t="shared" si="1"/>
        <v>0</v>
      </c>
      <c r="J45" s="133"/>
      <c r="K45" s="97"/>
    </row>
    <row r="46" spans="2:11">
      <c r="B46" s="836"/>
      <c r="C46" s="131"/>
      <c r="D46" s="155" t="s">
        <v>471</v>
      </c>
      <c r="E46" s="133"/>
      <c r="F46" s="314">
        <v>0</v>
      </c>
      <c r="G46" s="314">
        <f t="shared" si="1"/>
        <v>0</v>
      </c>
      <c r="H46" s="314">
        <f t="shared" si="1"/>
        <v>0</v>
      </c>
      <c r="I46" s="314">
        <f t="shared" si="1"/>
        <v>0</v>
      </c>
      <c r="J46" s="133"/>
      <c r="K46" s="97"/>
    </row>
    <row r="47" spans="2:11">
      <c r="B47" s="836"/>
      <c r="C47" s="131"/>
      <c r="D47" s="155" t="s">
        <v>472</v>
      </c>
      <c r="E47" s="133"/>
      <c r="F47" s="314">
        <v>0</v>
      </c>
      <c r="G47" s="314">
        <f t="shared" si="1"/>
        <v>0</v>
      </c>
      <c r="H47" s="314">
        <f t="shared" si="1"/>
        <v>0</v>
      </c>
      <c r="I47" s="314">
        <f t="shared" si="1"/>
        <v>0</v>
      </c>
      <c r="J47" s="133"/>
      <c r="K47" s="97"/>
    </row>
    <row r="48" spans="2:11">
      <c r="B48" s="785"/>
      <c r="C48" s="131"/>
      <c r="D48" s="319" t="s">
        <v>391</v>
      </c>
      <c r="E48" s="138"/>
      <c r="F48" s="245">
        <f>SUM(F45:F47)</f>
        <v>0</v>
      </c>
      <c r="G48" s="245">
        <f>SUM(G45:G47)</f>
        <v>0</v>
      </c>
      <c r="H48" s="245">
        <f>SUM(H45:H47)</f>
        <v>0</v>
      </c>
      <c r="I48" s="245">
        <f>SUM(I45:I47)</f>
        <v>0</v>
      </c>
      <c r="J48" s="133"/>
      <c r="K48" s="97"/>
    </row>
    <row r="49" spans="2:11">
      <c r="B49" s="836"/>
      <c r="C49" s="131"/>
      <c r="D49" s="863" t="s">
        <v>461</v>
      </c>
      <c r="E49" s="866"/>
      <c r="F49" s="865">
        <f>IF(geg!$L$148=0,0,F48/geg!$L$148)</f>
        <v>0</v>
      </c>
      <c r="G49" s="865">
        <f>IF(geg!$O$148=0,0,G48/geg!$O$148)</f>
        <v>0</v>
      </c>
      <c r="H49" s="865">
        <f>IF(geg!$R$148=0,0,H48/geg!$R$148)</f>
        <v>0</v>
      </c>
      <c r="I49" s="865">
        <f>IF(geg!$U$148=0,0,I48/geg!$U$148)</f>
        <v>0</v>
      </c>
      <c r="J49" s="133"/>
      <c r="K49" s="97"/>
    </row>
    <row r="50" spans="2:11">
      <c r="B50" s="836"/>
      <c r="C50" s="131"/>
      <c r="D50" s="155"/>
      <c r="E50" s="133"/>
      <c r="F50" s="328"/>
      <c r="G50" s="328"/>
      <c r="H50" s="328"/>
      <c r="I50" s="328"/>
      <c r="J50" s="133"/>
      <c r="K50" s="97"/>
    </row>
    <row r="51" spans="2:11">
      <c r="B51" s="836"/>
      <c r="C51" s="131"/>
      <c r="D51" s="528" t="s">
        <v>358</v>
      </c>
      <c r="E51" s="133"/>
      <c r="F51" s="328"/>
      <c r="G51" s="328"/>
      <c r="H51" s="328"/>
      <c r="I51" s="328"/>
      <c r="J51" s="133"/>
      <c r="K51" s="97"/>
    </row>
    <row r="52" spans="2:11">
      <c r="B52" s="836"/>
      <c r="C52" s="131"/>
      <c r="D52" s="155" t="s">
        <v>473</v>
      </c>
      <c r="E52" s="133"/>
      <c r="F52" s="332">
        <f>+act!G35+act!G36+act!G37+act!G43+act!G44+act!G45</f>
        <v>0</v>
      </c>
      <c r="G52" s="332">
        <f>+act!H35+act!H36+act!H37+act!H43+act!H44+act!H45</f>
        <v>0</v>
      </c>
      <c r="H52" s="332">
        <f>+act!I35+act!I36+act!I37+act!I43+act!I44+act!I45</f>
        <v>0</v>
      </c>
      <c r="I52" s="332">
        <f>+act!J35+act!J36+act!J37+act!J43+act!J44+act!J45</f>
        <v>0</v>
      </c>
      <c r="J52" s="133"/>
      <c r="K52" s="97"/>
    </row>
    <row r="53" spans="2:11">
      <c r="B53" s="836"/>
      <c r="C53" s="131"/>
      <c r="D53" s="155" t="s">
        <v>474</v>
      </c>
      <c r="E53" s="133"/>
      <c r="F53" s="314">
        <v>0</v>
      </c>
      <c r="G53" s="314">
        <f>F53</f>
        <v>0</v>
      </c>
      <c r="H53" s="314">
        <f>G53</f>
        <v>0</v>
      </c>
      <c r="I53" s="314">
        <f>H53</f>
        <v>0</v>
      </c>
      <c r="J53" s="149"/>
      <c r="K53" s="97"/>
    </row>
    <row r="54" spans="2:11">
      <c r="B54" s="785"/>
      <c r="C54" s="131"/>
      <c r="D54" s="319" t="s">
        <v>391</v>
      </c>
      <c r="E54" s="138"/>
      <c r="F54" s="245">
        <f>SUM(F52:F53)</f>
        <v>0</v>
      </c>
      <c r="G54" s="245">
        <f>SUM(G52:G53)</f>
        <v>0</v>
      </c>
      <c r="H54" s="245">
        <f>SUM(H52:H53)</f>
        <v>0</v>
      </c>
      <c r="I54" s="245">
        <f>SUM(I52:I53)</f>
        <v>0</v>
      </c>
      <c r="J54" s="133"/>
      <c r="K54" s="97"/>
    </row>
    <row r="55" spans="2:11">
      <c r="B55" s="836"/>
      <c r="C55" s="131"/>
      <c r="D55" s="863" t="s">
        <v>461</v>
      </c>
      <c r="E55" s="866"/>
      <c r="F55" s="865">
        <f>IF(geg!$L$148=0,0,F54/geg!$L$148)</f>
        <v>0</v>
      </c>
      <c r="G55" s="865">
        <f>IF(geg!$O$148=0,0,G54/geg!$O$148)</f>
        <v>0</v>
      </c>
      <c r="H55" s="865">
        <f>IF(geg!$R$148=0,0,H54/geg!$R$148)</f>
        <v>0</v>
      </c>
      <c r="I55" s="865">
        <f>IF(geg!$U$148=0,0,I54/geg!$U$148)</f>
        <v>0</v>
      </c>
      <c r="J55" s="133"/>
      <c r="K55" s="97"/>
    </row>
    <row r="56" spans="2:11">
      <c r="B56" s="836"/>
      <c r="C56" s="131"/>
      <c r="D56" s="155"/>
      <c r="E56" s="133"/>
      <c r="F56" s="328"/>
      <c r="G56" s="328"/>
      <c r="H56" s="328"/>
      <c r="I56" s="328"/>
      <c r="J56" s="133"/>
      <c r="K56" s="97"/>
    </row>
    <row r="57" spans="2:11">
      <c r="B57" s="836"/>
      <c r="C57" s="131"/>
      <c r="D57" s="528" t="s">
        <v>239</v>
      </c>
      <c r="E57" s="133"/>
      <c r="F57" s="328"/>
      <c r="G57" s="328"/>
      <c r="H57" s="328"/>
      <c r="I57" s="328"/>
      <c r="J57" s="133"/>
      <c r="K57" s="97"/>
    </row>
    <row r="58" spans="2:11">
      <c r="B58" s="836"/>
      <c r="C58" s="131"/>
      <c r="D58" s="155" t="s">
        <v>475</v>
      </c>
      <c r="E58" s="133"/>
      <c r="F58" s="332">
        <f>+act!G38+act!G46</f>
        <v>0</v>
      </c>
      <c r="G58" s="332">
        <f>+act!H38+act!H46</f>
        <v>0</v>
      </c>
      <c r="H58" s="332">
        <f>+act!I38+act!I46</f>
        <v>0</v>
      </c>
      <c r="I58" s="332">
        <f>+act!J38+act!J46</f>
        <v>0</v>
      </c>
      <c r="J58" s="133"/>
      <c r="K58" s="97"/>
    </row>
    <row r="59" spans="2:11">
      <c r="B59" s="836"/>
      <c r="C59" s="131"/>
      <c r="D59" s="155" t="s">
        <v>476</v>
      </c>
      <c r="E59" s="133"/>
      <c r="F59" s="314">
        <v>0</v>
      </c>
      <c r="G59" s="314">
        <f>F59</f>
        <v>0</v>
      </c>
      <c r="H59" s="314">
        <f>G59</f>
        <v>0</v>
      </c>
      <c r="I59" s="314">
        <f>H59</f>
        <v>0</v>
      </c>
      <c r="J59" s="133"/>
      <c r="K59" s="97"/>
    </row>
    <row r="60" spans="2:11">
      <c r="B60" s="785"/>
      <c r="C60" s="131"/>
      <c r="D60" s="319" t="s">
        <v>391</v>
      </c>
      <c r="E60" s="138"/>
      <c r="F60" s="245">
        <f>SUM(F58:F59)</f>
        <v>0</v>
      </c>
      <c r="G60" s="245">
        <f>SUM(G58:G59)</f>
        <v>0</v>
      </c>
      <c r="H60" s="245">
        <f>SUM(H58:H59)</f>
        <v>0</v>
      </c>
      <c r="I60" s="245">
        <f>SUM(I58:I59)</f>
        <v>0</v>
      </c>
      <c r="J60" s="133"/>
      <c r="K60" s="97"/>
    </row>
    <row r="61" spans="2:11">
      <c r="B61" s="836"/>
      <c r="C61" s="131"/>
      <c r="D61" s="863" t="s">
        <v>461</v>
      </c>
      <c r="E61" s="866"/>
      <c r="F61" s="865">
        <f>IF(geg!$L$148=0,0,F60/geg!$L$148)</f>
        <v>0</v>
      </c>
      <c r="G61" s="865">
        <f>IF(geg!$O$148=0,0,G60/geg!$O$148)</f>
        <v>0</v>
      </c>
      <c r="H61" s="865">
        <f>IF(geg!$R$148=0,0,H60/geg!$R$148)</f>
        <v>0</v>
      </c>
      <c r="I61" s="865">
        <f>IF(geg!$U$148=0,0,I60/geg!$U$148)</f>
        <v>0</v>
      </c>
      <c r="J61" s="133"/>
      <c r="K61" s="97"/>
    </row>
    <row r="62" spans="2:11">
      <c r="B62" s="836"/>
      <c r="C62" s="131"/>
      <c r="D62" s="155"/>
      <c r="E62" s="133"/>
      <c r="F62" s="328"/>
      <c r="G62" s="328"/>
      <c r="H62" s="328"/>
      <c r="I62" s="328"/>
      <c r="J62" s="133"/>
      <c r="K62" s="97"/>
    </row>
    <row r="63" spans="2:11">
      <c r="B63" s="836"/>
      <c r="C63" s="131"/>
      <c r="D63" s="528" t="s">
        <v>477</v>
      </c>
      <c r="E63" s="133"/>
      <c r="F63" s="328"/>
      <c r="G63" s="328"/>
      <c r="H63" s="328"/>
      <c r="I63" s="328"/>
      <c r="J63" s="133"/>
      <c r="K63" s="97"/>
    </row>
    <row r="64" spans="2:11">
      <c r="B64" s="836"/>
      <c r="C64" s="131"/>
      <c r="D64" s="155" t="s">
        <v>478</v>
      </c>
      <c r="E64" s="133"/>
      <c r="F64" s="749">
        <v>0</v>
      </c>
      <c r="G64" s="749">
        <f t="shared" ref="G64:I65" si="2">F64</f>
        <v>0</v>
      </c>
      <c r="H64" s="749">
        <f t="shared" si="2"/>
        <v>0</v>
      </c>
      <c r="I64" s="749">
        <f t="shared" si="2"/>
        <v>0</v>
      </c>
      <c r="J64" s="133"/>
      <c r="K64" s="97"/>
    </row>
    <row r="65" spans="2:11">
      <c r="B65" s="836"/>
      <c r="C65" s="131"/>
      <c r="D65" s="155" t="s">
        <v>479</v>
      </c>
      <c r="E65" s="133"/>
      <c r="F65" s="314">
        <v>0</v>
      </c>
      <c r="G65" s="314">
        <f t="shared" si="2"/>
        <v>0</v>
      </c>
      <c r="H65" s="314">
        <f t="shared" si="2"/>
        <v>0</v>
      </c>
      <c r="I65" s="314">
        <f t="shared" si="2"/>
        <v>0</v>
      </c>
      <c r="J65" s="133"/>
      <c r="K65" s="97"/>
    </row>
    <row r="66" spans="2:11">
      <c r="B66" s="836"/>
      <c r="C66" s="131"/>
      <c r="D66" s="155" t="s">
        <v>480</v>
      </c>
      <c r="E66" s="133"/>
      <c r="F66" s="332">
        <f>+act!G34+act!G42</f>
        <v>0</v>
      </c>
      <c r="G66" s="332">
        <f>+act!H34+act!H42</f>
        <v>0</v>
      </c>
      <c r="H66" s="332">
        <f>+act!I34+act!I42</f>
        <v>0</v>
      </c>
      <c r="I66" s="332">
        <f>+act!J34+act!J42</f>
        <v>0</v>
      </c>
      <c r="J66" s="133"/>
      <c r="K66" s="97"/>
    </row>
    <row r="67" spans="2:11">
      <c r="B67" s="836"/>
      <c r="C67" s="131"/>
      <c r="D67" s="155" t="s">
        <v>481</v>
      </c>
      <c r="E67" s="133"/>
      <c r="F67" s="332">
        <f>+mat!K196</f>
        <v>0</v>
      </c>
      <c r="G67" s="332">
        <f>+mat!L196</f>
        <v>0</v>
      </c>
      <c r="H67" s="332">
        <f>+mat!M196</f>
        <v>0</v>
      </c>
      <c r="I67" s="332">
        <f>+mat!N196</f>
        <v>0</v>
      </c>
      <c r="J67" s="133"/>
      <c r="K67" s="97"/>
    </row>
    <row r="68" spans="2:11">
      <c r="B68" s="836"/>
      <c r="C68" s="131"/>
      <c r="D68" s="155" t="s">
        <v>482</v>
      </c>
      <c r="E68" s="133"/>
      <c r="F68" s="314">
        <v>0</v>
      </c>
      <c r="G68" s="314">
        <f t="shared" ref="G68:I69" si="3">F68</f>
        <v>0</v>
      </c>
      <c r="H68" s="314">
        <f t="shared" si="3"/>
        <v>0</v>
      </c>
      <c r="I68" s="314">
        <f t="shared" si="3"/>
        <v>0</v>
      </c>
      <c r="J68" s="133"/>
      <c r="K68" s="97"/>
    </row>
    <row r="69" spans="2:11">
      <c r="B69" s="836"/>
      <c r="C69" s="131"/>
      <c r="D69" s="155" t="s">
        <v>483</v>
      </c>
      <c r="E69" s="133"/>
      <c r="F69" s="314">
        <v>0</v>
      </c>
      <c r="G69" s="314">
        <f t="shared" si="3"/>
        <v>0</v>
      </c>
      <c r="H69" s="314">
        <f t="shared" si="3"/>
        <v>0</v>
      </c>
      <c r="I69" s="314">
        <f t="shared" si="3"/>
        <v>0</v>
      </c>
      <c r="J69" s="133"/>
      <c r="K69" s="97"/>
    </row>
    <row r="70" spans="2:11">
      <c r="B70" s="785"/>
      <c r="C70" s="131"/>
      <c r="D70" s="319" t="s">
        <v>391</v>
      </c>
      <c r="E70" s="138"/>
      <c r="F70" s="245">
        <f>SUM(F64:F69)</f>
        <v>0</v>
      </c>
      <c r="G70" s="245">
        <f>SUM(G64:G69)</f>
        <v>0</v>
      </c>
      <c r="H70" s="245">
        <f>SUM(H64:H69)</f>
        <v>0</v>
      </c>
      <c r="I70" s="245">
        <f>SUM(I64:I69)</f>
        <v>0</v>
      </c>
      <c r="J70" s="133"/>
      <c r="K70" s="97"/>
    </row>
    <row r="71" spans="2:11">
      <c r="B71" s="836"/>
      <c r="C71" s="131"/>
      <c r="D71" s="863" t="s">
        <v>461</v>
      </c>
      <c r="E71" s="866"/>
      <c r="F71" s="865">
        <f>IF(geg!$L$148=0,0,F70/geg!$L$148)</f>
        <v>0</v>
      </c>
      <c r="G71" s="865">
        <f>IF(geg!$O$148=0,0,G70/geg!$O$148)</f>
        <v>0</v>
      </c>
      <c r="H71" s="865">
        <f>IF(geg!$R$148=0,0,H70/geg!$R$148)</f>
        <v>0</v>
      </c>
      <c r="I71" s="865">
        <f>IF(geg!$U$148=0,0,I70/geg!$U$148)</f>
        <v>0</v>
      </c>
      <c r="J71" s="133"/>
      <c r="K71" s="97"/>
    </row>
    <row r="72" spans="2:11">
      <c r="B72" s="836"/>
      <c r="C72" s="131"/>
      <c r="D72" s="155"/>
      <c r="E72" s="133"/>
      <c r="F72" s="328"/>
      <c r="G72" s="328"/>
      <c r="H72" s="328"/>
      <c r="I72" s="328"/>
      <c r="J72" s="133"/>
      <c r="K72" s="97"/>
    </row>
    <row r="73" spans="2:11">
      <c r="B73" s="836"/>
      <c r="C73" s="131"/>
      <c r="D73" s="528" t="s">
        <v>484</v>
      </c>
      <c r="E73" s="133"/>
      <c r="F73" s="245">
        <v>0</v>
      </c>
      <c r="G73" s="245">
        <f>F73</f>
        <v>0</v>
      </c>
      <c r="H73" s="245">
        <f>G73</f>
        <v>0</v>
      </c>
      <c r="I73" s="245">
        <f>H73</f>
        <v>0</v>
      </c>
      <c r="J73" s="133"/>
      <c r="K73" s="97"/>
    </row>
    <row r="74" spans="2:11">
      <c r="B74" s="836"/>
      <c r="C74" s="317"/>
      <c r="D74" s="863" t="s">
        <v>461</v>
      </c>
      <c r="E74" s="866"/>
      <c r="F74" s="865">
        <f>IF(geg!$L$148=0,0,F73/geg!$L$148)</f>
        <v>0</v>
      </c>
      <c r="G74" s="865">
        <f>IF(geg!$O$148=0,0,G73/geg!$O$148)</f>
        <v>0</v>
      </c>
      <c r="H74" s="865">
        <f>IF(geg!$R$148=0,0,H73/geg!$R$148)</f>
        <v>0</v>
      </c>
      <c r="I74" s="865">
        <f>IF(geg!$U$148=0,0,I73/geg!$U$148)</f>
        <v>0</v>
      </c>
      <c r="J74" s="133"/>
      <c r="K74" s="97"/>
    </row>
    <row r="75" spans="2:11">
      <c r="B75" s="836"/>
      <c r="C75" s="131"/>
      <c r="D75" s="133"/>
      <c r="E75" s="133"/>
      <c r="F75" s="135"/>
      <c r="G75" s="135"/>
      <c r="H75" s="135"/>
      <c r="I75" s="135"/>
      <c r="J75" s="133"/>
      <c r="K75" s="97"/>
    </row>
    <row r="76" spans="2:11">
      <c r="B76" s="836"/>
      <c r="C76" s="131"/>
      <c r="D76" s="528" t="s">
        <v>485</v>
      </c>
      <c r="E76" s="133"/>
      <c r="F76" s="135"/>
      <c r="G76" s="135"/>
      <c r="H76" s="135"/>
      <c r="I76" s="135"/>
      <c r="J76" s="133"/>
      <c r="K76" s="97"/>
    </row>
    <row r="77" spans="2:11">
      <c r="B77" s="836"/>
      <c r="C77" s="131"/>
      <c r="D77" s="155" t="s">
        <v>486</v>
      </c>
      <c r="E77" s="133"/>
      <c r="F77" s="314">
        <v>0</v>
      </c>
      <c r="G77" s="314">
        <f t="shared" ref="G77:I80" si="4">F77</f>
        <v>0</v>
      </c>
      <c r="H77" s="314">
        <f t="shared" si="4"/>
        <v>0</v>
      </c>
      <c r="I77" s="314">
        <f t="shared" si="4"/>
        <v>0</v>
      </c>
      <c r="J77" s="133"/>
      <c r="K77" s="97"/>
    </row>
    <row r="78" spans="2:11">
      <c r="B78" s="836"/>
      <c r="C78" s="131"/>
      <c r="D78" s="155" t="s">
        <v>487</v>
      </c>
      <c r="E78" s="133"/>
      <c r="F78" s="314">
        <v>0</v>
      </c>
      <c r="G78" s="314">
        <f t="shared" si="4"/>
        <v>0</v>
      </c>
      <c r="H78" s="314">
        <f t="shared" si="4"/>
        <v>0</v>
      </c>
      <c r="I78" s="314">
        <f t="shared" si="4"/>
        <v>0</v>
      </c>
      <c r="J78" s="133"/>
      <c r="K78" s="97"/>
    </row>
    <row r="79" spans="2:11">
      <c r="B79" s="836"/>
      <c r="C79" s="131"/>
      <c r="D79" s="155" t="s">
        <v>488</v>
      </c>
      <c r="E79" s="133"/>
      <c r="F79" s="314">
        <v>0</v>
      </c>
      <c r="G79" s="314">
        <f t="shared" si="4"/>
        <v>0</v>
      </c>
      <c r="H79" s="314">
        <f t="shared" si="4"/>
        <v>0</v>
      </c>
      <c r="I79" s="314">
        <f t="shared" si="4"/>
        <v>0</v>
      </c>
      <c r="J79" s="133"/>
      <c r="K79" s="97"/>
    </row>
    <row r="80" spans="2:11">
      <c r="B80" s="836"/>
      <c r="C80" s="131"/>
      <c r="D80" s="155" t="s">
        <v>489</v>
      </c>
      <c r="E80" s="133"/>
      <c r="F80" s="314">
        <v>0</v>
      </c>
      <c r="G80" s="314">
        <f t="shared" si="4"/>
        <v>0</v>
      </c>
      <c r="H80" s="314">
        <f t="shared" si="4"/>
        <v>0</v>
      </c>
      <c r="I80" s="314">
        <f t="shared" si="4"/>
        <v>0</v>
      </c>
      <c r="J80" s="133"/>
      <c r="K80" s="97"/>
    </row>
    <row r="81" spans="2:11">
      <c r="B81" s="785"/>
      <c r="C81" s="131"/>
      <c r="D81" s="319" t="s">
        <v>391</v>
      </c>
      <c r="E81" s="138"/>
      <c r="F81" s="245">
        <f>SUM(F77:F80)</f>
        <v>0</v>
      </c>
      <c r="G81" s="245">
        <f>SUM(G77:G80)</f>
        <v>0</v>
      </c>
      <c r="H81" s="245">
        <f>SUM(H77:H80)</f>
        <v>0</v>
      </c>
      <c r="I81" s="245">
        <f>SUM(I77:I80)</f>
        <v>0</v>
      </c>
      <c r="J81" s="133"/>
      <c r="K81" s="97"/>
    </row>
    <row r="82" spans="2:11">
      <c r="B82" s="836"/>
      <c r="C82" s="317"/>
      <c r="D82" s="863" t="s">
        <v>461</v>
      </c>
      <c r="E82" s="866"/>
      <c r="F82" s="865">
        <f>IF(geg!$L$148=0,0,F81/geg!$L$148)</f>
        <v>0</v>
      </c>
      <c r="G82" s="865">
        <f>IF(geg!$O$148=0,0,G81/geg!$O$148)</f>
        <v>0</v>
      </c>
      <c r="H82" s="865">
        <f>IF(geg!$R$148=0,0,H81/geg!$R$148)</f>
        <v>0</v>
      </c>
      <c r="I82" s="865">
        <f>IF(geg!$U$148=0,0,I81/geg!$U$148)</f>
        <v>0</v>
      </c>
      <c r="J82" s="133"/>
      <c r="K82" s="97"/>
    </row>
    <row r="83" spans="2:11">
      <c r="B83" s="836"/>
      <c r="C83" s="141"/>
      <c r="D83" s="144"/>
      <c r="E83" s="144"/>
      <c r="F83" s="146"/>
      <c r="G83" s="146"/>
      <c r="H83" s="146"/>
      <c r="I83" s="146"/>
      <c r="J83" s="144"/>
      <c r="K83" s="97"/>
    </row>
    <row r="84" spans="2:11">
      <c r="B84" s="836"/>
      <c r="C84" s="93"/>
      <c r="D84" s="93"/>
      <c r="E84" s="93"/>
      <c r="F84" s="95"/>
      <c r="G84" s="95"/>
      <c r="H84" s="95"/>
      <c r="I84" s="95"/>
      <c r="J84" s="93"/>
      <c r="K84" s="97"/>
    </row>
    <row r="85" spans="2:11">
      <c r="B85" s="921"/>
      <c r="C85" s="922"/>
      <c r="D85" s="923"/>
      <c r="E85" s="114"/>
      <c r="F85" s="114"/>
      <c r="G85" s="114"/>
      <c r="H85" s="114"/>
      <c r="I85" s="114"/>
      <c r="J85" s="114"/>
      <c r="K85" s="120"/>
    </row>
    <row r="86" spans="2:11">
      <c r="B86" s="924"/>
      <c r="C86" s="88"/>
      <c r="D86" s="88"/>
      <c r="E86" s="88"/>
      <c r="F86" s="88"/>
      <c r="G86" s="88"/>
      <c r="H86" s="88"/>
      <c r="I86" s="88"/>
      <c r="J86" s="88"/>
      <c r="K86" s="91"/>
    </row>
    <row r="87" spans="2:11">
      <c r="B87" s="836"/>
      <c r="C87" s="93"/>
      <c r="D87" s="93"/>
      <c r="E87" s="93"/>
      <c r="F87" s="93"/>
      <c r="G87" s="93"/>
      <c r="H87" s="93"/>
      <c r="I87" s="93"/>
      <c r="J87" s="93"/>
      <c r="K87" s="97"/>
    </row>
    <row r="88" spans="2:11">
      <c r="B88" s="92"/>
      <c r="C88" s="93"/>
      <c r="D88" s="473"/>
      <c r="E88" s="93"/>
      <c r="F88" s="164">
        <f>F7</f>
        <v>2013</v>
      </c>
      <c r="G88" s="164">
        <f>G7</f>
        <v>2014</v>
      </c>
      <c r="H88" s="164">
        <f>H7</f>
        <v>2015</v>
      </c>
      <c r="I88" s="164">
        <f>I7</f>
        <v>2016</v>
      </c>
      <c r="J88" s="440"/>
      <c r="K88" s="97"/>
    </row>
    <row r="89" spans="2:11">
      <c r="B89" s="836"/>
      <c r="C89" s="93"/>
      <c r="D89" s="93"/>
      <c r="E89" s="93"/>
      <c r="F89" s="93"/>
      <c r="G89" s="93"/>
      <c r="H89" s="93"/>
      <c r="I89" s="93"/>
      <c r="J89" s="93"/>
      <c r="K89" s="97"/>
    </row>
    <row r="90" spans="2:11">
      <c r="B90" s="836"/>
      <c r="C90" s="124"/>
      <c r="D90" s="127"/>
      <c r="E90" s="127"/>
      <c r="F90" s="127"/>
      <c r="G90" s="127"/>
      <c r="H90" s="127"/>
      <c r="I90" s="127"/>
      <c r="J90" s="127"/>
      <c r="K90" s="97"/>
    </row>
    <row r="91" spans="2:11">
      <c r="B91" s="836"/>
      <c r="C91" s="131"/>
      <c r="D91" s="214" t="s">
        <v>857</v>
      </c>
      <c r="E91" s="133"/>
      <c r="F91" s="1130">
        <f>+pers!J255</f>
        <v>0</v>
      </c>
      <c r="G91" s="1130">
        <f>+pers!K255</f>
        <v>0</v>
      </c>
      <c r="H91" s="1130">
        <f>+pers!L255</f>
        <v>0</v>
      </c>
      <c r="I91" s="1130">
        <f>+pers!M255</f>
        <v>0</v>
      </c>
      <c r="J91" s="133"/>
      <c r="K91" s="97"/>
    </row>
    <row r="92" spans="2:11">
      <c r="B92" s="836"/>
      <c r="C92" s="131"/>
      <c r="D92" s="863" t="s">
        <v>461</v>
      </c>
      <c r="E92" s="866"/>
      <c r="F92" s="865">
        <f>IF(geg!$L$148=0,0,F91/geg!$L$148)</f>
        <v>0</v>
      </c>
      <c r="G92" s="865">
        <f>IF(geg!$O$148=0,0,G91/geg!$O$148)</f>
        <v>0</v>
      </c>
      <c r="H92" s="865">
        <f>IF(geg!$R$148=0,0,H91/geg!$R$148)</f>
        <v>0</v>
      </c>
      <c r="I92" s="865">
        <f>IF(geg!$U$148=0,0,I91/geg!$U$148)</f>
        <v>0</v>
      </c>
      <c r="J92" s="133"/>
      <c r="K92" s="97"/>
    </row>
    <row r="93" spans="2:11">
      <c r="B93" s="836"/>
      <c r="C93" s="131"/>
      <c r="D93" s="138"/>
      <c r="E93" s="133"/>
      <c r="F93" s="328"/>
      <c r="G93" s="328"/>
      <c r="H93" s="328"/>
      <c r="I93" s="328"/>
      <c r="J93" s="133"/>
      <c r="K93" s="97"/>
    </row>
    <row r="94" spans="2:11">
      <c r="B94" s="836"/>
      <c r="C94" s="131"/>
      <c r="D94" s="214" t="s">
        <v>855</v>
      </c>
      <c r="E94" s="133"/>
      <c r="F94" s="314">
        <v>0</v>
      </c>
      <c r="G94" s="314">
        <f>F94</f>
        <v>0</v>
      </c>
      <c r="H94" s="314">
        <f>G94</f>
        <v>0</v>
      </c>
      <c r="I94" s="314">
        <f>H94</f>
        <v>0</v>
      </c>
      <c r="J94" s="133"/>
      <c r="K94" s="97"/>
    </row>
    <row r="95" spans="2:11">
      <c r="B95" s="836"/>
      <c r="C95" s="131"/>
      <c r="D95" s="863" t="s">
        <v>461</v>
      </c>
      <c r="E95" s="952"/>
      <c r="F95" s="865">
        <f>IF(geg!$L$148=0,0,F94/geg!$L$148)</f>
        <v>0</v>
      </c>
      <c r="G95" s="865">
        <f>IF(geg!$O$148=0,0,G94/geg!$O$148)</f>
        <v>0</v>
      </c>
      <c r="H95" s="865">
        <f>IF(geg!$R$148=0,0,H94/geg!$R$148)</f>
        <v>0</v>
      </c>
      <c r="I95" s="865">
        <f>IF(geg!$U$148=0,0,I94/geg!$U$148)</f>
        <v>0</v>
      </c>
      <c r="J95" s="133"/>
      <c r="K95" s="97"/>
    </row>
    <row r="96" spans="2:11">
      <c r="B96" s="836"/>
      <c r="C96" s="131"/>
      <c r="D96" s="127"/>
      <c r="E96" s="133"/>
      <c r="F96" s="328"/>
      <c r="G96" s="328"/>
      <c r="H96" s="328"/>
      <c r="I96" s="328"/>
      <c r="J96" s="133"/>
      <c r="K96" s="97"/>
    </row>
    <row r="97" spans="2:11">
      <c r="B97" s="836"/>
      <c r="C97" s="131"/>
      <c r="D97" s="214" t="s">
        <v>856</v>
      </c>
      <c r="E97" s="133"/>
      <c r="F97" s="245">
        <f>+F91+F94</f>
        <v>0</v>
      </c>
      <c r="G97" s="245">
        <f>+G91+G94</f>
        <v>0</v>
      </c>
      <c r="H97" s="245">
        <f>+H91+H94</f>
        <v>0</v>
      </c>
      <c r="I97" s="245">
        <f>+I91+I94</f>
        <v>0</v>
      </c>
      <c r="J97" s="133"/>
      <c r="K97" s="97"/>
    </row>
    <row r="98" spans="2:11">
      <c r="B98" s="836"/>
      <c r="C98" s="131"/>
      <c r="D98" s="863" t="s">
        <v>461</v>
      </c>
      <c r="E98" s="952"/>
      <c r="F98" s="865">
        <f>IF(geg!$L$148=0,0,F97/geg!$L$148)</f>
        <v>0</v>
      </c>
      <c r="G98" s="865">
        <f>IF(geg!$O$148=0,0,G97/geg!$O$148)</f>
        <v>0</v>
      </c>
      <c r="H98" s="865">
        <f>IF(geg!$R$148=0,0,H97/geg!$R$148)</f>
        <v>0</v>
      </c>
      <c r="I98" s="865">
        <f>IF(geg!$U$148=0,0,I97/geg!$U$148)</f>
        <v>0</v>
      </c>
      <c r="J98" s="133"/>
      <c r="K98" s="97"/>
    </row>
    <row r="99" spans="2:11">
      <c r="B99" s="836"/>
      <c r="C99" s="141"/>
      <c r="D99" s="142"/>
      <c r="E99" s="144"/>
      <c r="F99" s="870"/>
      <c r="G99" s="870"/>
      <c r="H99" s="870"/>
      <c r="I99" s="870"/>
      <c r="J99" s="144"/>
      <c r="K99" s="97"/>
    </row>
    <row r="100" spans="2:11">
      <c r="B100" s="836"/>
      <c r="C100" s="93"/>
      <c r="D100" s="110"/>
      <c r="E100" s="93"/>
      <c r="F100" s="618"/>
      <c r="G100" s="618"/>
      <c r="H100" s="618"/>
      <c r="I100" s="618"/>
      <c r="J100" s="93"/>
      <c r="K100" s="97"/>
    </row>
    <row r="101" spans="2:11">
      <c r="B101" s="836"/>
      <c r="C101" s="124"/>
      <c r="D101" s="125"/>
      <c r="E101" s="127"/>
      <c r="F101" s="946"/>
      <c r="G101" s="946"/>
      <c r="H101" s="946"/>
      <c r="I101" s="946"/>
      <c r="J101" s="127"/>
      <c r="K101" s="97"/>
    </row>
    <row r="102" spans="2:11">
      <c r="B102" s="836"/>
      <c r="C102" s="131"/>
      <c r="D102" s="214" t="s">
        <v>401</v>
      </c>
      <c r="E102" s="133"/>
      <c r="F102" s="967">
        <f>(7*(+dir!L31+op!L116+oop!L66)+5*(dir!L58+op!L228+oop!L128))/12</f>
        <v>0</v>
      </c>
      <c r="G102" s="967">
        <f>(7*(dir!L58+op!L228+oop!L128)+5*(dir!L86+op!L340+oop!L190))/12</f>
        <v>0</v>
      </c>
      <c r="H102" s="967">
        <f>(7*(dir!L86+op!L340+oop!L190)+5*(dir!L113+op!L452+oop!L252))/12</f>
        <v>0</v>
      </c>
      <c r="I102" s="967">
        <f>(7*(dir!L113+op!L452+oop!L252)+5*(dir!L140+op!L564+oop!L314))/12</f>
        <v>0</v>
      </c>
      <c r="J102" s="133"/>
      <c r="K102" s="97"/>
    </row>
    <row r="103" spans="2:11">
      <c r="B103" s="836"/>
      <c r="C103" s="131"/>
      <c r="D103" s="133" t="s">
        <v>359</v>
      </c>
      <c r="E103" s="133"/>
      <c r="F103" s="332">
        <f>pers!J256</f>
        <v>0</v>
      </c>
      <c r="G103" s="332">
        <f>pers!K256</f>
        <v>0</v>
      </c>
      <c r="H103" s="332">
        <f>pers!L256</f>
        <v>0</v>
      </c>
      <c r="I103" s="332">
        <f>pers!M256</f>
        <v>0</v>
      </c>
      <c r="J103" s="133"/>
      <c r="K103" s="97"/>
    </row>
    <row r="104" spans="2:11">
      <c r="B104" s="836"/>
      <c r="C104" s="141"/>
      <c r="D104" s="142"/>
      <c r="E104" s="144"/>
      <c r="F104" s="870"/>
      <c r="G104" s="870"/>
      <c r="H104" s="870"/>
      <c r="I104" s="870"/>
      <c r="J104" s="144"/>
      <c r="K104" s="97"/>
    </row>
    <row r="105" spans="2:11">
      <c r="B105" s="92"/>
      <c r="C105" s="93"/>
      <c r="D105" s="473"/>
      <c r="E105" s="93"/>
      <c r="F105" s="276"/>
      <c r="G105" s="276"/>
      <c r="H105" s="276"/>
      <c r="I105" s="276"/>
      <c r="J105" s="440"/>
      <c r="K105" s="97"/>
    </row>
    <row r="106" spans="2:11">
      <c r="B106" s="92"/>
      <c r="C106" s="124"/>
      <c r="D106" s="514"/>
      <c r="E106" s="127"/>
      <c r="F106" s="946"/>
      <c r="G106" s="946"/>
      <c r="H106" s="946"/>
      <c r="I106" s="946"/>
      <c r="J106" s="522"/>
      <c r="K106" s="97"/>
    </row>
    <row r="107" spans="2:11">
      <c r="B107" s="92"/>
      <c r="C107" s="131"/>
      <c r="D107" s="947" t="s">
        <v>490</v>
      </c>
      <c r="E107" s="133"/>
      <c r="F107" s="328"/>
      <c r="G107" s="328"/>
      <c r="H107" s="328"/>
      <c r="I107" s="328"/>
      <c r="J107" s="320"/>
      <c r="K107" s="97"/>
    </row>
    <row r="108" spans="2:11">
      <c r="B108" s="92"/>
      <c r="C108" s="131"/>
      <c r="D108" s="932"/>
      <c r="E108" s="133"/>
      <c r="F108" s="328"/>
      <c r="G108" s="328"/>
      <c r="H108" s="328"/>
      <c r="I108" s="328"/>
      <c r="J108" s="320"/>
      <c r="K108" s="97"/>
    </row>
    <row r="109" spans="2:11">
      <c r="B109" s="92"/>
      <c r="C109" s="131"/>
      <c r="D109" s="932" t="s">
        <v>70</v>
      </c>
      <c r="E109" s="133"/>
      <c r="F109" s="954">
        <f>IF(F13=0,0,+bal!G36/F13)</f>
        <v>0.98187456640619442</v>
      </c>
      <c r="G109" s="954">
        <f>IF(G13=0,0,+bal!H36/G13)</f>
        <v>1.9637491328123888</v>
      </c>
      <c r="H109" s="954">
        <f>IF(H13=0,0,+bal!I36/H13)</f>
        <v>2.9456236992185829</v>
      </c>
      <c r="I109" s="954">
        <f>IF(I13=0,0,+bal!J36/I13)</f>
        <v>3.9274982656247777</v>
      </c>
      <c r="J109" s="320"/>
      <c r="K109" s="97"/>
    </row>
    <row r="110" spans="2:11">
      <c r="B110" s="92"/>
      <c r="C110" s="131"/>
      <c r="D110" s="932" t="s">
        <v>71</v>
      </c>
      <c r="E110" s="133"/>
      <c r="F110" s="954">
        <f>IF(F13=0,0,+begr!F14/F13)</f>
        <v>1</v>
      </c>
      <c r="G110" s="954">
        <f>IF(G13=0,0,+begr!G14/G13)</f>
        <v>1</v>
      </c>
      <c r="H110" s="954">
        <f>IF(H13=0,0,+begr!H14/H13)</f>
        <v>1</v>
      </c>
      <c r="I110" s="954">
        <f>IF(I13=0,0,+begr!I14/I13)</f>
        <v>1</v>
      </c>
      <c r="J110" s="320"/>
      <c r="K110" s="97"/>
    </row>
    <row r="111" spans="2:11">
      <c r="B111" s="92"/>
      <c r="C111" s="131"/>
      <c r="D111" s="932" t="s">
        <v>72</v>
      </c>
      <c r="E111" s="133"/>
      <c r="F111" s="954">
        <f>IF(F13=0,0,+begr!F15/F13)</f>
        <v>0</v>
      </c>
      <c r="G111" s="954">
        <f>IF(G13=0,0,+begr!G15/G13)</f>
        <v>0</v>
      </c>
      <c r="H111" s="954">
        <f>IF(H13=0,0,+begr!H15/H13)</f>
        <v>0</v>
      </c>
      <c r="I111" s="954">
        <f>IF(I13=0,0,+begr!I15/I13)</f>
        <v>0</v>
      </c>
      <c r="J111" s="320"/>
      <c r="K111" s="97"/>
    </row>
    <row r="112" spans="2:11">
      <c r="B112" s="92"/>
      <c r="C112" s="131"/>
      <c r="D112" s="932" t="s">
        <v>73</v>
      </c>
      <c r="E112" s="133"/>
      <c r="F112" s="954">
        <f>IF(F13=0,0,+(begr!F17+begr!F18)/F13)</f>
        <v>0</v>
      </c>
      <c r="G112" s="954">
        <f>IF(G13=0,0,+(begr!G17+begr!G18)/G13)</f>
        <v>0</v>
      </c>
      <c r="H112" s="954">
        <f>IF(H13=0,0,+(begr!H17+begr!H18)/H13)</f>
        <v>0</v>
      </c>
      <c r="I112" s="954">
        <f>IF(I13=0,0,+(begr!I17+begr!I18)/I13)</f>
        <v>0</v>
      </c>
      <c r="J112" s="320"/>
      <c r="K112" s="97"/>
    </row>
    <row r="113" spans="2:11">
      <c r="B113" s="92"/>
      <c r="C113" s="131"/>
      <c r="D113" s="932" t="s">
        <v>74</v>
      </c>
      <c r="E113" s="326"/>
      <c r="F113" s="954">
        <f>IF(F13=0,0,+act!G29/F13)</f>
        <v>0</v>
      </c>
      <c r="G113" s="954">
        <f>IF(G13=0,0,+act!H29/G13)</f>
        <v>0</v>
      </c>
      <c r="H113" s="954">
        <f>IF(H13=0,0,+act!I29/H13)</f>
        <v>0</v>
      </c>
      <c r="I113" s="954">
        <f>IF(I13=0,0,+act!J29/I13)</f>
        <v>0</v>
      </c>
      <c r="J113" s="320"/>
      <c r="K113" s="97"/>
    </row>
    <row r="114" spans="2:11">
      <c r="B114" s="92"/>
      <c r="C114" s="131"/>
      <c r="D114" s="932"/>
      <c r="E114" s="326"/>
      <c r="F114" s="934"/>
      <c r="G114" s="934"/>
      <c r="H114" s="934"/>
      <c r="I114" s="934"/>
      <c r="J114" s="320"/>
      <c r="K114" s="97"/>
    </row>
    <row r="115" spans="2:11">
      <c r="B115" s="92"/>
      <c r="C115" s="131"/>
      <c r="D115" s="959" t="s">
        <v>491</v>
      </c>
      <c r="E115" s="319"/>
      <c r="F115" s="936"/>
      <c r="G115" s="936"/>
      <c r="H115" s="936"/>
      <c r="I115" s="936"/>
      <c r="J115" s="320"/>
      <c r="K115" s="97"/>
    </row>
    <row r="116" spans="2:11">
      <c r="B116" s="92"/>
      <c r="C116" s="937"/>
      <c r="D116" s="938" t="s">
        <v>492</v>
      </c>
      <c r="E116" s="326"/>
      <c r="F116" s="711">
        <f>+bal!G36</f>
        <v>3741185.7600000007</v>
      </c>
      <c r="G116" s="711">
        <f>+bal!H36</f>
        <v>7482371.5200000014</v>
      </c>
      <c r="H116" s="711">
        <f>+bal!I36</f>
        <v>11223557.280000001</v>
      </c>
      <c r="I116" s="711">
        <f>+bal!J36</f>
        <v>14964743.040000003</v>
      </c>
      <c r="J116" s="316"/>
      <c r="K116" s="97"/>
    </row>
    <row r="117" spans="2:11">
      <c r="B117" s="92"/>
      <c r="C117" s="937"/>
      <c r="D117" s="938" t="s">
        <v>493</v>
      </c>
      <c r="E117" s="326"/>
      <c r="F117" s="711">
        <f>+bal!G25</f>
        <v>3741185.7600000007</v>
      </c>
      <c r="G117" s="711">
        <f>+bal!H25</f>
        <v>7482371.5200000014</v>
      </c>
      <c r="H117" s="711">
        <f>+bal!I25</f>
        <v>11223557.280000001</v>
      </c>
      <c r="I117" s="711">
        <f>+bal!J25</f>
        <v>14964743.040000003</v>
      </c>
      <c r="J117" s="316"/>
      <c r="K117" s="97"/>
    </row>
    <row r="118" spans="2:11">
      <c r="B118" s="92"/>
      <c r="C118" s="937"/>
      <c r="D118" s="938"/>
      <c r="E118" s="326"/>
      <c r="F118" s="958">
        <f>IF(F117=0,0,F116/F117)</f>
        <v>1</v>
      </c>
      <c r="G118" s="958">
        <f>IF(G117=0,0,G116/G117)</f>
        <v>1</v>
      </c>
      <c r="H118" s="958">
        <f>IF(H117=0,0,H116/H117)</f>
        <v>1</v>
      </c>
      <c r="I118" s="958">
        <f>IF(I117=0,0,I116/I117)</f>
        <v>1</v>
      </c>
      <c r="J118" s="316"/>
      <c r="K118" s="97"/>
    </row>
    <row r="119" spans="2:11">
      <c r="B119" s="92"/>
      <c r="C119" s="131"/>
      <c r="D119" s="959" t="s">
        <v>494</v>
      </c>
      <c r="E119" s="939"/>
      <c r="F119" s="328"/>
      <c r="G119" s="328"/>
      <c r="H119" s="328"/>
      <c r="I119" s="328"/>
      <c r="J119" s="320"/>
      <c r="K119" s="97"/>
    </row>
    <row r="120" spans="2:11">
      <c r="B120" s="92"/>
      <c r="C120" s="131"/>
      <c r="D120" s="938" t="s">
        <v>495</v>
      </c>
      <c r="E120" s="326"/>
      <c r="F120" s="711">
        <f>+bal!G23</f>
        <v>3741185.7600000007</v>
      </c>
      <c r="G120" s="711">
        <f>+bal!H23</f>
        <v>7482371.5200000014</v>
      </c>
      <c r="H120" s="711">
        <f>+bal!I23</f>
        <v>11223557.280000001</v>
      </c>
      <c r="I120" s="711">
        <f>+bal!J23</f>
        <v>14964743.040000003</v>
      </c>
      <c r="J120" s="320"/>
      <c r="K120" s="97"/>
    </row>
    <row r="121" spans="2:11">
      <c r="B121" s="92"/>
      <c r="C121" s="131"/>
      <c r="D121" s="938" t="s">
        <v>496</v>
      </c>
      <c r="E121" s="326"/>
      <c r="F121" s="711">
        <f>+bal!G54</f>
        <v>0</v>
      </c>
      <c r="G121" s="711">
        <f>+bal!H54</f>
        <v>0</v>
      </c>
      <c r="H121" s="711">
        <f>+bal!I54</f>
        <v>0</v>
      </c>
      <c r="I121" s="711">
        <f>+bal!J54</f>
        <v>0</v>
      </c>
      <c r="J121" s="320"/>
      <c r="K121" s="97"/>
    </row>
    <row r="122" spans="2:11">
      <c r="B122" s="92"/>
      <c r="C122" s="131"/>
      <c r="D122" s="938"/>
      <c r="E122" s="326"/>
      <c r="F122" s="957">
        <f>IF(F121=0,0,F120/F121)</f>
        <v>0</v>
      </c>
      <c r="G122" s="957">
        <f>IF(G121=0,0,G120/G121)</f>
        <v>0</v>
      </c>
      <c r="H122" s="957">
        <f>IF(H121=0,0,H120/H121)</f>
        <v>0</v>
      </c>
      <c r="I122" s="957">
        <f>IF(I121=0,0,I120/I121)</f>
        <v>0</v>
      </c>
      <c r="J122" s="320"/>
      <c r="K122" s="97"/>
    </row>
    <row r="123" spans="2:11">
      <c r="B123" s="92"/>
      <c r="C123" s="131"/>
      <c r="D123" s="959" t="s">
        <v>497</v>
      </c>
      <c r="E123" s="939"/>
      <c r="F123" s="328"/>
      <c r="G123" s="328"/>
      <c r="H123" s="328"/>
      <c r="I123" s="328"/>
      <c r="J123" s="320"/>
      <c r="K123" s="97"/>
    </row>
    <row r="124" spans="2:11">
      <c r="B124" s="92"/>
      <c r="C124" s="131"/>
      <c r="D124" s="155" t="s">
        <v>76</v>
      </c>
      <c r="E124" s="326"/>
      <c r="F124" s="711">
        <f>+begr!F29</f>
        <v>3741185.7600000007</v>
      </c>
      <c r="G124" s="711">
        <f>+begr!G29</f>
        <v>3741185.7600000007</v>
      </c>
      <c r="H124" s="711">
        <f>+begr!H29</f>
        <v>3741185.7600000007</v>
      </c>
      <c r="I124" s="711">
        <f>+begr!I29</f>
        <v>3741185.7600000007</v>
      </c>
      <c r="J124" s="320"/>
      <c r="K124" s="97"/>
    </row>
    <row r="125" spans="2:11">
      <c r="B125" s="92"/>
      <c r="C125" s="131"/>
      <c r="D125" s="938" t="s">
        <v>75</v>
      </c>
      <c r="E125" s="326"/>
      <c r="F125" s="711">
        <f>+begr!F19</f>
        <v>3810248.1600000006</v>
      </c>
      <c r="G125" s="711">
        <f>+begr!G19</f>
        <v>3810248.1600000006</v>
      </c>
      <c r="H125" s="711">
        <f>+begr!H19</f>
        <v>3810248.1600000006</v>
      </c>
      <c r="I125" s="711">
        <f>+begr!I19</f>
        <v>3810248.1600000006</v>
      </c>
      <c r="J125" s="320"/>
      <c r="K125" s="97"/>
    </row>
    <row r="126" spans="2:11">
      <c r="B126" s="92"/>
      <c r="C126" s="131"/>
      <c r="D126" s="938"/>
      <c r="E126" s="326"/>
      <c r="F126" s="956">
        <f>IF(F125=0,0,F124/F125)</f>
        <v>0.98187456640619442</v>
      </c>
      <c r="G126" s="956">
        <f>IF(G125=0,0,G124/G125)</f>
        <v>0.98187456640619442</v>
      </c>
      <c r="H126" s="956">
        <f>IF(H125=0,0,H124/H125)</f>
        <v>0.98187456640619442</v>
      </c>
      <c r="I126" s="956">
        <f>IF(I125=0,0,I124/I125)</f>
        <v>0.98187456640619442</v>
      </c>
      <c r="J126" s="320"/>
      <c r="K126" s="97"/>
    </row>
    <row r="127" spans="2:11">
      <c r="B127" s="92"/>
      <c r="C127" s="131"/>
      <c r="D127" s="960" t="s">
        <v>499</v>
      </c>
      <c r="E127" s="326"/>
      <c r="F127" s="708"/>
      <c r="G127" s="708"/>
      <c r="H127" s="708"/>
      <c r="I127" s="708"/>
      <c r="J127" s="320"/>
      <c r="K127" s="97"/>
    </row>
    <row r="128" spans="2:11">
      <c r="B128" s="92"/>
      <c r="C128" s="131"/>
      <c r="D128" s="938" t="s">
        <v>500</v>
      </c>
      <c r="E128" s="326"/>
      <c r="F128" s="332">
        <f>+bal!G36</f>
        <v>3741185.7600000007</v>
      </c>
      <c r="G128" s="332">
        <f>+bal!H36</f>
        <v>7482371.5200000014</v>
      </c>
      <c r="H128" s="332">
        <f>+bal!I36</f>
        <v>11223557.280000001</v>
      </c>
      <c r="I128" s="332">
        <f>+bal!J36</f>
        <v>14964743.040000003</v>
      </c>
      <c r="J128" s="320"/>
      <c r="K128" s="97"/>
    </row>
    <row r="129" spans="2:11">
      <c r="B129" s="92"/>
      <c r="C129" s="131"/>
      <c r="D129" s="938" t="s">
        <v>501</v>
      </c>
      <c r="E129" s="326"/>
      <c r="F129" s="332">
        <f>+bal!G14</f>
        <v>0</v>
      </c>
      <c r="G129" s="332">
        <f>+bal!H14</f>
        <v>0</v>
      </c>
      <c r="H129" s="332">
        <f>+bal!I14</f>
        <v>0</v>
      </c>
      <c r="I129" s="332">
        <f>+bal!J14</f>
        <v>0</v>
      </c>
      <c r="J129" s="320"/>
      <c r="K129" s="97"/>
    </row>
    <row r="130" spans="2:11">
      <c r="B130" s="92"/>
      <c r="C130" s="131"/>
      <c r="D130" s="938" t="s">
        <v>502</v>
      </c>
      <c r="E130" s="326"/>
      <c r="F130" s="332">
        <f>+begr!F14</f>
        <v>3810248.1600000006</v>
      </c>
      <c r="G130" s="332">
        <f>+begr!G14</f>
        <v>3810248.1600000006</v>
      </c>
      <c r="H130" s="332">
        <f>+begr!H14</f>
        <v>3810248.1600000006</v>
      </c>
      <c r="I130" s="332">
        <f>+begr!I14</f>
        <v>3810248.1600000006</v>
      </c>
      <c r="J130" s="320"/>
      <c r="K130" s="97"/>
    </row>
    <row r="131" spans="2:11">
      <c r="B131" s="92"/>
      <c r="C131" s="131"/>
      <c r="D131" s="938"/>
      <c r="E131" s="326"/>
      <c r="F131" s="956">
        <f>IF(F130=0,0,(F128-F129)/F130)</f>
        <v>0.98187456640619442</v>
      </c>
      <c r="G131" s="956">
        <f>IF(G130=0,0,(G128-G129)/G130)</f>
        <v>1.9637491328123888</v>
      </c>
      <c r="H131" s="956">
        <f>IF(H130=0,0,(H128-H129)/H130)</f>
        <v>2.9456236992185829</v>
      </c>
      <c r="I131" s="956">
        <f>IF(I130=0,0,(I128-I129)/I130)</f>
        <v>3.9274982656247777</v>
      </c>
      <c r="J131" s="320"/>
      <c r="K131" s="97"/>
    </row>
    <row r="132" spans="2:11">
      <c r="B132" s="92"/>
      <c r="C132" s="940"/>
      <c r="D132" s="961" t="s">
        <v>543</v>
      </c>
      <c r="E132" s="320"/>
      <c r="F132" s="328"/>
      <c r="G132" s="328"/>
      <c r="H132" s="328"/>
      <c r="I132" s="328"/>
      <c r="J132" s="320"/>
      <c r="K132" s="97"/>
    </row>
    <row r="133" spans="2:11">
      <c r="B133" s="92"/>
      <c r="C133" s="940"/>
      <c r="D133" s="941" t="s">
        <v>544</v>
      </c>
      <c r="E133" s="320"/>
      <c r="F133" s="779">
        <f>bal!G25</f>
        <v>3741185.7600000007</v>
      </c>
      <c r="G133" s="779">
        <f>bal!H25</f>
        <v>7482371.5200000014</v>
      </c>
      <c r="H133" s="779">
        <f>bal!I25</f>
        <v>11223557.280000001</v>
      </c>
      <c r="I133" s="779">
        <f>bal!J25</f>
        <v>14964743.040000003</v>
      </c>
      <c r="J133" s="320"/>
      <c r="K133" s="97"/>
    </row>
    <row r="134" spans="2:11">
      <c r="B134" s="92"/>
      <c r="C134" s="940"/>
      <c r="D134" s="941" t="s">
        <v>498</v>
      </c>
      <c r="E134" s="320"/>
      <c r="F134" s="332">
        <f>begr!F19+begr!F35</f>
        <v>3810248.1600000006</v>
      </c>
      <c r="G134" s="332">
        <f>begr!G19+begr!G35</f>
        <v>3810248.1600000006</v>
      </c>
      <c r="H134" s="332">
        <f>begr!H19+begr!H35</f>
        <v>3810248.1600000006</v>
      </c>
      <c r="I134" s="332">
        <f>begr!I19+begr!I35</f>
        <v>3810248.1600000006</v>
      </c>
      <c r="J134" s="320"/>
      <c r="K134" s="97"/>
    </row>
    <row r="135" spans="2:11">
      <c r="B135" s="92"/>
      <c r="C135" s="940"/>
      <c r="D135" s="941"/>
      <c r="E135" s="320"/>
      <c r="F135" s="955">
        <f>F133/F134</f>
        <v>0.98187456640619442</v>
      </c>
      <c r="G135" s="955">
        <f>G133/G134</f>
        <v>1.9637491328123888</v>
      </c>
      <c r="H135" s="955">
        <f>H133/H134</f>
        <v>2.9456236992185829</v>
      </c>
      <c r="I135" s="955">
        <f>I133/I134</f>
        <v>3.9274982656247777</v>
      </c>
      <c r="J135" s="320"/>
      <c r="K135" s="97"/>
    </row>
    <row r="136" spans="2:11">
      <c r="B136" s="92"/>
      <c r="C136" s="949"/>
      <c r="D136" s="950"/>
      <c r="E136" s="943"/>
      <c r="F136" s="870"/>
      <c r="G136" s="870"/>
      <c r="H136" s="870"/>
      <c r="I136" s="870"/>
      <c r="J136" s="943"/>
      <c r="K136" s="97"/>
    </row>
    <row r="137" spans="2:11">
      <c r="B137" s="92"/>
      <c r="C137" s="854"/>
      <c r="D137" s="473"/>
      <c r="E137" s="93"/>
      <c r="F137" s="93"/>
      <c r="G137" s="93"/>
      <c r="H137" s="93"/>
      <c r="I137" s="93"/>
      <c r="J137" s="93"/>
      <c r="K137" s="97"/>
    </row>
    <row r="138" spans="2:11">
      <c r="B138" s="92"/>
      <c r="C138" s="951"/>
      <c r="D138" s="514"/>
      <c r="E138" s="127"/>
      <c r="F138" s="127"/>
      <c r="G138" s="127"/>
      <c r="H138" s="127"/>
      <c r="I138" s="127"/>
      <c r="J138" s="127"/>
      <c r="K138" s="97"/>
    </row>
    <row r="139" spans="2:11">
      <c r="B139" s="92"/>
      <c r="C139" s="131"/>
      <c r="D139" s="947" t="s">
        <v>503</v>
      </c>
      <c r="E139" s="322"/>
      <c r="F139" s="328"/>
      <c r="G139" s="328"/>
      <c r="H139" s="328"/>
      <c r="I139" s="328"/>
      <c r="J139" s="320"/>
      <c r="K139" s="97"/>
    </row>
    <row r="140" spans="2:11">
      <c r="B140" s="92"/>
      <c r="C140" s="131"/>
      <c r="D140" s="935"/>
      <c r="E140" s="322"/>
      <c r="F140" s="328"/>
      <c r="G140" s="328"/>
      <c r="H140" s="328"/>
      <c r="I140" s="328"/>
      <c r="J140" s="320"/>
      <c r="K140" s="97"/>
    </row>
    <row r="141" spans="2:11">
      <c r="B141" s="92"/>
      <c r="C141" s="151"/>
      <c r="D141" s="932" t="s">
        <v>504</v>
      </c>
      <c r="E141" s="133"/>
      <c r="F141" s="243">
        <f>IF(F27=0,0,+F15/F27)</f>
        <v>55.171093967194899</v>
      </c>
      <c r="G141" s="243">
        <f>IF(G27=0,0,+G15/G27)</f>
        <v>55.171093967194899</v>
      </c>
      <c r="H141" s="243">
        <f>IF(H27=0,0,+H15/H27)</f>
        <v>55.171093967194899</v>
      </c>
      <c r="I141" s="243">
        <f>IF(I27=0,0,+I15/I27)</f>
        <v>55.171093967194899</v>
      </c>
      <c r="J141" s="234"/>
      <c r="K141" s="97"/>
    </row>
    <row r="142" spans="2:11">
      <c r="B142" s="92"/>
      <c r="C142" s="131"/>
      <c r="D142" s="932" t="s">
        <v>645</v>
      </c>
      <c r="E142" s="322"/>
      <c r="F142" s="243">
        <f>IF(pers!J260=0,0,+pers!J259/pers!J260)</f>
        <v>50.536085337318148</v>
      </c>
      <c r="G142" s="243">
        <f>IF(pers!K260=0,0,+pers!K259/pers!K260)</f>
        <v>50.536085337318148</v>
      </c>
      <c r="H142" s="243">
        <f>IF(pers!L260=0,0,+pers!L259/pers!L260)</f>
        <v>50.536085337318148</v>
      </c>
      <c r="I142" s="243">
        <f>IF(pers!M260=0,0,+pers!M259/pers!M260)</f>
        <v>50.536085337318148</v>
      </c>
      <c r="J142" s="320"/>
      <c r="K142" s="97"/>
    </row>
    <row r="143" spans="2:11">
      <c r="B143" s="92"/>
      <c r="C143" s="131"/>
      <c r="D143" s="932" t="s">
        <v>643</v>
      </c>
      <c r="E143" s="322"/>
      <c r="F143" s="243">
        <f>IF(mat!K253=0,0,+mat!K172/mat!K253)</f>
        <v>0</v>
      </c>
      <c r="G143" s="243">
        <f>IF(mat!L253=0,0,+mat!L172/mat!L253)</f>
        <v>0</v>
      </c>
      <c r="H143" s="243">
        <f>IF(mat!M253=0,0,+mat!M172/mat!M253)</f>
        <v>0</v>
      </c>
      <c r="I143" s="243">
        <f>IF(mat!N253=0,0,+mat!N172/mat!N253)</f>
        <v>0</v>
      </c>
      <c r="J143" s="320"/>
      <c r="K143" s="97"/>
    </row>
    <row r="144" spans="2:11">
      <c r="B144" s="92"/>
      <c r="C144" s="151"/>
      <c r="D144" s="932" t="s">
        <v>505</v>
      </c>
      <c r="E144" s="133"/>
      <c r="F144" s="332">
        <f>IF(geg!$L$148=0,0,mat!K253/geg!$L$148)</f>
        <v>0</v>
      </c>
      <c r="G144" s="332">
        <f>IF(geg!$L$148=0,0,mat!L253/geg!$L$148)</f>
        <v>0</v>
      </c>
      <c r="H144" s="332">
        <f>IF(geg!$L$148=0,0,mat!M253/geg!$L$148)</f>
        <v>0</v>
      </c>
      <c r="I144" s="332">
        <f>IF(geg!$L$148=0,0,mat!N253/geg!$L$148)</f>
        <v>0</v>
      </c>
      <c r="J144" s="234"/>
      <c r="K144" s="97"/>
    </row>
    <row r="145" spans="2:11">
      <c r="B145" s="92"/>
      <c r="C145" s="151"/>
      <c r="D145" s="932" t="s">
        <v>506</v>
      </c>
      <c r="E145" s="133"/>
      <c r="F145" s="332">
        <f>IF(geg!$L$148=0,0,+pers!J260/geg!$L$148)</f>
        <v>324.23661971830984</v>
      </c>
      <c r="G145" s="332">
        <f>IF(geg!$L$148=0,0,+pers!K260/geg!$L$148)</f>
        <v>324.23661971830984</v>
      </c>
      <c r="H145" s="332">
        <f>IF(geg!$L$148=0,0,+pers!L260/geg!$L$148)</f>
        <v>324.23661971830984</v>
      </c>
      <c r="I145" s="332">
        <f>IF(geg!$L$148=0,0,+pers!M260/geg!$L$148)</f>
        <v>324.23661971830984</v>
      </c>
      <c r="J145" s="234"/>
      <c r="K145" s="97"/>
    </row>
    <row r="146" spans="2:11">
      <c r="B146" s="92"/>
      <c r="C146" s="151"/>
      <c r="D146" s="932" t="s">
        <v>507</v>
      </c>
      <c r="E146" s="133"/>
      <c r="F146" s="332">
        <f>IF(ken!G199=0,0,+pers!J253/ken!G199)</f>
        <v>69062.399999999994</v>
      </c>
      <c r="G146" s="332">
        <f>IF(ken!H199=0,0,+pers!K253/ken!H199)</f>
        <v>69062.399999999994</v>
      </c>
      <c r="H146" s="332">
        <f>IF(ken!I199=0,0,+pers!L253/ken!I199)</f>
        <v>69062.399999999994</v>
      </c>
      <c r="I146" s="332">
        <f>IF(ken!J199=0,0,+pers!M253/ken!J199)</f>
        <v>0</v>
      </c>
      <c r="J146" s="320"/>
      <c r="K146" s="97"/>
    </row>
    <row r="147" spans="2:11">
      <c r="B147" s="92"/>
      <c r="C147" s="151"/>
      <c r="D147" s="932"/>
      <c r="E147" s="133"/>
      <c r="F147" s="328"/>
      <c r="G147" s="328"/>
      <c r="H147" s="328"/>
      <c r="I147" s="328"/>
      <c r="J147" s="234"/>
      <c r="K147" s="97"/>
    </row>
    <row r="148" spans="2:11">
      <c r="B148" s="92"/>
      <c r="C148" s="151"/>
      <c r="D148" s="932" t="s">
        <v>644</v>
      </c>
      <c r="E148" s="133"/>
      <c r="F148" s="243">
        <f>IF(F15=0,0,+pers!J259/F15)</f>
        <v>0.91598845887245317</v>
      </c>
      <c r="G148" s="243">
        <f>IF(G15=0,0,+pers!K259/G15)</f>
        <v>0.91598845887245317</v>
      </c>
      <c r="H148" s="243">
        <f>IF(H15=0,0,+pers!L259/H15)</f>
        <v>0.91598845887245317</v>
      </c>
      <c r="I148" s="243">
        <f>IF(I15=0,0,+pers!M259/I15)</f>
        <v>0.91598845887245317</v>
      </c>
      <c r="J148" s="234"/>
      <c r="K148" s="97"/>
    </row>
    <row r="149" spans="2:11">
      <c r="B149" s="92"/>
      <c r="C149" s="151"/>
      <c r="D149" s="932" t="s">
        <v>508</v>
      </c>
      <c r="E149" s="133"/>
      <c r="F149" s="243">
        <f>IF(F27=0,0,pers!J260/F27)</f>
        <v>1</v>
      </c>
      <c r="G149" s="243">
        <f>IF(G27=0,0,pers!K260/G27)</f>
        <v>1</v>
      </c>
      <c r="H149" s="243">
        <f>IF(H27=0,0,pers!L260/H27)</f>
        <v>1</v>
      </c>
      <c r="I149" s="243">
        <f>IF(I27=0,0,pers!M260/I27)</f>
        <v>1</v>
      </c>
      <c r="J149" s="320"/>
      <c r="K149" s="97"/>
    </row>
    <row r="150" spans="2:11">
      <c r="B150" s="92"/>
      <c r="C150" s="151"/>
      <c r="D150" s="932" t="s">
        <v>520</v>
      </c>
      <c r="E150" s="133"/>
      <c r="F150" s="243">
        <f>IF(F34=0,0,+pers!J253/F27)</f>
        <v>1</v>
      </c>
      <c r="G150" s="243">
        <f>IF(G34=0,0,+pers!K253/G27)</f>
        <v>1</v>
      </c>
      <c r="H150" s="243">
        <f>IF(H34=0,0,+pers!L253/H27)</f>
        <v>1</v>
      </c>
      <c r="I150" s="243">
        <f>IF(I34=0,0,+pers!M253/I27)</f>
        <v>1</v>
      </c>
      <c r="J150" s="234"/>
      <c r="K150" s="97"/>
    </row>
    <row r="151" spans="2:11">
      <c r="B151" s="92"/>
      <c r="C151" s="151"/>
      <c r="D151" s="932" t="s">
        <v>646</v>
      </c>
      <c r="E151" s="133"/>
      <c r="F151" s="243">
        <f>IF(begr!F42=0,0,+mat!K172/F15)</f>
        <v>8.4011541127546913E-2</v>
      </c>
      <c r="G151" s="243">
        <f>IF(begr!G42=0,0,+mat!L172/G15)</f>
        <v>8.4011541127546913E-2</v>
      </c>
      <c r="H151" s="243">
        <f>IF(begr!H42=0,0,+mat!M172/H15)</f>
        <v>8.4011541127546913E-2</v>
      </c>
      <c r="I151" s="243">
        <f>IF(begr!I42=0,0,+mat!N172/I15)</f>
        <v>8.4011541127546913E-2</v>
      </c>
      <c r="J151" s="234"/>
      <c r="K151" s="97"/>
    </row>
    <row r="152" spans="2:11">
      <c r="B152" s="92"/>
      <c r="C152" s="151"/>
      <c r="D152" s="932" t="s">
        <v>647</v>
      </c>
      <c r="E152" s="133"/>
      <c r="F152" s="243">
        <f>IF(ken!F27=0,0,+mat!K253/F27)</f>
        <v>0</v>
      </c>
      <c r="G152" s="243">
        <f>IF(ken!G27=0,0,+mat!L253/G27)</f>
        <v>0</v>
      </c>
      <c r="H152" s="243">
        <f>IF(ken!H27=0,0,+mat!M253/H27)</f>
        <v>0</v>
      </c>
      <c r="I152" s="243">
        <f>IF(ken!I27=0,0,+mat!N253/I27)</f>
        <v>0</v>
      </c>
      <c r="J152" s="234"/>
      <c r="K152" s="97"/>
    </row>
    <row r="153" spans="2:11">
      <c r="B153" s="92"/>
      <c r="C153" s="151"/>
      <c r="D153" s="932"/>
      <c r="E153" s="133"/>
      <c r="F153" s="233"/>
      <c r="G153" s="233"/>
      <c r="H153" s="233"/>
      <c r="I153" s="233"/>
      <c r="J153" s="234"/>
      <c r="K153" s="97"/>
    </row>
    <row r="154" spans="2:11">
      <c r="B154" s="92"/>
      <c r="C154" s="151"/>
      <c r="D154" s="932" t="s">
        <v>521</v>
      </c>
      <c r="E154" s="133"/>
      <c r="F154" s="243">
        <f>IF(pers!J253=0,0,+pers!J250/pers!J253)</f>
        <v>0</v>
      </c>
      <c r="G154" s="243">
        <f>IF(pers!K253=0,0,+pers!K250/pers!K253)</f>
        <v>0</v>
      </c>
      <c r="H154" s="243">
        <f>IF(pers!L253=0,0,+pers!L250/pers!L253)</f>
        <v>0</v>
      </c>
      <c r="I154" s="243">
        <f>IF(pers!M253=0,0,+pers!M250/pers!M253)</f>
        <v>0</v>
      </c>
      <c r="J154" s="320"/>
      <c r="K154" s="97"/>
    </row>
    <row r="155" spans="2:11">
      <c r="B155" s="92"/>
      <c r="C155" s="151"/>
      <c r="D155" s="932" t="s">
        <v>522</v>
      </c>
      <c r="E155" s="133"/>
      <c r="F155" s="243">
        <f>IF(pers!J253=0,0,+pers!J251/pers!J253)</f>
        <v>1</v>
      </c>
      <c r="G155" s="243">
        <f>IF(pers!K253=0,0,+pers!K251/pers!K253)</f>
        <v>1</v>
      </c>
      <c r="H155" s="243">
        <f>IF(pers!L253=0,0,+pers!L251/pers!L253)</f>
        <v>1</v>
      </c>
      <c r="I155" s="243">
        <f>IF(pers!M253=0,0,+pers!M251/pers!M253)</f>
        <v>1</v>
      </c>
      <c r="J155" s="320"/>
      <c r="K155" s="97"/>
    </row>
    <row r="156" spans="2:11">
      <c r="B156" s="92"/>
      <c r="C156" s="151"/>
      <c r="D156" s="932" t="s">
        <v>523</v>
      </c>
      <c r="E156" s="133"/>
      <c r="F156" s="243">
        <f>IF(pers!J253=0,0,+pers!J252/pers!J253)</f>
        <v>0</v>
      </c>
      <c r="G156" s="243">
        <f>IF(pers!K253=0,0,+pers!K252/pers!K253)</f>
        <v>0</v>
      </c>
      <c r="H156" s="243">
        <f>IF(pers!L253=0,0,+pers!L252/pers!L253)</f>
        <v>0</v>
      </c>
      <c r="I156" s="243">
        <f>IF(pers!M253=0,0,+pers!M252/pers!M253)</f>
        <v>0</v>
      </c>
      <c r="J156" s="320"/>
      <c r="K156" s="97"/>
    </row>
    <row r="157" spans="2:11">
      <c r="B157" s="92"/>
      <c r="C157" s="151"/>
      <c r="D157" s="932" t="s">
        <v>524</v>
      </c>
      <c r="E157" s="133"/>
      <c r="F157" s="332">
        <f>IF(geg!$L$148=0,0,+pers!J250/geg!$L$148)</f>
        <v>0</v>
      </c>
      <c r="G157" s="332">
        <f>IF(geg!$L$148=0,0,+pers!K250/geg!$L$148)</f>
        <v>0</v>
      </c>
      <c r="H157" s="332">
        <f>IF(geg!$L$148=0,0,+pers!L250/geg!$L$148)</f>
        <v>0</v>
      </c>
      <c r="I157" s="332">
        <f>IF(geg!$L$148=0,0,+pers!M250/geg!$L$148)</f>
        <v>0</v>
      </c>
      <c r="J157" s="320"/>
      <c r="K157" s="97"/>
    </row>
    <row r="158" spans="2:11">
      <c r="B158" s="92"/>
      <c r="C158" s="151"/>
      <c r="D158" s="932" t="s">
        <v>525</v>
      </c>
      <c r="E158" s="133"/>
      <c r="F158" s="332">
        <f>IF(geg!$L$148=0,0,+pers!J251/geg!$L$148)</f>
        <v>324.23661971830984</v>
      </c>
      <c r="G158" s="332">
        <f>IF(geg!$L$148=0,0,+pers!K251/geg!$L$148)</f>
        <v>324.23661971830984</v>
      </c>
      <c r="H158" s="332">
        <f>IF(geg!$L$148=0,0,+pers!L251/geg!$L$148)</f>
        <v>324.23661971830984</v>
      </c>
      <c r="I158" s="332">
        <f>IF(geg!$L$148=0,0,+pers!M251/geg!$L$148)</f>
        <v>324.23661971830984</v>
      </c>
      <c r="J158" s="320"/>
      <c r="K158" s="97"/>
    </row>
    <row r="159" spans="2:11">
      <c r="B159" s="92"/>
      <c r="C159" s="151"/>
      <c r="D159" s="932" t="s">
        <v>526</v>
      </c>
      <c r="E159" s="133"/>
      <c r="F159" s="332">
        <f>IF(geg!$L$148=0,0,+pers!J252/geg!$L$148)</f>
        <v>0</v>
      </c>
      <c r="G159" s="332">
        <f>IF(geg!$L$148=0,0,+pers!K252/geg!$L$148)</f>
        <v>0</v>
      </c>
      <c r="H159" s="332">
        <f>IF(geg!$L$148=0,0,+pers!L252/geg!$L$148)</f>
        <v>0</v>
      </c>
      <c r="I159" s="332">
        <f>IF(geg!$L$148=0,0,+pers!M252/geg!$L$148)</f>
        <v>0</v>
      </c>
      <c r="J159" s="320"/>
      <c r="K159" s="97"/>
    </row>
    <row r="160" spans="2:11">
      <c r="B160" s="92"/>
      <c r="C160" s="151"/>
      <c r="D160" s="932"/>
      <c r="E160" s="133"/>
      <c r="F160" s="233"/>
      <c r="G160" s="233"/>
      <c r="H160" s="233"/>
      <c r="I160" s="233"/>
      <c r="J160" s="320"/>
      <c r="K160" s="97"/>
    </row>
    <row r="161" spans="2:11">
      <c r="B161" s="92"/>
      <c r="C161" s="151"/>
      <c r="D161" s="932" t="s">
        <v>527</v>
      </c>
      <c r="E161" s="133"/>
      <c r="F161" s="962">
        <f>IF(ken!G199=0,0,geg!$L$148/ken!G199)</f>
        <v>213</v>
      </c>
      <c r="G161" s="962">
        <f>IF(ken!H199=0,0,geg!$L$148/ken!H199)</f>
        <v>213</v>
      </c>
      <c r="H161" s="962">
        <f>IF(ken!I199=0,0,geg!$L$148/ken!I199)</f>
        <v>213</v>
      </c>
      <c r="I161" s="962">
        <f>IF(ken!J199=0,0,geg!$L$148/ken!J199)</f>
        <v>0</v>
      </c>
      <c r="J161" s="320"/>
      <c r="K161" s="97"/>
    </row>
    <row r="162" spans="2:11">
      <c r="B162" s="92"/>
      <c r="C162" s="151"/>
      <c r="D162" s="932" t="s">
        <v>528</v>
      </c>
      <c r="E162" s="133"/>
      <c r="F162" s="962">
        <f>IF(ken!G196=0,0,geg!$L$148/ken!G196)</f>
        <v>0</v>
      </c>
      <c r="G162" s="962">
        <f>IF(ken!H196=0,0,geg!$L$148/ken!H196)</f>
        <v>0</v>
      </c>
      <c r="H162" s="962">
        <f>IF(ken!I196=0,0,geg!$L$148/ken!I196)</f>
        <v>0</v>
      </c>
      <c r="I162" s="962">
        <f>IF(ken!J196=0,0,geg!$L$148/ken!J196)</f>
        <v>0</v>
      </c>
      <c r="J162" s="320"/>
      <c r="K162" s="97"/>
    </row>
    <row r="163" spans="2:11">
      <c r="B163" s="92"/>
      <c r="C163" s="151"/>
      <c r="D163" s="932" t="s">
        <v>529</v>
      </c>
      <c r="E163" s="133"/>
      <c r="F163" s="962">
        <f>IF(ken!G197=0,0,geg!$L$148/ken!G197)</f>
        <v>213</v>
      </c>
      <c r="G163" s="962">
        <f>IF(ken!H197=0,0,geg!$L$148/ken!H197)</f>
        <v>213</v>
      </c>
      <c r="H163" s="962">
        <f>IF(ken!I197=0,0,geg!$L$148/ken!I197)</f>
        <v>213</v>
      </c>
      <c r="I163" s="962">
        <f>IF(ken!J197=0,0,geg!$L$148/ken!J197)</f>
        <v>213</v>
      </c>
      <c r="J163" s="320"/>
      <c r="K163" s="97"/>
    </row>
    <row r="164" spans="2:11">
      <c r="B164" s="92"/>
      <c r="C164" s="151"/>
      <c r="D164" s="932" t="s">
        <v>530</v>
      </c>
      <c r="E164" s="133"/>
      <c r="F164" s="962">
        <f>IF(ken!G198=0,0,geg!$L$148/ken!G198)</f>
        <v>0</v>
      </c>
      <c r="G164" s="962">
        <f>IF(ken!H198=0,0,geg!$L$148/ken!H198)</f>
        <v>0</v>
      </c>
      <c r="H164" s="962">
        <f>IF(ken!I198=0,0,geg!$L$148/ken!I198)</f>
        <v>0</v>
      </c>
      <c r="I164" s="962">
        <f>IF(ken!J198=0,0,geg!$L$148/ken!J198)</f>
        <v>0</v>
      </c>
      <c r="J164" s="320"/>
      <c r="K164" s="97"/>
    </row>
    <row r="165" spans="2:11">
      <c r="B165" s="92"/>
      <c r="C165" s="131"/>
      <c r="D165" s="932"/>
      <c r="E165" s="133"/>
      <c r="F165" s="328"/>
      <c r="G165" s="328"/>
      <c r="H165" s="328"/>
      <c r="I165" s="328"/>
      <c r="J165" s="320"/>
      <c r="K165" s="97"/>
    </row>
    <row r="166" spans="2:11">
      <c r="B166" s="92"/>
      <c r="C166" s="151"/>
      <c r="D166" s="932" t="s">
        <v>85</v>
      </c>
      <c r="E166" s="155"/>
      <c r="F166" s="963">
        <f>IF(geg!$L$148=0,0,+geg!L146/geg!$L$148)</f>
        <v>0</v>
      </c>
      <c r="G166" s="963">
        <f>IF(geg!$L$148=0,0,+geg!O146/geg!$O$148)</f>
        <v>0</v>
      </c>
      <c r="H166" s="963">
        <f>IF(geg!$L$148=0,0,+geg!R146/geg!$R$148)</f>
        <v>0</v>
      </c>
      <c r="I166" s="963">
        <f>IF(geg!$L$148=0,0,+geg!U146/geg!$U$148)</f>
        <v>0</v>
      </c>
      <c r="J166" s="234"/>
      <c r="K166" s="97"/>
    </row>
    <row r="167" spans="2:11">
      <c r="B167" s="92"/>
      <c r="C167" s="151"/>
      <c r="D167" s="932" t="s">
        <v>84</v>
      </c>
      <c r="E167" s="133"/>
      <c r="F167" s="963">
        <f>IF(geg!$L$148=0,0,+geg!L147/geg!$L$148)</f>
        <v>1</v>
      </c>
      <c r="G167" s="963">
        <f>IF(geg!$L$148=0,0,+geg!O147/geg!$O$148)</f>
        <v>1</v>
      </c>
      <c r="H167" s="963">
        <f>IF(geg!$L$148=0,0,+geg!R147/geg!$R$148)</f>
        <v>1</v>
      </c>
      <c r="I167" s="963">
        <f>IF(geg!$L$148=0,0,+geg!U147/geg!$U$148)</f>
        <v>1</v>
      </c>
      <c r="J167" s="234"/>
      <c r="K167" s="97"/>
    </row>
    <row r="168" spans="2:11">
      <c r="B168" s="92"/>
      <c r="C168" s="141"/>
      <c r="D168" s="942"/>
      <c r="E168" s="144"/>
      <c r="F168" s="870"/>
      <c r="G168" s="870"/>
      <c r="H168" s="870"/>
      <c r="I168" s="870"/>
      <c r="J168" s="943"/>
      <c r="K168" s="97"/>
    </row>
    <row r="169" spans="2:11" s="353" customFormat="1">
      <c r="B169" s="926"/>
      <c r="C169" s="440"/>
      <c r="D169" s="925"/>
      <c r="E169" s="440"/>
      <c r="F169" s="618"/>
      <c r="G169" s="618"/>
      <c r="H169" s="618"/>
      <c r="I169" s="618"/>
      <c r="J169" s="440"/>
      <c r="K169" s="927"/>
    </row>
    <row r="170" spans="2:11">
      <c r="B170" s="921"/>
      <c r="C170" s="922"/>
      <c r="D170" s="923"/>
      <c r="E170" s="114"/>
      <c r="F170" s="114"/>
      <c r="G170" s="114"/>
      <c r="H170" s="114"/>
      <c r="I170" s="114"/>
      <c r="J170" s="114"/>
      <c r="K170" s="120"/>
    </row>
    <row r="171" spans="2:11" s="353" customFormat="1">
      <c r="B171" s="928"/>
      <c r="C171" s="431"/>
      <c r="D171" s="929"/>
      <c r="E171" s="431"/>
      <c r="F171" s="611"/>
      <c r="G171" s="611"/>
      <c r="H171" s="611"/>
      <c r="I171" s="611"/>
      <c r="J171" s="431"/>
      <c r="K171" s="930"/>
    </row>
    <row r="172" spans="2:11" s="353" customFormat="1">
      <c r="B172" s="926"/>
      <c r="C172" s="440"/>
      <c r="D172" s="925"/>
      <c r="E172" s="440"/>
      <c r="F172" s="618"/>
      <c r="G172" s="618"/>
      <c r="H172" s="618"/>
      <c r="I172" s="618"/>
      <c r="J172" s="440"/>
      <c r="K172" s="927"/>
    </row>
    <row r="173" spans="2:11" s="353" customFormat="1">
      <c r="B173" s="926"/>
      <c r="C173" s="440"/>
      <c r="D173" s="925"/>
      <c r="E173" s="440"/>
      <c r="F173" s="964">
        <f>F7</f>
        <v>2013</v>
      </c>
      <c r="G173" s="964">
        <f>G7</f>
        <v>2014</v>
      </c>
      <c r="H173" s="964">
        <f>H7</f>
        <v>2015</v>
      </c>
      <c r="I173" s="964">
        <f>I7</f>
        <v>2016</v>
      </c>
      <c r="J173" s="440"/>
      <c r="K173" s="927"/>
    </row>
    <row r="174" spans="2:11" s="353" customFormat="1">
      <c r="B174" s="926"/>
      <c r="C174" s="440"/>
      <c r="D174" s="925"/>
      <c r="E174" s="440"/>
      <c r="F174" s="618"/>
      <c r="G174" s="618"/>
      <c r="H174" s="618"/>
      <c r="I174" s="618"/>
      <c r="J174" s="440"/>
      <c r="K174" s="927"/>
    </row>
    <row r="175" spans="2:11" s="353" customFormat="1">
      <c r="B175" s="926"/>
      <c r="C175" s="944"/>
      <c r="D175" s="945"/>
      <c r="E175" s="522"/>
      <c r="F175" s="946"/>
      <c r="G175" s="946"/>
      <c r="H175" s="946"/>
      <c r="I175" s="946"/>
      <c r="J175" s="522"/>
      <c r="K175" s="927"/>
    </row>
    <row r="176" spans="2:11">
      <c r="B176" s="836"/>
      <c r="C176" s="837"/>
      <c r="D176" s="947" t="s">
        <v>531</v>
      </c>
      <c r="E176" s="322"/>
      <c r="F176" s="133"/>
      <c r="G176" s="133"/>
      <c r="H176" s="133"/>
      <c r="I176" s="133"/>
      <c r="J176" s="320"/>
      <c r="K176" s="97"/>
    </row>
    <row r="177" spans="2:11">
      <c r="B177" s="92"/>
      <c r="C177" s="131"/>
      <c r="D177" s="933"/>
      <c r="E177" s="322"/>
      <c r="F177" s="328"/>
      <c r="G177" s="328"/>
      <c r="H177" s="328"/>
      <c r="I177" s="328"/>
      <c r="J177" s="320"/>
      <c r="K177" s="97"/>
    </row>
    <row r="178" spans="2:11">
      <c r="B178" s="92"/>
      <c r="C178" s="131"/>
      <c r="D178" s="932" t="s">
        <v>648</v>
      </c>
      <c r="E178" s="133"/>
      <c r="F178" s="243">
        <f>IF(geg!$L148=0,0,+geg!L148/geg!$L$148)</f>
        <v>1</v>
      </c>
      <c r="G178" s="243">
        <f>IF(geg!$L148=0,0,+geg!O148/geg!$L$148)</f>
        <v>1</v>
      </c>
      <c r="H178" s="243">
        <f>IF(geg!$L148=0,0,+geg!R148/geg!$L$148)</f>
        <v>1</v>
      </c>
      <c r="I178" s="243">
        <f>IF(geg!$L148=0,0,+geg!U148/geg!$L$148)</f>
        <v>1</v>
      </c>
      <c r="J178" s="320"/>
      <c r="K178" s="97"/>
    </row>
    <row r="179" spans="2:11">
      <c r="B179" s="92"/>
      <c r="C179" s="131"/>
      <c r="D179" s="932" t="s">
        <v>649</v>
      </c>
      <c r="E179" s="133"/>
      <c r="F179" s="243">
        <f>IF(ken!$G199=0,0,+ken!G199/ken!$G$199)</f>
        <v>1</v>
      </c>
      <c r="G179" s="243">
        <f>IF(ken!$G199=0,0,+ken!H199/ken!$G$199)</f>
        <v>1</v>
      </c>
      <c r="H179" s="243">
        <f>IF(ken!$G199=0,0,+ken!I199/ken!$G$199)</f>
        <v>1</v>
      </c>
      <c r="I179" s="243">
        <f>IF(ken!$G199=0,0,+ken!J199/ken!$G$199)</f>
        <v>0</v>
      </c>
      <c r="J179" s="320"/>
      <c r="K179" s="97"/>
    </row>
    <row r="180" spans="2:11">
      <c r="B180" s="92"/>
      <c r="C180" s="131"/>
      <c r="D180" s="932" t="s">
        <v>532</v>
      </c>
      <c r="E180" s="133"/>
      <c r="F180" s="243">
        <f>IF(pers!$J253=0,0,+pers!J253/pers!$J$253)</f>
        <v>1</v>
      </c>
      <c r="G180" s="243">
        <f>IF(pers!$J253=0,0,+pers!K253/pers!$J$253)</f>
        <v>1</v>
      </c>
      <c r="H180" s="243">
        <f>IF(pers!$J253=0,0,+pers!L253/pers!$J$253)</f>
        <v>1</v>
      </c>
      <c r="I180" s="243">
        <f>IF(pers!$J253=0,0,+pers!M253/pers!$J$253)</f>
        <v>1</v>
      </c>
      <c r="J180" s="320"/>
      <c r="K180" s="97"/>
    </row>
    <row r="181" spans="2:11">
      <c r="B181" s="92"/>
      <c r="C181" s="131"/>
      <c r="D181" s="932" t="s">
        <v>533</v>
      </c>
      <c r="E181" s="133"/>
      <c r="F181" s="243">
        <f>IF($F15=0,0,+F15/$F$15)</f>
        <v>1</v>
      </c>
      <c r="G181" s="243">
        <f>IF($F15=0,0,+G15/$F$15)</f>
        <v>1</v>
      </c>
      <c r="H181" s="243">
        <f>IF($F15=0,0,+H15/$F$15)</f>
        <v>1</v>
      </c>
      <c r="I181" s="243">
        <f>IF($F15=0,0,+I15/$F$15)</f>
        <v>1</v>
      </c>
      <c r="J181" s="320"/>
      <c r="K181" s="97"/>
    </row>
    <row r="182" spans="2:11">
      <c r="B182" s="92"/>
      <c r="C182" s="131"/>
      <c r="D182" s="932" t="s">
        <v>534</v>
      </c>
      <c r="E182" s="133"/>
      <c r="F182" s="243">
        <f>IF($F130=0,0,+F130/$F$130)</f>
        <v>1</v>
      </c>
      <c r="G182" s="243">
        <f>IF($F130=0,0,+G130/$F$130)</f>
        <v>1</v>
      </c>
      <c r="H182" s="243">
        <f>IF($F130=0,0,+H130/$F$130)</f>
        <v>1</v>
      </c>
      <c r="I182" s="243">
        <f>IF($F130=0,0,+I130/$F$130)</f>
        <v>1</v>
      </c>
      <c r="J182" s="320"/>
      <c r="K182" s="97"/>
    </row>
    <row r="183" spans="2:11">
      <c r="B183" s="92"/>
      <c r="C183" s="131"/>
      <c r="D183" s="932" t="s">
        <v>580</v>
      </c>
      <c r="E183" s="133"/>
      <c r="F183" s="243">
        <f>IF(begr!$F15=0,0,+begr!F15/begr!$F$15)</f>
        <v>0</v>
      </c>
      <c r="G183" s="243">
        <f>IF(begr!$F15=0,0,+begr!G15/begr!$F$15)</f>
        <v>0</v>
      </c>
      <c r="H183" s="243">
        <f>IF(begr!$F15=0,0,+begr!H15/begr!$F$15)</f>
        <v>0</v>
      </c>
      <c r="I183" s="243">
        <f>IF(begr!$F15=0,0,+begr!I15/begr!$F$15)</f>
        <v>0</v>
      </c>
      <c r="J183" s="320"/>
      <c r="K183" s="97"/>
    </row>
    <row r="184" spans="2:11">
      <c r="B184" s="92"/>
      <c r="C184" s="131"/>
      <c r="D184" s="932" t="s">
        <v>509</v>
      </c>
      <c r="E184" s="133"/>
      <c r="F184" s="243">
        <f>IF(begr!$F17=0,0,+begr!F17/begr!$F$17)</f>
        <v>0</v>
      </c>
      <c r="G184" s="243">
        <f>IF(begr!$F17=0,0,+begr!G17/begr!$F$17)</f>
        <v>0</v>
      </c>
      <c r="H184" s="243">
        <f>IF(begr!$F17=0,0,+begr!H17/begr!$F$17)</f>
        <v>0</v>
      </c>
      <c r="I184" s="243">
        <f>IF(begr!$F17=0,0,+begr!I17/begr!$F$17)</f>
        <v>0</v>
      </c>
      <c r="J184" s="320"/>
      <c r="K184" s="97"/>
    </row>
    <row r="185" spans="2:11">
      <c r="B185" s="92"/>
      <c r="C185" s="131"/>
      <c r="D185" s="932" t="s">
        <v>581</v>
      </c>
      <c r="E185" s="133"/>
      <c r="F185" s="243">
        <f>IF(begr!$F18=0,0,+begr!F18/begr!$F$18)</f>
        <v>0</v>
      </c>
      <c r="G185" s="243">
        <f>IF(begr!$F18=0,0,+begr!G18/begr!$F$18)</f>
        <v>0</v>
      </c>
      <c r="H185" s="243">
        <f>IF(begr!$F18=0,0,+begr!H18/begr!$F$18)</f>
        <v>0</v>
      </c>
      <c r="I185" s="243">
        <f>IF(begr!$F18=0,0,+begr!I18/begr!$F$18)</f>
        <v>0</v>
      </c>
      <c r="J185" s="320"/>
      <c r="K185" s="97"/>
    </row>
    <row r="186" spans="2:11">
      <c r="B186" s="92"/>
      <c r="C186" s="131"/>
      <c r="D186" s="932" t="s">
        <v>583</v>
      </c>
      <c r="E186" s="133"/>
      <c r="F186" s="243">
        <f>IF($F27=0,0,+F27/$F$27)</f>
        <v>1</v>
      </c>
      <c r="G186" s="243">
        <f>IF($F27=0,0,+G27/$F$27)</f>
        <v>1</v>
      </c>
      <c r="H186" s="243">
        <f>IF($F27=0,0,+H27/$F$27)</f>
        <v>1</v>
      </c>
      <c r="I186" s="243">
        <f>IF($F27=0,0,+I27/$F$27)</f>
        <v>1</v>
      </c>
      <c r="J186" s="320"/>
      <c r="K186" s="97"/>
    </row>
    <row r="187" spans="2:11">
      <c r="B187" s="92"/>
      <c r="C187" s="131"/>
      <c r="D187" s="932" t="s">
        <v>650</v>
      </c>
      <c r="E187" s="133"/>
      <c r="F187" s="243">
        <f>IF($F34=0,0,+F34/$F$34)</f>
        <v>1</v>
      </c>
      <c r="G187" s="243">
        <f>IF($F34=0,0,+G34/$F$34)</f>
        <v>1</v>
      </c>
      <c r="H187" s="243">
        <f>IF($F34=0,0,+H34/$F$34)</f>
        <v>1</v>
      </c>
      <c r="I187" s="243">
        <f>IF($F34=0,0,+I34/$F$34)</f>
        <v>1</v>
      </c>
      <c r="J187" s="320"/>
      <c r="K187" s="97"/>
    </row>
    <row r="188" spans="2:11">
      <c r="B188" s="92"/>
      <c r="C188" s="131"/>
      <c r="D188" s="932" t="s">
        <v>584</v>
      </c>
      <c r="E188" s="133"/>
      <c r="F188" s="243">
        <f>IF(begr!$F24=0,0,begr!F24/begr!$F$24)</f>
        <v>0</v>
      </c>
      <c r="G188" s="243">
        <f>IF(begr!$F24=0,0,begr!G24/begr!$F$24)</f>
        <v>0</v>
      </c>
      <c r="H188" s="243">
        <f>IF(begr!$F24=0,0,begr!H24/begr!$F$24)</f>
        <v>0</v>
      </c>
      <c r="I188" s="243">
        <f>IF(begr!$F24=0,0,begr!I24/begr!$F$24)</f>
        <v>0</v>
      </c>
      <c r="J188" s="320"/>
      <c r="K188" s="97"/>
    </row>
    <row r="189" spans="2:11">
      <c r="B189" s="92"/>
      <c r="C189" s="131"/>
      <c r="D189" s="932" t="s">
        <v>547</v>
      </c>
      <c r="E189" s="133"/>
      <c r="F189" s="243">
        <f>IF($F70=0,0,F70/$F$70)</f>
        <v>0</v>
      </c>
      <c r="G189" s="243">
        <f>IF($F70=0,0,G70/$F$70)</f>
        <v>0</v>
      </c>
      <c r="H189" s="243">
        <f>IF($F70=0,0,H70/$F$70)</f>
        <v>0</v>
      </c>
      <c r="I189" s="243">
        <f>IF($F70=0,0,I70/$F$70)</f>
        <v>0</v>
      </c>
      <c r="J189" s="320"/>
      <c r="K189" s="97"/>
    </row>
    <row r="190" spans="2:11">
      <c r="B190" s="92"/>
      <c r="C190" s="131"/>
      <c r="D190" s="155" t="s">
        <v>27</v>
      </c>
      <c r="E190" s="133"/>
      <c r="F190" s="243">
        <f>IF(begr!$F26=0,0,begr!F26/begr!$F$24)</f>
        <v>0</v>
      </c>
      <c r="G190" s="243">
        <f>IF(begr!$F26=0,0,begr!G26/begr!$F$24)</f>
        <v>0</v>
      </c>
      <c r="H190" s="243">
        <f>IF(begr!$F26=0,0,begr!H26/begr!$F$24)</f>
        <v>0</v>
      </c>
      <c r="I190" s="243">
        <f>IF(begr!$F26=0,0,begr!I26/begr!$F$24)</f>
        <v>0</v>
      </c>
      <c r="J190" s="320"/>
      <c r="K190" s="97"/>
    </row>
    <row r="191" spans="2:11">
      <c r="B191" s="92"/>
      <c r="C191" s="141"/>
      <c r="D191" s="942"/>
      <c r="E191" s="144"/>
      <c r="F191" s="559"/>
      <c r="G191" s="559"/>
      <c r="H191" s="559"/>
      <c r="I191" s="559"/>
      <c r="J191" s="943"/>
      <c r="K191" s="97"/>
    </row>
    <row r="192" spans="2:11">
      <c r="B192" s="92"/>
      <c r="C192" s="93"/>
      <c r="D192" s="473"/>
      <c r="E192" s="93"/>
      <c r="F192" s="437"/>
      <c r="G192" s="437"/>
      <c r="H192" s="437"/>
      <c r="I192" s="437"/>
      <c r="J192" s="440"/>
      <c r="K192" s="97"/>
    </row>
    <row r="193" spans="2:11">
      <c r="B193" s="92"/>
      <c r="C193" s="124"/>
      <c r="D193" s="514"/>
      <c r="E193" s="127"/>
      <c r="F193" s="518"/>
      <c r="G193" s="518"/>
      <c r="H193" s="518"/>
      <c r="I193" s="518"/>
      <c r="J193" s="522"/>
      <c r="K193" s="97"/>
    </row>
    <row r="194" spans="2:11">
      <c r="B194" s="92"/>
      <c r="C194" s="131"/>
      <c r="D194" s="932"/>
      <c r="E194" s="133"/>
      <c r="F194" s="948" t="str">
        <f>tab!D2</f>
        <v>2012/13</v>
      </c>
      <c r="G194" s="948" t="str">
        <f>tab!E2</f>
        <v>2013/14</v>
      </c>
      <c r="H194" s="948" t="str">
        <f>tab!F2</f>
        <v>2014/15</v>
      </c>
      <c r="I194" s="948" t="str">
        <f>tab!G2</f>
        <v>2015/16</v>
      </c>
      <c r="J194" s="320"/>
      <c r="K194" s="97"/>
    </row>
    <row r="195" spans="2:11">
      <c r="B195" s="92"/>
      <c r="C195" s="131"/>
      <c r="D195" s="528" t="s">
        <v>395</v>
      </c>
      <c r="E195" s="133"/>
      <c r="F195" s="133"/>
      <c r="G195" s="133"/>
      <c r="H195" s="133"/>
      <c r="I195" s="133"/>
      <c r="J195" s="133"/>
      <c r="K195" s="97"/>
    </row>
    <row r="196" spans="2:11">
      <c r="B196" s="92"/>
      <c r="C196" s="131"/>
      <c r="D196" s="326" t="s">
        <v>396</v>
      </c>
      <c r="E196" s="133"/>
      <c r="F196" s="243">
        <f>SUM(dir!M16:M30)</f>
        <v>0</v>
      </c>
      <c r="G196" s="243">
        <f>SUM(dir!M43:M57)</f>
        <v>0</v>
      </c>
      <c r="H196" s="243">
        <f>SUM(dir!M71:M85)</f>
        <v>0</v>
      </c>
      <c r="I196" s="243">
        <f>SUM(dir!M98:M112)</f>
        <v>0</v>
      </c>
      <c r="J196" s="965">
        <f>dir!M140</f>
        <v>0</v>
      </c>
      <c r="K196" s="97"/>
    </row>
    <row r="197" spans="2:11">
      <c r="B197" s="92"/>
      <c r="C197" s="131"/>
      <c r="D197" s="326" t="s">
        <v>397</v>
      </c>
      <c r="E197" s="133"/>
      <c r="F197" s="243">
        <f>SUM(op!M16:M115)</f>
        <v>1</v>
      </c>
      <c r="G197" s="243">
        <f>SUM(op!M128:M227)</f>
        <v>1</v>
      </c>
      <c r="H197" s="243">
        <f>SUM(op!M240:M339)</f>
        <v>1</v>
      </c>
      <c r="I197" s="243">
        <f>SUM(op!M352:M451)</f>
        <v>1</v>
      </c>
      <c r="J197" s="965">
        <f>op!M564</f>
        <v>1</v>
      </c>
      <c r="K197" s="97"/>
    </row>
    <row r="198" spans="2:11">
      <c r="B198" s="92"/>
      <c r="C198" s="131"/>
      <c r="D198" s="326" t="s">
        <v>398</v>
      </c>
      <c r="E198" s="133"/>
      <c r="F198" s="243">
        <f>SUM(oop!M16:M65)</f>
        <v>0</v>
      </c>
      <c r="G198" s="243">
        <f>SUM(oop!M78:M127)</f>
        <v>0</v>
      </c>
      <c r="H198" s="243">
        <f>SUM(oop!M140:M189)</f>
        <v>0</v>
      </c>
      <c r="I198" s="243">
        <f>SUM(oop!M202:M251)</f>
        <v>0</v>
      </c>
      <c r="J198" s="965">
        <f>oop!M314</f>
        <v>0</v>
      </c>
      <c r="K198" s="97"/>
    </row>
    <row r="199" spans="2:11">
      <c r="B199" s="92"/>
      <c r="C199" s="131"/>
      <c r="D199" s="939"/>
      <c r="E199" s="138"/>
      <c r="F199" s="958">
        <f>SUM(F196:F198)</f>
        <v>1</v>
      </c>
      <c r="G199" s="958">
        <f>SUM(G196:G198)</f>
        <v>1</v>
      </c>
      <c r="H199" s="958">
        <f>SUM(H196:H198)</f>
        <v>1</v>
      </c>
      <c r="I199" s="958">
        <f>SUM(I196:I198)</f>
        <v>1</v>
      </c>
      <c r="J199" s="966"/>
      <c r="K199" s="97"/>
    </row>
    <row r="200" spans="2:11">
      <c r="B200" s="92"/>
      <c r="C200" s="141"/>
      <c r="D200" s="942"/>
      <c r="E200" s="144"/>
      <c r="F200" s="559"/>
      <c r="G200" s="559"/>
      <c r="H200" s="559"/>
      <c r="I200" s="559"/>
      <c r="J200" s="943"/>
      <c r="K200" s="97"/>
    </row>
    <row r="201" spans="2:11">
      <c r="B201" s="92"/>
      <c r="C201" s="93"/>
      <c r="D201" s="473"/>
      <c r="E201" s="93"/>
      <c r="F201" s="437"/>
      <c r="G201" s="437"/>
      <c r="H201" s="437"/>
      <c r="I201" s="437"/>
      <c r="J201" s="440"/>
      <c r="K201" s="97"/>
    </row>
    <row r="202" spans="2:11">
      <c r="B202" s="113"/>
      <c r="C202" s="114"/>
      <c r="D202" s="923"/>
      <c r="E202" s="114"/>
      <c r="F202" s="497"/>
      <c r="G202" s="497"/>
      <c r="H202" s="497"/>
      <c r="I202" s="497"/>
      <c r="J202" s="931"/>
      <c r="K202" s="120"/>
    </row>
    <row r="205" spans="2:11">
      <c r="F205" s="68"/>
      <c r="G205" s="68"/>
      <c r="H205" s="68"/>
      <c r="I205" s="68"/>
    </row>
    <row r="206" spans="2:11">
      <c r="F206" s="68"/>
      <c r="G206" s="68"/>
      <c r="H206" s="68"/>
      <c r="I206" s="68"/>
    </row>
    <row r="207" spans="2:11">
      <c r="F207" s="68"/>
      <c r="G207" s="68"/>
      <c r="H207" s="68"/>
      <c r="I207" s="68"/>
    </row>
    <row r="208" spans="2:11">
      <c r="D208" s="68"/>
      <c r="F208" s="68"/>
      <c r="G208" s="68"/>
      <c r="H208" s="68"/>
      <c r="I208" s="68"/>
      <c r="J208" s="68"/>
    </row>
    <row r="209" spans="4:10">
      <c r="D209" s="68"/>
      <c r="F209" s="68"/>
      <c r="G209" s="68"/>
      <c r="H209" s="68"/>
      <c r="I209" s="68"/>
      <c r="J209" s="68"/>
    </row>
    <row r="210" spans="4:10">
      <c r="D210" s="68"/>
      <c r="F210" s="68"/>
      <c r="G210" s="68"/>
      <c r="H210" s="68"/>
      <c r="I210" s="68"/>
      <c r="J210" s="68"/>
    </row>
    <row r="211" spans="4:10">
      <c r="D211" s="68"/>
      <c r="F211" s="68"/>
      <c r="G211" s="68"/>
      <c r="H211" s="68"/>
      <c r="I211" s="68"/>
      <c r="J211" s="68"/>
    </row>
    <row r="212" spans="4:10">
      <c r="D212" s="68"/>
      <c r="F212" s="68"/>
      <c r="G212" s="68"/>
      <c r="H212" s="68"/>
      <c r="I212" s="68"/>
      <c r="J212" s="68"/>
    </row>
    <row r="213" spans="4:10">
      <c r="F213" s="68"/>
      <c r="G213" s="68"/>
      <c r="H213" s="68"/>
      <c r="I213" s="68"/>
    </row>
    <row r="214" spans="4:10">
      <c r="F214" s="68"/>
      <c r="G214" s="68"/>
      <c r="H214" s="68"/>
      <c r="I214" s="68"/>
    </row>
    <row r="215" spans="4:10">
      <c r="F215" s="68"/>
      <c r="G215" s="68"/>
      <c r="H215" s="68"/>
      <c r="I215" s="68"/>
    </row>
    <row r="216" spans="4:10">
      <c r="F216" s="68"/>
      <c r="G216" s="68"/>
      <c r="H216" s="68"/>
      <c r="I216" s="68"/>
    </row>
    <row r="217" spans="4:10">
      <c r="F217" s="68"/>
      <c r="G217" s="68"/>
      <c r="H217" s="68"/>
      <c r="I217" s="68"/>
    </row>
  </sheetData>
  <sheetProtection password="DFB1" sheet="1" objects="1" scenarios="1"/>
  <phoneticPr fontId="0" type="noConversion"/>
  <pageMargins left="0.75" right="0.75" top="1" bottom="1" header="0.5" footer="0.5"/>
  <pageSetup paperSize="9" scale="60" orientation="portrait" verticalDpi="300" r:id="rId1"/>
  <headerFooter alignWithMargins="0">
    <oddHeader>&amp;L&amp;"Arial,Vet"&amp;F&amp;R&amp;"Arial,Vet"&amp;A</oddHeader>
    <oddFooter>&amp;L&amp;"Arial,Vet"keizer / goedhart&amp;C&amp;"Arial,Vet"&amp;D&amp;R&amp;"Arial,Vet"pagina &amp;P</oddFooter>
  </headerFooter>
  <rowBreaks count="2" manualBreakCount="2">
    <brk id="85" min="1" max="12" man="1"/>
    <brk id="170" min="1" max="12" man="1"/>
  </rowBreaks>
  <drawing r:id="rId2"/>
  <legacyDrawing r:id="rId3"/>
</worksheet>
</file>

<file path=xl/worksheets/sheet17.xml><?xml version="1.0" encoding="utf-8"?>
<worksheet xmlns="http://schemas.openxmlformats.org/spreadsheetml/2006/main" xmlns:r="http://schemas.openxmlformats.org/officeDocument/2006/relationships">
  <dimension ref="B1:R262"/>
  <sheetViews>
    <sheetView zoomScale="85" zoomScaleNormal="85" workbookViewId="0">
      <selection activeCell="B2" sqref="B2"/>
    </sheetView>
  </sheetViews>
  <sheetFormatPr defaultRowHeight="12.75"/>
  <cols>
    <col min="1" max="1" width="3.7109375" style="871" customWidth="1"/>
    <col min="2" max="2" width="2.7109375" style="871" customWidth="1"/>
    <col min="3" max="9" width="9.7109375" style="871" customWidth="1"/>
    <col min="10" max="10" width="2.7109375" style="871" customWidth="1"/>
    <col min="11" max="17" width="9.7109375" style="871" customWidth="1"/>
    <col min="18" max="18" width="2.7109375" style="871" customWidth="1"/>
    <col min="19" max="16384" width="9.140625" style="871"/>
  </cols>
  <sheetData>
    <row r="1" spans="2:18" ht="12.75" customHeight="1"/>
    <row r="2" spans="2:18">
      <c r="B2" s="874"/>
      <c r="C2" s="875"/>
      <c r="D2" s="875"/>
      <c r="E2" s="875"/>
      <c r="F2" s="875"/>
      <c r="G2" s="875"/>
      <c r="H2" s="875"/>
      <c r="I2" s="875"/>
      <c r="J2" s="875"/>
      <c r="K2" s="875"/>
      <c r="L2" s="875"/>
      <c r="M2" s="875"/>
      <c r="N2" s="875"/>
      <c r="O2" s="875"/>
      <c r="P2" s="875"/>
      <c r="Q2" s="875"/>
      <c r="R2" s="876"/>
    </row>
    <row r="3" spans="2:18">
      <c r="B3" s="877"/>
      <c r="C3" s="878"/>
      <c r="D3" s="878"/>
      <c r="E3" s="878"/>
      <c r="F3" s="878"/>
      <c r="G3" s="878"/>
      <c r="H3" s="878"/>
      <c r="I3" s="878"/>
      <c r="J3" s="878"/>
      <c r="K3" s="878"/>
      <c r="L3" s="878"/>
      <c r="M3" s="878"/>
      <c r="N3" s="878"/>
      <c r="O3" s="878"/>
      <c r="P3" s="878"/>
      <c r="Q3" s="878"/>
      <c r="R3" s="879"/>
    </row>
    <row r="4" spans="2:18" s="872" customFormat="1" ht="18.75">
      <c r="B4" s="880"/>
      <c r="C4" s="887" t="s">
        <v>651</v>
      </c>
      <c r="D4" s="881"/>
      <c r="E4" s="881"/>
      <c r="F4" s="881"/>
      <c r="G4" s="881"/>
      <c r="H4" s="881"/>
      <c r="I4" s="881"/>
      <c r="J4" s="881"/>
      <c r="K4" s="881"/>
      <c r="L4" s="881"/>
      <c r="M4" s="881"/>
      <c r="N4" s="881"/>
      <c r="O4" s="881"/>
      <c r="P4" s="881"/>
      <c r="Q4" s="881"/>
      <c r="R4" s="882"/>
    </row>
    <row r="5" spans="2:18" s="872" customFormat="1" ht="18.75">
      <c r="B5" s="880"/>
      <c r="C5" s="883" t="str">
        <f>geg!I12</f>
        <v>De speciale school</v>
      </c>
      <c r="D5" s="881"/>
      <c r="E5" s="881"/>
      <c r="F5" s="881"/>
      <c r="G5" s="881"/>
      <c r="H5" s="881"/>
      <c r="I5" s="881"/>
      <c r="J5" s="881"/>
      <c r="K5" s="881"/>
      <c r="L5" s="881"/>
      <c r="M5" s="881"/>
      <c r="N5" s="881"/>
      <c r="O5" s="881"/>
      <c r="P5" s="881"/>
      <c r="Q5" s="881"/>
      <c r="R5" s="882"/>
    </row>
    <row r="6" spans="2:18">
      <c r="B6" s="877"/>
      <c r="C6" s="878"/>
      <c r="D6" s="878"/>
      <c r="E6" s="878"/>
      <c r="F6" s="878"/>
      <c r="G6" s="878"/>
      <c r="H6" s="878"/>
      <c r="I6" s="878"/>
      <c r="J6" s="878"/>
      <c r="K6" s="878"/>
      <c r="L6" s="878"/>
      <c r="M6" s="878"/>
      <c r="N6" s="878"/>
      <c r="O6" s="878"/>
      <c r="P6" s="878"/>
      <c r="Q6" s="878"/>
      <c r="R6" s="879"/>
    </row>
    <row r="7" spans="2:18">
      <c r="B7" s="877"/>
      <c r="C7" s="878"/>
      <c r="D7" s="878"/>
      <c r="E7" s="878"/>
      <c r="F7" s="878"/>
      <c r="G7" s="878"/>
      <c r="H7" s="878"/>
      <c r="I7" s="878"/>
      <c r="J7" s="878"/>
      <c r="K7" s="878"/>
      <c r="L7" s="878"/>
      <c r="M7" s="878"/>
      <c r="N7" s="878"/>
      <c r="O7" s="878"/>
      <c r="P7" s="878"/>
      <c r="Q7" s="878"/>
      <c r="R7" s="879"/>
    </row>
    <row r="8" spans="2:18">
      <c r="B8" s="877"/>
      <c r="C8" s="878"/>
      <c r="D8" s="878"/>
      <c r="E8" s="878"/>
      <c r="F8" s="878"/>
      <c r="G8" s="878"/>
      <c r="H8" s="878"/>
      <c r="I8" s="878"/>
      <c r="J8" s="878"/>
      <c r="K8" s="878"/>
      <c r="L8" s="878"/>
      <c r="M8" s="878"/>
      <c r="N8" s="878"/>
      <c r="O8" s="878"/>
      <c r="P8" s="878"/>
      <c r="Q8" s="878"/>
      <c r="R8" s="879"/>
    </row>
    <row r="9" spans="2:18">
      <c r="B9" s="877"/>
      <c r="C9" s="878"/>
      <c r="D9" s="878"/>
      <c r="E9" s="878"/>
      <c r="F9" s="878"/>
      <c r="G9" s="878"/>
      <c r="H9" s="878"/>
      <c r="I9" s="878"/>
      <c r="J9" s="878"/>
      <c r="K9" s="878"/>
      <c r="L9" s="878"/>
      <c r="M9" s="878"/>
      <c r="N9" s="878"/>
      <c r="O9" s="878"/>
      <c r="P9" s="878"/>
      <c r="Q9" s="878"/>
      <c r="R9" s="879"/>
    </row>
    <row r="10" spans="2:18">
      <c r="B10" s="877"/>
      <c r="C10" s="878"/>
      <c r="D10" s="878"/>
      <c r="E10" s="878"/>
      <c r="F10" s="878"/>
      <c r="G10" s="878"/>
      <c r="H10" s="878"/>
      <c r="I10" s="878"/>
      <c r="J10" s="878"/>
      <c r="K10" s="878"/>
      <c r="L10" s="878"/>
      <c r="M10" s="878"/>
      <c r="N10" s="878"/>
      <c r="O10" s="878"/>
      <c r="P10" s="878"/>
      <c r="Q10" s="878"/>
      <c r="R10" s="879"/>
    </row>
    <row r="11" spans="2:18">
      <c r="B11" s="877"/>
      <c r="C11" s="878"/>
      <c r="D11" s="878"/>
      <c r="E11" s="878"/>
      <c r="F11" s="878"/>
      <c r="G11" s="878"/>
      <c r="H11" s="878"/>
      <c r="I11" s="878"/>
      <c r="J11" s="878"/>
      <c r="K11" s="878"/>
      <c r="L11" s="878"/>
      <c r="M11" s="878"/>
      <c r="N11" s="878"/>
      <c r="O11" s="878"/>
      <c r="P11" s="878"/>
      <c r="Q11" s="878"/>
      <c r="R11" s="879"/>
    </row>
    <row r="12" spans="2:18">
      <c r="B12" s="877"/>
      <c r="C12" s="878"/>
      <c r="D12" s="878"/>
      <c r="E12" s="878"/>
      <c r="F12" s="878"/>
      <c r="G12" s="878"/>
      <c r="H12" s="878"/>
      <c r="I12" s="878"/>
      <c r="J12" s="878"/>
      <c r="K12" s="878"/>
      <c r="L12" s="878"/>
      <c r="M12" s="878"/>
      <c r="N12" s="878"/>
      <c r="O12" s="878"/>
      <c r="P12" s="878"/>
      <c r="Q12" s="878"/>
      <c r="R12" s="879"/>
    </row>
    <row r="13" spans="2:18">
      <c r="B13" s="877"/>
      <c r="C13" s="878"/>
      <c r="D13" s="878"/>
      <c r="E13" s="878"/>
      <c r="F13" s="878"/>
      <c r="G13" s="878"/>
      <c r="H13" s="878"/>
      <c r="I13" s="878"/>
      <c r="J13" s="878"/>
      <c r="K13" s="878"/>
      <c r="L13" s="878"/>
      <c r="M13" s="878"/>
      <c r="N13" s="878"/>
      <c r="O13" s="878"/>
      <c r="P13" s="878"/>
      <c r="Q13" s="878"/>
      <c r="R13" s="879"/>
    </row>
    <row r="14" spans="2:18">
      <c r="B14" s="877"/>
      <c r="C14" s="878"/>
      <c r="D14" s="878"/>
      <c r="E14" s="878"/>
      <c r="F14" s="878"/>
      <c r="G14" s="878"/>
      <c r="H14" s="878"/>
      <c r="I14" s="878"/>
      <c r="J14" s="878"/>
      <c r="K14" s="878"/>
      <c r="L14" s="878"/>
      <c r="M14" s="878"/>
      <c r="N14" s="878"/>
      <c r="O14" s="878"/>
      <c r="P14" s="878"/>
      <c r="Q14" s="878"/>
      <c r="R14" s="879"/>
    </row>
    <row r="15" spans="2:18">
      <c r="B15" s="877"/>
      <c r="C15" s="878"/>
      <c r="D15" s="878"/>
      <c r="E15" s="878"/>
      <c r="F15" s="878"/>
      <c r="G15" s="878"/>
      <c r="H15" s="878"/>
      <c r="I15" s="878"/>
      <c r="J15" s="878"/>
      <c r="K15" s="878"/>
      <c r="L15" s="878"/>
      <c r="M15" s="878"/>
      <c r="N15" s="878"/>
      <c r="O15" s="878"/>
      <c r="P15" s="878"/>
      <c r="Q15" s="878"/>
      <c r="R15" s="879"/>
    </row>
    <row r="16" spans="2:18">
      <c r="B16" s="877"/>
      <c r="C16" s="878"/>
      <c r="D16" s="878"/>
      <c r="E16" s="878"/>
      <c r="F16" s="878"/>
      <c r="G16" s="878"/>
      <c r="H16" s="878"/>
      <c r="I16" s="878"/>
      <c r="J16" s="878"/>
      <c r="K16" s="878"/>
      <c r="L16" s="878"/>
      <c r="M16" s="878"/>
      <c r="N16" s="878"/>
      <c r="O16" s="878"/>
      <c r="P16" s="878"/>
      <c r="Q16" s="878"/>
      <c r="R16" s="879"/>
    </row>
    <row r="17" spans="2:18">
      <c r="B17" s="877"/>
      <c r="C17" s="878"/>
      <c r="D17" s="878"/>
      <c r="E17" s="878"/>
      <c r="F17" s="878"/>
      <c r="G17" s="878"/>
      <c r="H17" s="878"/>
      <c r="I17" s="878"/>
      <c r="J17" s="878"/>
      <c r="K17" s="878"/>
      <c r="L17" s="878"/>
      <c r="M17" s="878"/>
      <c r="N17" s="878"/>
      <c r="O17" s="878"/>
      <c r="P17" s="878"/>
      <c r="Q17" s="878"/>
      <c r="R17" s="879"/>
    </row>
    <row r="18" spans="2:18">
      <c r="B18" s="877"/>
      <c r="C18" s="878"/>
      <c r="D18" s="878"/>
      <c r="E18" s="878"/>
      <c r="F18" s="878"/>
      <c r="G18" s="878"/>
      <c r="H18" s="878"/>
      <c r="I18" s="878"/>
      <c r="J18" s="878"/>
      <c r="K18" s="878"/>
      <c r="L18" s="878"/>
      <c r="M18" s="878"/>
      <c r="N18" s="878"/>
      <c r="O18" s="878"/>
      <c r="P18" s="878"/>
      <c r="Q18" s="878"/>
      <c r="R18" s="879"/>
    </row>
    <row r="19" spans="2:18">
      <c r="B19" s="877"/>
      <c r="C19" s="878"/>
      <c r="D19" s="878"/>
      <c r="E19" s="878"/>
      <c r="F19" s="878"/>
      <c r="G19" s="878"/>
      <c r="H19" s="878"/>
      <c r="I19" s="878"/>
      <c r="J19" s="878"/>
      <c r="K19" s="878"/>
      <c r="L19" s="878"/>
      <c r="M19" s="878"/>
      <c r="N19" s="878"/>
      <c r="O19" s="878"/>
      <c r="P19" s="878"/>
      <c r="Q19" s="878"/>
      <c r="R19" s="879"/>
    </row>
    <row r="20" spans="2:18">
      <c r="B20" s="877"/>
      <c r="C20" s="878"/>
      <c r="D20" s="878"/>
      <c r="E20" s="878"/>
      <c r="F20" s="878"/>
      <c r="G20" s="878"/>
      <c r="H20" s="878"/>
      <c r="I20" s="878"/>
      <c r="J20" s="878"/>
      <c r="K20" s="878"/>
      <c r="L20" s="878"/>
      <c r="M20" s="878"/>
      <c r="N20" s="878"/>
      <c r="O20" s="878"/>
      <c r="P20" s="878"/>
      <c r="Q20" s="878"/>
      <c r="R20" s="879"/>
    </row>
    <row r="21" spans="2:18">
      <c r="B21" s="877"/>
      <c r="C21" s="878"/>
      <c r="D21" s="878"/>
      <c r="E21" s="878"/>
      <c r="F21" s="878"/>
      <c r="G21" s="878"/>
      <c r="H21" s="878"/>
      <c r="I21" s="878"/>
      <c r="J21" s="878"/>
      <c r="K21" s="878"/>
      <c r="L21" s="878"/>
      <c r="M21" s="878"/>
      <c r="N21" s="878"/>
      <c r="O21" s="878"/>
      <c r="P21" s="878"/>
      <c r="Q21" s="878"/>
      <c r="R21" s="879"/>
    </row>
    <row r="22" spans="2:18">
      <c r="B22" s="877"/>
      <c r="C22" s="878"/>
      <c r="D22" s="878"/>
      <c r="E22" s="878"/>
      <c r="F22" s="878"/>
      <c r="G22" s="878"/>
      <c r="H22" s="878"/>
      <c r="I22" s="878"/>
      <c r="J22" s="878"/>
      <c r="K22" s="878"/>
      <c r="L22" s="878"/>
      <c r="M22" s="878"/>
      <c r="N22" s="878"/>
      <c r="O22" s="878"/>
      <c r="P22" s="878"/>
      <c r="Q22" s="878"/>
      <c r="R22" s="879"/>
    </row>
    <row r="23" spans="2:18">
      <c r="B23" s="877"/>
      <c r="C23" s="878"/>
      <c r="D23" s="878"/>
      <c r="E23" s="878"/>
      <c r="F23" s="878"/>
      <c r="G23" s="878"/>
      <c r="H23" s="878"/>
      <c r="I23" s="878"/>
      <c r="J23" s="878"/>
      <c r="K23" s="878"/>
      <c r="L23" s="878"/>
      <c r="M23" s="878"/>
      <c r="N23" s="878"/>
      <c r="O23" s="878"/>
      <c r="P23" s="878"/>
      <c r="Q23" s="878"/>
      <c r="R23" s="879"/>
    </row>
    <row r="24" spans="2:18">
      <c r="B24" s="877"/>
      <c r="C24" s="878"/>
      <c r="D24" s="878"/>
      <c r="E24" s="878"/>
      <c r="F24" s="878"/>
      <c r="G24" s="878"/>
      <c r="H24" s="878"/>
      <c r="I24" s="878"/>
      <c r="J24" s="878"/>
      <c r="K24" s="878"/>
      <c r="L24" s="878"/>
      <c r="M24" s="878"/>
      <c r="N24" s="878"/>
      <c r="O24" s="878"/>
      <c r="P24" s="878"/>
      <c r="Q24" s="878"/>
      <c r="R24" s="879"/>
    </row>
    <row r="25" spans="2:18">
      <c r="B25" s="877"/>
      <c r="C25" s="878"/>
      <c r="D25" s="878"/>
      <c r="E25" s="878"/>
      <c r="F25" s="878"/>
      <c r="G25" s="878"/>
      <c r="H25" s="878"/>
      <c r="I25" s="878"/>
      <c r="J25" s="878"/>
      <c r="K25" s="878"/>
      <c r="L25" s="878"/>
      <c r="M25" s="878"/>
      <c r="N25" s="878"/>
      <c r="O25" s="878"/>
      <c r="P25" s="878"/>
      <c r="Q25" s="878"/>
      <c r="R25" s="879"/>
    </row>
    <row r="26" spans="2:18">
      <c r="B26" s="877"/>
      <c r="C26" s="878"/>
      <c r="D26" s="878"/>
      <c r="E26" s="878"/>
      <c r="F26" s="878"/>
      <c r="G26" s="878"/>
      <c r="H26" s="878"/>
      <c r="I26" s="878"/>
      <c r="J26" s="878"/>
      <c r="K26" s="878"/>
      <c r="L26" s="878"/>
      <c r="M26" s="878"/>
      <c r="N26" s="878"/>
      <c r="O26" s="878"/>
      <c r="P26" s="878"/>
      <c r="Q26" s="878"/>
      <c r="R26" s="879"/>
    </row>
    <row r="27" spans="2:18">
      <c r="B27" s="877"/>
      <c r="C27" s="878"/>
      <c r="D27" s="878"/>
      <c r="E27" s="878"/>
      <c r="F27" s="878"/>
      <c r="G27" s="878"/>
      <c r="H27" s="878"/>
      <c r="I27" s="878"/>
      <c r="J27" s="878"/>
      <c r="K27" s="878"/>
      <c r="L27" s="878"/>
      <c r="M27" s="878"/>
      <c r="N27" s="878"/>
      <c r="O27" s="878"/>
      <c r="P27" s="878"/>
      <c r="Q27" s="878"/>
      <c r="R27" s="879"/>
    </row>
    <row r="28" spans="2:18">
      <c r="B28" s="877"/>
      <c r="C28" s="878"/>
      <c r="D28" s="878"/>
      <c r="E28" s="878"/>
      <c r="F28" s="878"/>
      <c r="G28" s="878"/>
      <c r="H28" s="878"/>
      <c r="I28" s="878"/>
      <c r="J28" s="878"/>
      <c r="K28" s="878"/>
      <c r="L28" s="878"/>
      <c r="M28" s="878"/>
      <c r="N28" s="878"/>
      <c r="O28" s="878"/>
      <c r="P28" s="878"/>
      <c r="Q28" s="878"/>
      <c r="R28" s="879"/>
    </row>
    <row r="29" spans="2:18">
      <c r="B29" s="877"/>
      <c r="C29" s="878"/>
      <c r="D29" s="878"/>
      <c r="E29" s="878"/>
      <c r="F29" s="878"/>
      <c r="G29" s="878"/>
      <c r="H29" s="878"/>
      <c r="I29" s="878"/>
      <c r="J29" s="878"/>
      <c r="K29" s="878"/>
      <c r="L29" s="878"/>
      <c r="M29" s="878"/>
      <c r="N29" s="878"/>
      <c r="O29" s="878"/>
      <c r="P29" s="878"/>
      <c r="Q29" s="878"/>
      <c r="R29" s="879"/>
    </row>
    <row r="30" spans="2:18">
      <c r="B30" s="877"/>
      <c r="C30" s="878"/>
      <c r="D30" s="878"/>
      <c r="E30" s="878"/>
      <c r="F30" s="878"/>
      <c r="G30" s="878"/>
      <c r="H30" s="878"/>
      <c r="I30" s="878"/>
      <c r="J30" s="878"/>
      <c r="K30" s="878"/>
      <c r="L30" s="878"/>
      <c r="M30" s="878"/>
      <c r="N30" s="878"/>
      <c r="O30" s="878"/>
      <c r="P30" s="878"/>
      <c r="Q30" s="878"/>
      <c r="R30" s="879"/>
    </row>
    <row r="31" spans="2:18">
      <c r="B31" s="877"/>
      <c r="C31" s="878"/>
      <c r="D31" s="878"/>
      <c r="E31" s="878"/>
      <c r="F31" s="878"/>
      <c r="G31" s="878"/>
      <c r="H31" s="878"/>
      <c r="I31" s="878"/>
      <c r="J31" s="878"/>
      <c r="K31" s="878"/>
      <c r="L31" s="878"/>
      <c r="M31" s="878"/>
      <c r="N31" s="878"/>
      <c r="O31" s="878"/>
      <c r="P31" s="878"/>
      <c r="Q31" s="878"/>
      <c r="R31" s="879"/>
    </row>
    <row r="32" spans="2:18">
      <c r="B32" s="877"/>
      <c r="C32" s="878"/>
      <c r="D32" s="878"/>
      <c r="E32" s="878"/>
      <c r="F32" s="878"/>
      <c r="G32" s="878"/>
      <c r="H32" s="878"/>
      <c r="I32" s="878"/>
      <c r="J32" s="878"/>
      <c r="K32" s="878"/>
      <c r="L32" s="878"/>
      <c r="M32" s="878"/>
      <c r="N32" s="878"/>
      <c r="O32" s="878"/>
      <c r="P32" s="878"/>
      <c r="Q32" s="878"/>
      <c r="R32" s="879"/>
    </row>
    <row r="33" spans="2:18">
      <c r="B33" s="877"/>
      <c r="C33" s="878"/>
      <c r="D33" s="878"/>
      <c r="E33" s="878"/>
      <c r="F33" s="878"/>
      <c r="G33" s="878"/>
      <c r="H33" s="878"/>
      <c r="I33" s="878"/>
      <c r="J33" s="878"/>
      <c r="K33" s="878"/>
      <c r="L33" s="878"/>
      <c r="M33" s="878"/>
      <c r="N33" s="878"/>
      <c r="O33" s="878"/>
      <c r="P33" s="878"/>
      <c r="Q33" s="878"/>
      <c r="R33" s="879"/>
    </row>
    <row r="34" spans="2:18">
      <c r="B34" s="877"/>
      <c r="C34" s="878"/>
      <c r="D34" s="878"/>
      <c r="E34" s="878"/>
      <c r="F34" s="878"/>
      <c r="G34" s="878"/>
      <c r="H34" s="878"/>
      <c r="I34" s="878"/>
      <c r="J34" s="878"/>
      <c r="K34" s="878"/>
      <c r="L34" s="878"/>
      <c r="M34" s="878"/>
      <c r="N34" s="878"/>
      <c r="O34" s="878"/>
      <c r="P34" s="878"/>
      <c r="Q34" s="878"/>
      <c r="R34" s="879"/>
    </row>
    <row r="35" spans="2:18">
      <c r="B35" s="877"/>
      <c r="C35" s="878"/>
      <c r="D35" s="878"/>
      <c r="E35" s="878"/>
      <c r="F35" s="878"/>
      <c r="G35" s="878"/>
      <c r="H35" s="878"/>
      <c r="I35" s="878"/>
      <c r="J35" s="878"/>
      <c r="K35" s="878"/>
      <c r="L35" s="878"/>
      <c r="M35" s="878"/>
      <c r="N35" s="878"/>
      <c r="O35" s="878"/>
      <c r="P35" s="878"/>
      <c r="Q35" s="878"/>
      <c r="R35" s="879"/>
    </row>
    <row r="36" spans="2:18">
      <c r="B36" s="877"/>
      <c r="C36" s="878"/>
      <c r="D36" s="878"/>
      <c r="E36" s="878"/>
      <c r="F36" s="878"/>
      <c r="G36" s="878"/>
      <c r="H36" s="878"/>
      <c r="I36" s="878"/>
      <c r="J36" s="878"/>
      <c r="K36" s="878"/>
      <c r="L36" s="878"/>
      <c r="M36" s="878"/>
      <c r="N36" s="878"/>
      <c r="O36" s="878"/>
      <c r="P36" s="878"/>
      <c r="Q36" s="878"/>
      <c r="R36" s="879"/>
    </row>
    <row r="37" spans="2:18">
      <c r="B37" s="877"/>
      <c r="C37" s="878"/>
      <c r="D37" s="878"/>
      <c r="E37" s="878"/>
      <c r="F37" s="878"/>
      <c r="G37" s="878"/>
      <c r="H37" s="878"/>
      <c r="I37" s="878"/>
      <c r="J37" s="878"/>
      <c r="K37" s="878"/>
      <c r="L37" s="878"/>
      <c r="M37" s="878"/>
      <c r="N37" s="878"/>
      <c r="O37" s="878"/>
      <c r="P37" s="878"/>
      <c r="Q37" s="878"/>
      <c r="R37" s="879"/>
    </row>
    <row r="38" spans="2:18">
      <c r="B38" s="877"/>
      <c r="C38" s="878"/>
      <c r="D38" s="878"/>
      <c r="E38" s="878"/>
      <c r="F38" s="878"/>
      <c r="G38" s="878"/>
      <c r="H38" s="878"/>
      <c r="I38" s="878"/>
      <c r="J38" s="878"/>
      <c r="K38" s="878"/>
      <c r="L38" s="878"/>
      <c r="M38" s="878"/>
      <c r="N38" s="878"/>
      <c r="O38" s="878"/>
      <c r="P38" s="878"/>
      <c r="Q38" s="878"/>
      <c r="R38" s="879"/>
    </row>
    <row r="39" spans="2:18">
      <c r="B39" s="877"/>
      <c r="C39" s="878"/>
      <c r="D39" s="878"/>
      <c r="E39" s="878"/>
      <c r="F39" s="878"/>
      <c r="G39" s="878"/>
      <c r="H39" s="878"/>
      <c r="I39" s="878"/>
      <c r="J39" s="878"/>
      <c r="K39" s="878"/>
      <c r="L39" s="878"/>
      <c r="M39" s="878"/>
      <c r="N39" s="878"/>
      <c r="O39" s="878"/>
      <c r="P39" s="878"/>
      <c r="Q39" s="878"/>
      <c r="R39" s="879"/>
    </row>
    <row r="40" spans="2:18">
      <c r="B40" s="877"/>
      <c r="C40" s="878"/>
      <c r="D40" s="878"/>
      <c r="E40" s="878"/>
      <c r="F40" s="878"/>
      <c r="G40" s="878"/>
      <c r="H40" s="878"/>
      <c r="I40" s="878"/>
      <c r="J40" s="878"/>
      <c r="K40" s="878"/>
      <c r="L40" s="878"/>
      <c r="M40" s="878"/>
      <c r="N40" s="878"/>
      <c r="O40" s="878"/>
      <c r="P40" s="878"/>
      <c r="Q40" s="878"/>
      <c r="R40" s="879"/>
    </row>
    <row r="41" spans="2:18">
      <c r="B41" s="877"/>
      <c r="C41" s="878"/>
      <c r="D41" s="878"/>
      <c r="E41" s="878"/>
      <c r="F41" s="878"/>
      <c r="G41" s="878"/>
      <c r="H41" s="878"/>
      <c r="I41" s="878"/>
      <c r="J41" s="878"/>
      <c r="K41" s="878"/>
      <c r="L41" s="878"/>
      <c r="M41" s="878"/>
      <c r="N41" s="878"/>
      <c r="O41" s="878"/>
      <c r="P41" s="878"/>
      <c r="Q41" s="878"/>
      <c r="R41" s="879"/>
    </row>
    <row r="42" spans="2:18">
      <c r="B42" s="877"/>
      <c r="C42" s="878"/>
      <c r="D42" s="878"/>
      <c r="E42" s="878"/>
      <c r="F42" s="878"/>
      <c r="G42" s="878"/>
      <c r="H42" s="878"/>
      <c r="I42" s="878"/>
      <c r="J42" s="878"/>
      <c r="K42" s="878"/>
      <c r="L42" s="878"/>
      <c r="M42" s="878"/>
      <c r="N42" s="878"/>
      <c r="O42" s="878"/>
      <c r="P42" s="878"/>
      <c r="Q42" s="878"/>
      <c r="R42" s="879"/>
    </row>
    <row r="43" spans="2:18">
      <c r="B43" s="877"/>
      <c r="C43" s="878"/>
      <c r="D43" s="878"/>
      <c r="E43" s="878"/>
      <c r="F43" s="878"/>
      <c r="G43" s="878"/>
      <c r="H43" s="878"/>
      <c r="I43" s="878"/>
      <c r="J43" s="878"/>
      <c r="K43" s="878"/>
      <c r="L43" s="878"/>
      <c r="M43" s="878"/>
      <c r="N43" s="878"/>
      <c r="O43" s="878"/>
      <c r="P43" s="878"/>
      <c r="Q43" s="878"/>
      <c r="R43" s="879"/>
    </row>
    <row r="44" spans="2:18">
      <c r="B44" s="877"/>
      <c r="C44" s="878"/>
      <c r="D44" s="878"/>
      <c r="E44" s="878"/>
      <c r="F44" s="878"/>
      <c r="G44" s="878"/>
      <c r="H44" s="878"/>
      <c r="I44" s="878"/>
      <c r="J44" s="878"/>
      <c r="K44" s="878"/>
      <c r="L44" s="878"/>
      <c r="M44" s="878"/>
      <c r="N44" s="878"/>
      <c r="O44" s="878"/>
      <c r="P44" s="878"/>
      <c r="Q44" s="878"/>
      <c r="R44" s="879"/>
    </row>
    <row r="45" spans="2:18">
      <c r="B45" s="877"/>
      <c r="C45" s="878"/>
      <c r="D45" s="878"/>
      <c r="E45" s="878"/>
      <c r="F45" s="878"/>
      <c r="G45" s="878"/>
      <c r="H45" s="878"/>
      <c r="I45" s="878"/>
      <c r="J45" s="878"/>
      <c r="K45" s="878"/>
      <c r="L45" s="878"/>
      <c r="M45" s="878"/>
      <c r="N45" s="878"/>
      <c r="O45" s="878"/>
      <c r="P45" s="878"/>
      <c r="Q45" s="878"/>
      <c r="R45" s="879"/>
    </row>
    <row r="46" spans="2:18">
      <c r="B46" s="877"/>
      <c r="C46" s="878"/>
      <c r="D46" s="878"/>
      <c r="E46" s="878"/>
      <c r="F46" s="878"/>
      <c r="G46" s="878"/>
      <c r="H46" s="878"/>
      <c r="I46" s="878"/>
      <c r="J46" s="878"/>
      <c r="K46" s="878"/>
      <c r="L46" s="878"/>
      <c r="M46" s="878"/>
      <c r="N46" s="878"/>
      <c r="O46" s="878"/>
      <c r="P46" s="878"/>
      <c r="Q46" s="878"/>
      <c r="R46" s="879"/>
    </row>
    <row r="47" spans="2:18">
      <c r="B47" s="877"/>
      <c r="C47" s="878"/>
      <c r="D47" s="878"/>
      <c r="E47" s="878"/>
      <c r="F47" s="878"/>
      <c r="G47" s="878"/>
      <c r="H47" s="878"/>
      <c r="I47" s="878"/>
      <c r="J47" s="878"/>
      <c r="K47" s="878"/>
      <c r="L47" s="878"/>
      <c r="M47" s="878"/>
      <c r="N47" s="878"/>
      <c r="O47" s="878"/>
      <c r="P47" s="878"/>
      <c r="Q47" s="878"/>
      <c r="R47" s="879"/>
    </row>
    <row r="48" spans="2:18">
      <c r="B48" s="877"/>
      <c r="C48" s="878"/>
      <c r="D48" s="878"/>
      <c r="E48" s="878"/>
      <c r="F48" s="878"/>
      <c r="G48" s="878"/>
      <c r="H48" s="878"/>
      <c r="I48" s="878"/>
      <c r="J48" s="878"/>
      <c r="K48" s="878"/>
      <c r="L48" s="878"/>
      <c r="M48" s="878"/>
      <c r="N48" s="878"/>
      <c r="O48" s="878"/>
      <c r="P48" s="878"/>
      <c r="Q48" s="878"/>
      <c r="R48" s="879"/>
    </row>
    <row r="49" spans="2:18">
      <c r="B49" s="877"/>
      <c r="C49" s="878"/>
      <c r="D49" s="878"/>
      <c r="E49" s="878"/>
      <c r="F49" s="878"/>
      <c r="G49" s="878"/>
      <c r="H49" s="878"/>
      <c r="I49" s="878"/>
      <c r="J49" s="878"/>
      <c r="K49" s="878"/>
      <c r="L49" s="878"/>
      <c r="M49" s="878"/>
      <c r="N49" s="878"/>
      <c r="O49" s="878"/>
      <c r="P49" s="878"/>
      <c r="Q49" s="878"/>
      <c r="R49" s="879"/>
    </row>
    <row r="50" spans="2:18">
      <c r="B50" s="877"/>
      <c r="C50" s="878"/>
      <c r="D50" s="878"/>
      <c r="E50" s="878"/>
      <c r="F50" s="878"/>
      <c r="G50" s="878"/>
      <c r="H50" s="878"/>
      <c r="I50" s="878"/>
      <c r="J50" s="878"/>
      <c r="K50" s="878"/>
      <c r="L50" s="878"/>
      <c r="M50" s="878"/>
      <c r="N50" s="878"/>
      <c r="O50" s="878"/>
      <c r="P50" s="878"/>
      <c r="Q50" s="878"/>
      <c r="R50" s="879"/>
    </row>
    <row r="51" spans="2:18">
      <c r="B51" s="877"/>
      <c r="C51" s="878"/>
      <c r="D51" s="878"/>
      <c r="E51" s="878"/>
      <c r="F51" s="878"/>
      <c r="G51" s="878"/>
      <c r="H51" s="878"/>
      <c r="I51" s="878"/>
      <c r="J51" s="878"/>
      <c r="K51" s="878"/>
      <c r="L51" s="878"/>
      <c r="M51" s="878"/>
      <c r="N51" s="878"/>
      <c r="O51" s="878"/>
      <c r="P51" s="878"/>
      <c r="Q51" s="878"/>
      <c r="R51" s="879"/>
    </row>
    <row r="52" spans="2:18">
      <c r="B52" s="877"/>
      <c r="C52" s="878"/>
      <c r="D52" s="878"/>
      <c r="E52" s="878"/>
      <c r="F52" s="878"/>
      <c r="G52" s="878"/>
      <c r="H52" s="878"/>
      <c r="I52" s="878"/>
      <c r="J52" s="878"/>
      <c r="K52" s="878"/>
      <c r="L52" s="878"/>
      <c r="M52" s="878"/>
      <c r="N52" s="878"/>
      <c r="O52" s="878"/>
      <c r="P52" s="878"/>
      <c r="Q52" s="878"/>
      <c r="R52" s="879"/>
    </row>
    <row r="53" spans="2:18">
      <c r="B53" s="877"/>
      <c r="C53" s="878"/>
      <c r="D53" s="878"/>
      <c r="E53" s="878"/>
      <c r="F53" s="878"/>
      <c r="G53" s="878"/>
      <c r="H53" s="878"/>
      <c r="I53" s="878"/>
      <c r="J53" s="878"/>
      <c r="K53" s="878"/>
      <c r="L53" s="878"/>
      <c r="M53" s="878"/>
      <c r="N53" s="878"/>
      <c r="O53" s="878"/>
      <c r="P53" s="878"/>
      <c r="Q53" s="878"/>
      <c r="R53" s="879"/>
    </row>
    <row r="54" spans="2:18">
      <c r="B54" s="877"/>
      <c r="C54" s="878"/>
      <c r="D54" s="878"/>
      <c r="E54" s="878"/>
      <c r="F54" s="878"/>
      <c r="G54" s="878"/>
      <c r="H54" s="878"/>
      <c r="I54" s="878"/>
      <c r="J54" s="878"/>
      <c r="K54" s="878"/>
      <c r="L54" s="878"/>
      <c r="M54" s="878"/>
      <c r="N54" s="878"/>
      <c r="O54" s="878"/>
      <c r="P54" s="878"/>
      <c r="Q54" s="878"/>
      <c r="R54" s="879"/>
    </row>
    <row r="55" spans="2:18">
      <c r="B55" s="877"/>
      <c r="C55" s="878"/>
      <c r="D55" s="878"/>
      <c r="E55" s="878"/>
      <c r="F55" s="878"/>
      <c r="G55" s="878"/>
      <c r="H55" s="878"/>
      <c r="I55" s="878"/>
      <c r="J55" s="878"/>
      <c r="K55" s="878"/>
      <c r="L55" s="878"/>
      <c r="M55" s="878"/>
      <c r="N55" s="878"/>
      <c r="O55" s="878"/>
      <c r="P55" s="878"/>
      <c r="Q55" s="878"/>
      <c r="R55" s="879"/>
    </row>
    <row r="56" spans="2:18">
      <c r="B56" s="877"/>
      <c r="C56" s="878"/>
      <c r="D56" s="878"/>
      <c r="E56" s="878"/>
      <c r="F56" s="878"/>
      <c r="G56" s="878"/>
      <c r="H56" s="878"/>
      <c r="I56" s="878"/>
      <c r="J56" s="878"/>
      <c r="K56" s="878"/>
      <c r="L56" s="878"/>
      <c r="M56" s="878"/>
      <c r="N56" s="878"/>
      <c r="O56" s="878"/>
      <c r="P56" s="878"/>
      <c r="Q56" s="878"/>
      <c r="R56" s="879"/>
    </row>
    <row r="57" spans="2:18">
      <c r="B57" s="877"/>
      <c r="C57" s="878"/>
      <c r="D57" s="878"/>
      <c r="E57" s="878"/>
      <c r="F57" s="878"/>
      <c r="G57" s="878"/>
      <c r="H57" s="878"/>
      <c r="I57" s="878"/>
      <c r="J57" s="878"/>
      <c r="K57" s="878"/>
      <c r="L57" s="878"/>
      <c r="M57" s="878"/>
      <c r="N57" s="878"/>
      <c r="O57" s="878"/>
      <c r="P57" s="878"/>
      <c r="Q57" s="878"/>
      <c r="R57" s="879"/>
    </row>
    <row r="58" spans="2:18">
      <c r="B58" s="877"/>
      <c r="C58" s="878"/>
      <c r="D58" s="878"/>
      <c r="E58" s="878"/>
      <c r="F58" s="878"/>
      <c r="G58" s="878"/>
      <c r="H58" s="878"/>
      <c r="I58" s="878"/>
      <c r="J58" s="878"/>
      <c r="K58" s="878"/>
      <c r="L58" s="878"/>
      <c r="M58" s="878"/>
      <c r="N58" s="878"/>
      <c r="O58" s="878"/>
      <c r="P58" s="878"/>
      <c r="Q58" s="878"/>
      <c r="R58" s="879"/>
    </row>
    <row r="59" spans="2:18">
      <c r="B59" s="877"/>
      <c r="C59" s="878"/>
      <c r="D59" s="878"/>
      <c r="E59" s="878"/>
      <c r="F59" s="878"/>
      <c r="G59" s="878"/>
      <c r="H59" s="878"/>
      <c r="I59" s="878"/>
      <c r="J59" s="878"/>
      <c r="K59" s="878"/>
      <c r="L59" s="878"/>
      <c r="M59" s="878"/>
      <c r="N59" s="878"/>
      <c r="O59" s="878"/>
      <c r="P59" s="878"/>
      <c r="Q59" s="878"/>
      <c r="R59" s="879"/>
    </row>
    <row r="60" spans="2:18">
      <c r="B60" s="877"/>
      <c r="C60" s="878"/>
      <c r="D60" s="878"/>
      <c r="E60" s="878"/>
      <c r="F60" s="878"/>
      <c r="G60" s="878"/>
      <c r="H60" s="878"/>
      <c r="I60" s="878"/>
      <c r="J60" s="878"/>
      <c r="K60" s="878"/>
      <c r="L60" s="878"/>
      <c r="M60" s="878"/>
      <c r="N60" s="878"/>
      <c r="O60" s="878"/>
      <c r="P60" s="878"/>
      <c r="Q60" s="878"/>
      <c r="R60" s="879"/>
    </row>
    <row r="61" spans="2:18">
      <c r="B61" s="877"/>
      <c r="C61" s="878"/>
      <c r="D61" s="878"/>
      <c r="E61" s="878"/>
      <c r="F61" s="878"/>
      <c r="G61" s="878"/>
      <c r="H61" s="878"/>
      <c r="I61" s="878"/>
      <c r="J61" s="878"/>
      <c r="K61" s="878"/>
      <c r="L61" s="878"/>
      <c r="M61" s="878"/>
      <c r="N61" s="878"/>
      <c r="O61" s="878"/>
      <c r="P61" s="878"/>
      <c r="Q61" s="878"/>
      <c r="R61" s="879"/>
    </row>
    <row r="62" spans="2:18">
      <c r="B62" s="877"/>
      <c r="C62" s="878"/>
      <c r="D62" s="878"/>
      <c r="E62" s="878"/>
      <c r="F62" s="878"/>
      <c r="G62" s="878"/>
      <c r="H62" s="878"/>
      <c r="I62" s="878"/>
      <c r="J62" s="878"/>
      <c r="K62" s="878"/>
      <c r="L62" s="878"/>
      <c r="M62" s="878"/>
      <c r="N62" s="878"/>
      <c r="O62" s="878"/>
      <c r="P62" s="878"/>
      <c r="Q62" s="878"/>
      <c r="R62" s="879"/>
    </row>
    <row r="63" spans="2:18">
      <c r="B63" s="877"/>
      <c r="C63" s="878"/>
      <c r="D63" s="878"/>
      <c r="E63" s="878"/>
      <c r="F63" s="878"/>
      <c r="G63" s="878"/>
      <c r="H63" s="878"/>
      <c r="I63" s="878"/>
      <c r="J63" s="878"/>
      <c r="K63" s="878"/>
      <c r="L63" s="878"/>
      <c r="M63" s="878"/>
      <c r="N63" s="878"/>
      <c r="O63" s="878"/>
      <c r="P63" s="878"/>
      <c r="Q63" s="878"/>
      <c r="R63" s="879"/>
    </row>
    <row r="64" spans="2:18">
      <c r="B64" s="877"/>
      <c r="C64" s="878"/>
      <c r="D64" s="878"/>
      <c r="E64" s="878"/>
      <c r="F64" s="878"/>
      <c r="G64" s="878"/>
      <c r="H64" s="878"/>
      <c r="I64" s="878"/>
      <c r="J64" s="878"/>
      <c r="K64" s="878"/>
      <c r="L64" s="878"/>
      <c r="M64" s="878"/>
      <c r="N64" s="878"/>
      <c r="O64" s="878"/>
      <c r="P64" s="878"/>
      <c r="Q64" s="878"/>
      <c r="R64" s="879"/>
    </row>
    <row r="65" spans="2:18">
      <c r="B65" s="877"/>
      <c r="C65" s="878"/>
      <c r="D65" s="878"/>
      <c r="E65" s="878"/>
      <c r="F65" s="878"/>
      <c r="G65" s="878"/>
      <c r="H65" s="878"/>
      <c r="I65" s="878"/>
      <c r="J65" s="878"/>
      <c r="K65" s="878"/>
      <c r="L65" s="878"/>
      <c r="M65" s="878"/>
      <c r="N65" s="878"/>
      <c r="O65" s="878"/>
      <c r="P65" s="878"/>
      <c r="Q65" s="878"/>
      <c r="R65" s="879"/>
    </row>
    <row r="66" spans="2:18">
      <c r="B66" s="877"/>
      <c r="C66" s="878"/>
      <c r="D66" s="878"/>
      <c r="E66" s="878"/>
      <c r="F66" s="878"/>
      <c r="G66" s="878"/>
      <c r="H66" s="878"/>
      <c r="I66" s="878"/>
      <c r="J66" s="878"/>
      <c r="K66" s="878"/>
      <c r="L66" s="878"/>
      <c r="M66" s="878"/>
      <c r="N66" s="878"/>
      <c r="O66" s="878"/>
      <c r="P66" s="878"/>
      <c r="Q66" s="878"/>
      <c r="R66" s="879"/>
    </row>
    <row r="67" spans="2:18">
      <c r="B67" s="877"/>
      <c r="C67" s="878"/>
      <c r="D67" s="878"/>
      <c r="E67" s="878"/>
      <c r="F67" s="878"/>
      <c r="G67" s="878"/>
      <c r="H67" s="878"/>
      <c r="I67" s="878"/>
      <c r="J67" s="878"/>
      <c r="K67" s="878"/>
      <c r="L67" s="878"/>
      <c r="M67" s="878"/>
      <c r="N67" s="878"/>
      <c r="O67" s="878"/>
      <c r="P67" s="878"/>
      <c r="Q67" s="878"/>
      <c r="R67" s="879"/>
    </row>
    <row r="68" spans="2:18">
      <c r="B68" s="877"/>
      <c r="C68" s="878"/>
      <c r="D68" s="878"/>
      <c r="E68" s="878"/>
      <c r="F68" s="878"/>
      <c r="G68" s="878"/>
      <c r="H68" s="878"/>
      <c r="I68" s="878"/>
      <c r="J68" s="878"/>
      <c r="K68" s="878"/>
      <c r="L68" s="878"/>
      <c r="M68" s="878"/>
      <c r="N68" s="878"/>
      <c r="O68" s="878"/>
      <c r="P68" s="878"/>
      <c r="Q68" s="878"/>
      <c r="R68" s="879"/>
    </row>
    <row r="69" spans="2:18">
      <c r="B69" s="877"/>
      <c r="C69" s="878"/>
      <c r="D69" s="878"/>
      <c r="E69" s="878"/>
      <c r="F69" s="878"/>
      <c r="G69" s="878"/>
      <c r="H69" s="878"/>
      <c r="I69" s="878"/>
      <c r="J69" s="878"/>
      <c r="K69" s="878"/>
      <c r="L69" s="878"/>
      <c r="M69" s="878"/>
      <c r="N69" s="878"/>
      <c r="O69" s="878"/>
      <c r="P69" s="878"/>
      <c r="Q69" s="878"/>
      <c r="R69" s="879"/>
    </row>
    <row r="70" spans="2:18">
      <c r="B70" s="877"/>
      <c r="C70" s="878"/>
      <c r="D70" s="878"/>
      <c r="E70" s="878"/>
      <c r="F70" s="878"/>
      <c r="G70" s="878"/>
      <c r="H70" s="878"/>
      <c r="I70" s="878"/>
      <c r="J70" s="878"/>
      <c r="K70" s="878"/>
      <c r="L70" s="878"/>
      <c r="M70" s="878"/>
      <c r="N70" s="878"/>
      <c r="O70" s="878"/>
      <c r="P70" s="878"/>
      <c r="Q70" s="878"/>
      <c r="R70" s="879"/>
    </row>
    <row r="71" spans="2:18">
      <c r="B71" s="877"/>
      <c r="C71" s="878"/>
      <c r="D71" s="878"/>
      <c r="E71" s="878"/>
      <c r="F71" s="878"/>
      <c r="G71" s="878"/>
      <c r="H71" s="878"/>
      <c r="I71" s="878"/>
      <c r="J71" s="878"/>
      <c r="K71" s="878"/>
      <c r="L71" s="878"/>
      <c r="M71" s="878"/>
      <c r="N71" s="878"/>
      <c r="O71" s="878"/>
      <c r="P71" s="878"/>
      <c r="Q71" s="878"/>
      <c r="R71" s="879"/>
    </row>
    <row r="72" spans="2:18">
      <c r="B72" s="877"/>
      <c r="C72" s="878"/>
      <c r="D72" s="878"/>
      <c r="E72" s="878"/>
      <c r="F72" s="878"/>
      <c r="G72" s="878"/>
      <c r="H72" s="878"/>
      <c r="I72" s="878"/>
      <c r="J72" s="878"/>
      <c r="K72" s="878"/>
      <c r="L72" s="878"/>
      <c r="M72" s="878"/>
      <c r="N72" s="878"/>
      <c r="O72" s="878"/>
      <c r="P72" s="878"/>
      <c r="Q72" s="878"/>
      <c r="R72" s="879"/>
    </row>
    <row r="73" spans="2:18">
      <c r="B73" s="877"/>
      <c r="C73" s="878"/>
      <c r="D73" s="878"/>
      <c r="E73" s="878"/>
      <c r="F73" s="878"/>
      <c r="G73" s="878"/>
      <c r="H73" s="878"/>
      <c r="I73" s="878"/>
      <c r="J73" s="878"/>
      <c r="K73" s="878"/>
      <c r="L73" s="878"/>
      <c r="M73" s="878"/>
      <c r="N73" s="878"/>
      <c r="O73" s="878"/>
      <c r="P73" s="878"/>
      <c r="Q73" s="878"/>
      <c r="R73" s="879"/>
    </row>
    <row r="74" spans="2:18">
      <c r="B74" s="877"/>
      <c r="C74" s="878"/>
      <c r="D74" s="878"/>
      <c r="E74" s="878"/>
      <c r="F74" s="878"/>
      <c r="G74" s="878"/>
      <c r="H74" s="878"/>
      <c r="I74" s="878"/>
      <c r="J74" s="878"/>
      <c r="K74" s="878"/>
      <c r="L74" s="878"/>
      <c r="M74" s="878"/>
      <c r="N74" s="878"/>
      <c r="O74" s="878"/>
      <c r="P74" s="878"/>
      <c r="Q74" s="878"/>
      <c r="R74" s="879"/>
    </row>
    <row r="75" spans="2:18">
      <c r="B75" s="877"/>
      <c r="C75" s="878"/>
      <c r="D75" s="878"/>
      <c r="E75" s="878"/>
      <c r="F75" s="878"/>
      <c r="G75" s="878"/>
      <c r="H75" s="878"/>
      <c r="I75" s="878"/>
      <c r="J75" s="878"/>
      <c r="K75" s="878"/>
      <c r="L75" s="878"/>
      <c r="M75" s="878"/>
      <c r="N75" s="878"/>
      <c r="O75" s="878"/>
      <c r="P75" s="878"/>
      <c r="Q75" s="878"/>
      <c r="R75" s="879"/>
    </row>
    <row r="76" spans="2:18">
      <c r="B76" s="877"/>
      <c r="C76" s="878"/>
      <c r="D76" s="878"/>
      <c r="E76" s="878"/>
      <c r="F76" s="878"/>
      <c r="G76" s="878"/>
      <c r="H76" s="878"/>
      <c r="I76" s="878"/>
      <c r="J76" s="878"/>
      <c r="K76" s="878"/>
      <c r="L76" s="878"/>
      <c r="M76" s="878"/>
      <c r="N76" s="878"/>
      <c r="O76" s="878"/>
      <c r="P76" s="878"/>
      <c r="Q76" s="878"/>
      <c r="R76" s="879"/>
    </row>
    <row r="77" spans="2:18">
      <c r="B77" s="877"/>
      <c r="C77" s="878"/>
      <c r="D77" s="878"/>
      <c r="E77" s="878"/>
      <c r="F77" s="878"/>
      <c r="G77" s="878"/>
      <c r="H77" s="878"/>
      <c r="I77" s="878"/>
      <c r="J77" s="878"/>
      <c r="K77" s="878"/>
      <c r="L77" s="878"/>
      <c r="M77" s="878"/>
      <c r="N77" s="878"/>
      <c r="O77" s="878"/>
      <c r="P77" s="878"/>
      <c r="Q77" s="878"/>
      <c r="R77" s="879"/>
    </row>
    <row r="78" spans="2:18">
      <c r="B78" s="877"/>
      <c r="C78" s="878"/>
      <c r="D78" s="878"/>
      <c r="E78" s="878"/>
      <c r="F78" s="878"/>
      <c r="G78" s="878"/>
      <c r="H78" s="878"/>
      <c r="I78" s="878"/>
      <c r="J78" s="878"/>
      <c r="K78" s="878"/>
      <c r="L78" s="878"/>
      <c r="M78" s="878"/>
      <c r="N78" s="878"/>
      <c r="O78" s="878"/>
      <c r="P78" s="878"/>
      <c r="Q78" s="878"/>
      <c r="R78" s="879"/>
    </row>
    <row r="79" spans="2:18">
      <c r="B79" s="877"/>
      <c r="C79" s="878"/>
      <c r="D79" s="878"/>
      <c r="E79" s="878"/>
      <c r="F79" s="878"/>
      <c r="G79" s="878"/>
      <c r="H79" s="878"/>
      <c r="I79" s="878"/>
      <c r="J79" s="878"/>
      <c r="K79" s="878"/>
      <c r="L79" s="878"/>
      <c r="M79" s="878"/>
      <c r="N79" s="878"/>
      <c r="O79" s="878"/>
      <c r="P79" s="878"/>
      <c r="Q79" s="878"/>
      <c r="R79" s="879"/>
    </row>
    <row r="80" spans="2:18">
      <c r="B80" s="877"/>
      <c r="C80" s="878"/>
      <c r="D80" s="878"/>
      <c r="E80" s="878"/>
      <c r="F80" s="878"/>
      <c r="G80" s="878"/>
      <c r="H80" s="878"/>
      <c r="I80" s="878"/>
      <c r="J80" s="878"/>
      <c r="K80" s="878"/>
      <c r="L80" s="878"/>
      <c r="M80" s="878"/>
      <c r="N80" s="878"/>
      <c r="O80" s="878"/>
      <c r="P80" s="878"/>
      <c r="Q80" s="878"/>
      <c r="R80" s="879"/>
    </row>
    <row r="81" spans="2:18">
      <c r="B81" s="877"/>
      <c r="C81" s="878"/>
      <c r="D81" s="878"/>
      <c r="E81" s="878"/>
      <c r="F81" s="878"/>
      <c r="G81" s="878"/>
      <c r="H81" s="878"/>
      <c r="I81" s="878"/>
      <c r="J81" s="878"/>
      <c r="K81" s="878"/>
      <c r="L81" s="878"/>
      <c r="M81" s="878"/>
      <c r="N81" s="878"/>
      <c r="O81" s="878"/>
      <c r="P81" s="878"/>
      <c r="Q81" s="878"/>
      <c r="R81" s="879"/>
    </row>
    <row r="82" spans="2:18">
      <c r="B82" s="877"/>
      <c r="C82" s="878"/>
      <c r="D82" s="878"/>
      <c r="E82" s="878"/>
      <c r="F82" s="878"/>
      <c r="G82" s="878"/>
      <c r="H82" s="878"/>
      <c r="I82" s="878"/>
      <c r="J82" s="878"/>
      <c r="K82" s="878"/>
      <c r="L82" s="878"/>
      <c r="M82" s="878"/>
      <c r="N82" s="878"/>
      <c r="O82" s="878"/>
      <c r="P82" s="878"/>
      <c r="Q82" s="878"/>
      <c r="R82" s="879"/>
    </row>
    <row r="83" spans="2:18">
      <c r="B83" s="877"/>
      <c r="C83" s="878"/>
      <c r="D83" s="878"/>
      <c r="E83" s="878"/>
      <c r="F83" s="878"/>
      <c r="G83" s="878"/>
      <c r="H83" s="878"/>
      <c r="I83" s="878"/>
      <c r="J83" s="878"/>
      <c r="K83" s="878"/>
      <c r="L83" s="878"/>
      <c r="M83" s="878"/>
      <c r="N83" s="878"/>
      <c r="O83" s="878"/>
      <c r="P83" s="878"/>
      <c r="Q83" s="878"/>
      <c r="R83" s="879"/>
    </row>
    <row r="84" spans="2:18">
      <c r="B84" s="877"/>
      <c r="C84" s="878"/>
      <c r="D84" s="878"/>
      <c r="E84" s="878"/>
      <c r="F84" s="878"/>
      <c r="G84" s="878"/>
      <c r="H84" s="878"/>
      <c r="I84" s="878"/>
      <c r="J84" s="878"/>
      <c r="K84" s="878"/>
      <c r="L84" s="878"/>
      <c r="M84" s="878"/>
      <c r="N84" s="878"/>
      <c r="O84" s="878"/>
      <c r="P84" s="878"/>
      <c r="Q84" s="878"/>
      <c r="R84" s="879"/>
    </row>
    <row r="85" spans="2:18">
      <c r="B85" s="877"/>
      <c r="C85" s="878"/>
      <c r="D85" s="878"/>
      <c r="E85" s="878"/>
      <c r="F85" s="878"/>
      <c r="G85" s="878"/>
      <c r="H85" s="878"/>
      <c r="I85" s="878"/>
      <c r="J85" s="878"/>
      <c r="K85" s="878"/>
      <c r="L85" s="878"/>
      <c r="M85" s="878"/>
      <c r="N85" s="878"/>
      <c r="O85" s="878"/>
      <c r="P85" s="878"/>
      <c r="Q85" s="878"/>
      <c r="R85" s="879"/>
    </row>
    <row r="86" spans="2:18">
      <c r="B86" s="877"/>
      <c r="C86" s="878"/>
      <c r="D86" s="878"/>
      <c r="E86" s="878"/>
      <c r="F86" s="878"/>
      <c r="G86" s="878"/>
      <c r="H86" s="878"/>
      <c r="I86" s="878"/>
      <c r="J86" s="878"/>
      <c r="K86" s="878"/>
      <c r="L86" s="878"/>
      <c r="M86" s="878"/>
      <c r="N86" s="878"/>
      <c r="O86" s="878"/>
      <c r="P86" s="878"/>
      <c r="Q86" s="878"/>
      <c r="R86" s="879"/>
    </row>
    <row r="87" spans="2:18">
      <c r="B87" s="877"/>
      <c r="C87" s="878"/>
      <c r="D87" s="878"/>
      <c r="E87" s="878"/>
      <c r="F87" s="878"/>
      <c r="G87" s="878"/>
      <c r="H87" s="878"/>
      <c r="I87" s="878"/>
      <c r="J87" s="878"/>
      <c r="K87" s="878"/>
      <c r="L87" s="878"/>
      <c r="M87" s="878"/>
      <c r="N87" s="878"/>
      <c r="O87" s="878"/>
      <c r="P87" s="878"/>
      <c r="Q87" s="878"/>
      <c r="R87" s="879"/>
    </row>
    <row r="88" spans="2:18">
      <c r="B88" s="877"/>
      <c r="C88" s="878"/>
      <c r="D88" s="878"/>
      <c r="E88" s="878"/>
      <c r="F88" s="878"/>
      <c r="G88" s="878"/>
      <c r="H88" s="878"/>
      <c r="I88" s="878"/>
      <c r="J88" s="878"/>
      <c r="K88" s="878"/>
      <c r="L88" s="878"/>
      <c r="M88" s="878"/>
      <c r="N88" s="878"/>
      <c r="O88" s="878"/>
      <c r="P88" s="878"/>
      <c r="Q88" s="878"/>
      <c r="R88" s="879"/>
    </row>
    <row r="89" spans="2:18">
      <c r="B89" s="877"/>
      <c r="C89" s="878"/>
      <c r="D89" s="878"/>
      <c r="E89" s="878"/>
      <c r="F89" s="878"/>
      <c r="G89" s="878"/>
      <c r="H89" s="878"/>
      <c r="I89" s="878"/>
      <c r="J89" s="878"/>
      <c r="K89" s="878"/>
      <c r="L89" s="878"/>
      <c r="M89" s="878"/>
      <c r="N89" s="878"/>
      <c r="O89" s="878"/>
      <c r="P89" s="878"/>
      <c r="Q89" s="878"/>
      <c r="R89" s="879"/>
    </row>
    <row r="90" spans="2:18">
      <c r="B90" s="877"/>
      <c r="C90" s="878"/>
      <c r="D90" s="878"/>
      <c r="E90" s="878"/>
      <c r="F90" s="878"/>
      <c r="G90" s="878"/>
      <c r="H90" s="878"/>
      <c r="I90" s="878"/>
      <c r="J90" s="878"/>
      <c r="K90" s="878"/>
      <c r="L90" s="878"/>
      <c r="M90" s="878"/>
      <c r="N90" s="878"/>
      <c r="O90" s="878"/>
      <c r="P90" s="878"/>
      <c r="Q90" s="878"/>
      <c r="R90" s="879"/>
    </row>
    <row r="91" spans="2:18">
      <c r="B91" s="877"/>
      <c r="C91" s="878"/>
      <c r="D91" s="878"/>
      <c r="E91" s="878"/>
      <c r="F91" s="878"/>
      <c r="G91" s="878"/>
      <c r="H91" s="878"/>
      <c r="I91" s="878"/>
      <c r="J91" s="878"/>
      <c r="K91" s="878"/>
      <c r="L91" s="878"/>
      <c r="M91" s="878"/>
      <c r="N91" s="878"/>
      <c r="O91" s="878"/>
      <c r="P91" s="878"/>
      <c r="Q91" s="878"/>
      <c r="R91" s="879"/>
    </row>
    <row r="92" spans="2:18">
      <c r="B92" s="877"/>
      <c r="C92" s="878"/>
      <c r="D92" s="878"/>
      <c r="E92" s="878"/>
      <c r="F92" s="878"/>
      <c r="G92" s="878"/>
      <c r="H92" s="878"/>
      <c r="I92" s="878"/>
      <c r="J92" s="878"/>
      <c r="K92" s="878"/>
      <c r="L92" s="878"/>
      <c r="M92" s="878"/>
      <c r="N92" s="878"/>
      <c r="O92" s="878"/>
      <c r="P92" s="878"/>
      <c r="Q92" s="878"/>
      <c r="R92" s="879"/>
    </row>
    <row r="93" spans="2:18">
      <c r="B93" s="877"/>
      <c r="C93" s="878"/>
      <c r="D93" s="878"/>
      <c r="E93" s="878"/>
      <c r="F93" s="878"/>
      <c r="G93" s="878"/>
      <c r="H93" s="878"/>
      <c r="I93" s="878"/>
      <c r="J93" s="878"/>
      <c r="K93" s="878"/>
      <c r="L93" s="878"/>
      <c r="M93" s="878"/>
      <c r="N93" s="878"/>
      <c r="O93" s="878"/>
      <c r="P93" s="878"/>
      <c r="Q93" s="878"/>
      <c r="R93" s="879"/>
    </row>
    <row r="94" spans="2:18">
      <c r="B94" s="877"/>
      <c r="C94" s="878"/>
      <c r="D94" s="878"/>
      <c r="E94" s="878"/>
      <c r="F94" s="878"/>
      <c r="G94" s="878"/>
      <c r="H94" s="878"/>
      <c r="I94" s="878"/>
      <c r="J94" s="878"/>
      <c r="K94" s="878"/>
      <c r="L94" s="878"/>
      <c r="M94" s="878"/>
      <c r="N94" s="878"/>
      <c r="O94" s="878"/>
      <c r="P94" s="878"/>
      <c r="Q94" s="878"/>
      <c r="R94" s="879"/>
    </row>
    <row r="95" spans="2:18" ht="15">
      <c r="B95" s="884"/>
      <c r="C95" s="885"/>
      <c r="D95" s="885"/>
      <c r="E95" s="885"/>
      <c r="F95" s="885"/>
      <c r="G95" s="885"/>
      <c r="H95" s="885"/>
      <c r="I95" s="885"/>
      <c r="J95" s="885"/>
      <c r="K95" s="885"/>
      <c r="L95" s="885"/>
      <c r="M95" s="885"/>
      <c r="N95" s="885"/>
      <c r="O95" s="885"/>
      <c r="P95" s="885"/>
      <c r="Q95" s="119" t="s">
        <v>555</v>
      </c>
      <c r="R95" s="886"/>
    </row>
    <row r="96" spans="2:18">
      <c r="B96" s="874"/>
      <c r="C96" s="875"/>
      <c r="D96" s="875"/>
      <c r="E96" s="875"/>
      <c r="F96" s="875"/>
      <c r="G96" s="875"/>
      <c r="H96" s="875"/>
      <c r="I96" s="875"/>
      <c r="J96" s="875"/>
      <c r="K96" s="875"/>
      <c r="L96" s="875"/>
      <c r="M96" s="875"/>
      <c r="N96" s="875"/>
      <c r="O96" s="875"/>
      <c r="P96" s="875"/>
      <c r="Q96" s="875"/>
      <c r="R96" s="876"/>
    </row>
    <row r="97" spans="2:18">
      <c r="B97" s="877"/>
      <c r="C97" s="878"/>
      <c r="D97" s="878"/>
      <c r="E97" s="878"/>
      <c r="F97" s="878"/>
      <c r="G97" s="878"/>
      <c r="H97" s="878"/>
      <c r="I97" s="878"/>
      <c r="J97" s="878"/>
      <c r="K97" s="878"/>
      <c r="L97" s="878"/>
      <c r="M97" s="878"/>
      <c r="N97" s="878"/>
      <c r="O97" s="878"/>
      <c r="P97" s="878"/>
      <c r="Q97" s="878"/>
      <c r="R97" s="879"/>
    </row>
    <row r="98" spans="2:18">
      <c r="B98" s="877"/>
      <c r="C98" s="878"/>
      <c r="D98" s="878"/>
      <c r="E98" s="878"/>
      <c r="F98" s="878"/>
      <c r="G98" s="878"/>
      <c r="H98" s="878"/>
      <c r="I98" s="878"/>
      <c r="J98" s="878"/>
      <c r="K98" s="878"/>
      <c r="L98" s="878"/>
      <c r="M98" s="878"/>
      <c r="N98" s="878"/>
      <c r="O98" s="878"/>
      <c r="P98" s="878"/>
      <c r="Q98" s="878"/>
      <c r="R98" s="879"/>
    </row>
    <row r="99" spans="2:18">
      <c r="B99" s="877"/>
      <c r="C99" s="878"/>
      <c r="D99" s="878"/>
      <c r="E99" s="878"/>
      <c r="F99" s="878"/>
      <c r="G99" s="878"/>
      <c r="H99" s="878"/>
      <c r="I99" s="878"/>
      <c r="J99" s="878"/>
      <c r="K99" s="878"/>
      <c r="L99" s="878"/>
      <c r="M99" s="878"/>
      <c r="N99" s="878"/>
      <c r="O99" s="878"/>
      <c r="P99" s="878"/>
      <c r="Q99" s="878"/>
      <c r="R99" s="879"/>
    </row>
    <row r="100" spans="2:18">
      <c r="B100" s="877"/>
      <c r="C100" s="878"/>
      <c r="D100" s="878"/>
      <c r="E100" s="878"/>
      <c r="F100" s="878"/>
      <c r="G100" s="878"/>
      <c r="H100" s="878"/>
      <c r="I100" s="878"/>
      <c r="J100" s="878"/>
      <c r="K100" s="878"/>
      <c r="L100" s="878"/>
      <c r="M100" s="878"/>
      <c r="N100" s="878"/>
      <c r="O100" s="878"/>
      <c r="P100" s="878"/>
      <c r="Q100" s="878"/>
      <c r="R100" s="879"/>
    </row>
    <row r="101" spans="2:18">
      <c r="B101" s="877"/>
      <c r="C101" s="878"/>
      <c r="D101" s="878"/>
      <c r="E101" s="878"/>
      <c r="F101" s="878"/>
      <c r="G101" s="878"/>
      <c r="H101" s="878"/>
      <c r="I101" s="878"/>
      <c r="J101" s="878"/>
      <c r="K101" s="878"/>
      <c r="L101" s="878"/>
      <c r="M101" s="878"/>
      <c r="N101" s="878"/>
      <c r="O101" s="878"/>
      <c r="P101" s="878"/>
      <c r="Q101" s="878"/>
      <c r="R101" s="879"/>
    </row>
    <row r="102" spans="2:18">
      <c r="B102" s="877"/>
      <c r="C102" s="878"/>
      <c r="D102" s="878"/>
      <c r="E102" s="878"/>
      <c r="F102" s="878"/>
      <c r="G102" s="878"/>
      <c r="H102" s="878"/>
      <c r="I102" s="878"/>
      <c r="J102" s="878"/>
      <c r="K102" s="878"/>
      <c r="L102" s="878"/>
      <c r="M102" s="878"/>
      <c r="N102" s="878"/>
      <c r="O102" s="878"/>
      <c r="P102" s="878"/>
      <c r="Q102" s="878"/>
      <c r="R102" s="879"/>
    </row>
    <row r="103" spans="2:18">
      <c r="B103" s="877"/>
      <c r="C103" s="878"/>
      <c r="D103" s="878"/>
      <c r="E103" s="878"/>
      <c r="F103" s="878"/>
      <c r="G103" s="878"/>
      <c r="H103" s="878"/>
      <c r="I103" s="878"/>
      <c r="J103" s="878"/>
      <c r="K103" s="878"/>
      <c r="L103" s="878"/>
      <c r="M103" s="878"/>
      <c r="N103" s="878"/>
      <c r="O103" s="878"/>
      <c r="P103" s="878"/>
      <c r="Q103" s="878"/>
      <c r="R103" s="879"/>
    </row>
    <row r="104" spans="2:18">
      <c r="B104" s="877"/>
      <c r="C104" s="878"/>
      <c r="D104" s="878"/>
      <c r="E104" s="878"/>
      <c r="F104" s="878"/>
      <c r="G104" s="878"/>
      <c r="H104" s="878"/>
      <c r="I104" s="878"/>
      <c r="J104" s="878"/>
      <c r="K104" s="878"/>
      <c r="L104" s="878"/>
      <c r="M104" s="878"/>
      <c r="N104" s="878"/>
      <c r="O104" s="878"/>
      <c r="P104" s="878"/>
      <c r="Q104" s="878"/>
      <c r="R104" s="879"/>
    </row>
    <row r="105" spans="2:18">
      <c r="B105" s="877"/>
      <c r="C105" s="878"/>
      <c r="D105" s="878"/>
      <c r="E105" s="878"/>
      <c r="F105" s="878"/>
      <c r="G105" s="878"/>
      <c r="H105" s="878"/>
      <c r="I105" s="878"/>
      <c r="J105" s="878"/>
      <c r="K105" s="878"/>
      <c r="L105" s="878"/>
      <c r="M105" s="878"/>
      <c r="N105" s="878"/>
      <c r="O105" s="878"/>
      <c r="P105" s="878"/>
      <c r="Q105" s="878"/>
      <c r="R105" s="879"/>
    </row>
    <row r="106" spans="2:18">
      <c r="B106" s="877"/>
      <c r="C106" s="878"/>
      <c r="D106" s="878"/>
      <c r="E106" s="878"/>
      <c r="F106" s="878"/>
      <c r="G106" s="878"/>
      <c r="H106" s="878"/>
      <c r="I106" s="878"/>
      <c r="J106" s="878"/>
      <c r="K106" s="878"/>
      <c r="L106" s="878"/>
      <c r="M106" s="878"/>
      <c r="N106" s="878"/>
      <c r="O106" s="878"/>
      <c r="P106" s="878"/>
      <c r="Q106" s="878"/>
      <c r="R106" s="879"/>
    </row>
    <row r="107" spans="2:18">
      <c r="B107" s="877"/>
      <c r="C107" s="878"/>
      <c r="D107" s="878"/>
      <c r="E107" s="878"/>
      <c r="F107" s="878"/>
      <c r="G107" s="878"/>
      <c r="H107" s="878"/>
      <c r="I107" s="878"/>
      <c r="J107" s="878"/>
      <c r="K107" s="878"/>
      <c r="L107" s="878"/>
      <c r="M107" s="878"/>
      <c r="N107" s="878"/>
      <c r="O107" s="878"/>
      <c r="P107" s="878"/>
      <c r="Q107" s="878"/>
      <c r="R107" s="879"/>
    </row>
    <row r="108" spans="2:18">
      <c r="B108" s="877"/>
      <c r="C108" s="878"/>
      <c r="D108" s="878"/>
      <c r="E108" s="878"/>
      <c r="F108" s="878"/>
      <c r="G108" s="878"/>
      <c r="H108" s="878"/>
      <c r="I108" s="878"/>
      <c r="J108" s="878"/>
      <c r="K108" s="878"/>
      <c r="L108" s="878"/>
      <c r="M108" s="878"/>
      <c r="N108" s="878"/>
      <c r="O108" s="878"/>
      <c r="P108" s="878"/>
      <c r="Q108" s="878"/>
      <c r="R108" s="879"/>
    </row>
    <row r="109" spans="2:18">
      <c r="B109" s="877"/>
      <c r="C109" s="878"/>
      <c r="D109" s="878"/>
      <c r="E109" s="878"/>
      <c r="F109" s="878"/>
      <c r="G109" s="878"/>
      <c r="H109" s="878"/>
      <c r="I109" s="878"/>
      <c r="J109" s="878"/>
      <c r="K109" s="878"/>
      <c r="L109" s="878"/>
      <c r="M109" s="878"/>
      <c r="N109" s="878"/>
      <c r="O109" s="878"/>
      <c r="P109" s="878"/>
      <c r="Q109" s="878"/>
      <c r="R109" s="879"/>
    </row>
    <row r="110" spans="2:18">
      <c r="B110" s="877"/>
      <c r="C110" s="878"/>
      <c r="D110" s="878"/>
      <c r="E110" s="878"/>
      <c r="F110" s="878"/>
      <c r="G110" s="878"/>
      <c r="H110" s="878"/>
      <c r="I110" s="878"/>
      <c r="J110" s="878"/>
      <c r="K110" s="878"/>
      <c r="L110" s="878"/>
      <c r="M110" s="878"/>
      <c r="N110" s="878"/>
      <c r="O110" s="878"/>
      <c r="P110" s="878"/>
      <c r="Q110" s="878"/>
      <c r="R110" s="879"/>
    </row>
    <row r="111" spans="2:18">
      <c r="B111" s="877"/>
      <c r="C111" s="878"/>
      <c r="D111" s="878"/>
      <c r="E111" s="878"/>
      <c r="F111" s="878"/>
      <c r="G111" s="878"/>
      <c r="H111" s="878"/>
      <c r="I111" s="878"/>
      <c r="J111" s="878"/>
      <c r="K111" s="878"/>
      <c r="L111" s="878"/>
      <c r="M111" s="878"/>
      <c r="N111" s="878"/>
      <c r="O111" s="878"/>
      <c r="P111" s="878"/>
      <c r="Q111" s="878"/>
      <c r="R111" s="879"/>
    </row>
    <row r="112" spans="2:18">
      <c r="B112" s="877"/>
      <c r="C112" s="878"/>
      <c r="D112" s="878"/>
      <c r="E112" s="878"/>
      <c r="F112" s="878"/>
      <c r="G112" s="878"/>
      <c r="H112" s="878"/>
      <c r="I112" s="878"/>
      <c r="J112" s="878"/>
      <c r="K112" s="878"/>
      <c r="L112" s="878"/>
      <c r="M112" s="878"/>
      <c r="N112" s="878"/>
      <c r="O112" s="878"/>
      <c r="P112" s="878"/>
      <c r="Q112" s="878"/>
      <c r="R112" s="879"/>
    </row>
    <row r="113" spans="2:18">
      <c r="B113" s="877"/>
      <c r="C113" s="878"/>
      <c r="D113" s="878"/>
      <c r="E113" s="878"/>
      <c r="F113" s="878"/>
      <c r="G113" s="878"/>
      <c r="H113" s="878"/>
      <c r="I113" s="878"/>
      <c r="J113" s="878"/>
      <c r="K113" s="878"/>
      <c r="L113" s="878"/>
      <c r="M113" s="878"/>
      <c r="N113" s="878"/>
      <c r="O113" s="878"/>
      <c r="P113" s="878"/>
      <c r="Q113" s="878"/>
      <c r="R113" s="879"/>
    </row>
    <row r="114" spans="2:18">
      <c r="B114" s="877"/>
      <c r="C114" s="878"/>
      <c r="D114" s="878"/>
      <c r="E114" s="878"/>
      <c r="F114" s="878"/>
      <c r="G114" s="878"/>
      <c r="H114" s="878"/>
      <c r="I114" s="878"/>
      <c r="J114" s="878"/>
      <c r="K114" s="878"/>
      <c r="L114" s="878"/>
      <c r="M114" s="878"/>
      <c r="N114" s="878"/>
      <c r="O114" s="878"/>
      <c r="P114" s="878"/>
      <c r="Q114" s="878"/>
      <c r="R114" s="879"/>
    </row>
    <row r="115" spans="2:18">
      <c r="B115" s="877"/>
      <c r="C115" s="878"/>
      <c r="D115" s="878"/>
      <c r="E115" s="878"/>
      <c r="F115" s="878"/>
      <c r="G115" s="878"/>
      <c r="H115" s="878"/>
      <c r="I115" s="878"/>
      <c r="J115" s="878"/>
      <c r="K115" s="878"/>
      <c r="L115" s="878"/>
      <c r="M115" s="878"/>
      <c r="N115" s="878"/>
      <c r="O115" s="878"/>
      <c r="P115" s="878"/>
      <c r="Q115" s="878"/>
      <c r="R115" s="879"/>
    </row>
    <row r="116" spans="2:18">
      <c r="B116" s="877"/>
      <c r="C116" s="878"/>
      <c r="D116" s="878"/>
      <c r="E116" s="878"/>
      <c r="F116" s="878"/>
      <c r="G116" s="878"/>
      <c r="H116" s="878"/>
      <c r="I116" s="878"/>
      <c r="J116" s="878"/>
      <c r="K116" s="878"/>
      <c r="L116" s="878"/>
      <c r="M116" s="878"/>
      <c r="N116" s="878"/>
      <c r="O116" s="878"/>
      <c r="P116" s="878"/>
      <c r="Q116" s="878"/>
      <c r="R116" s="879"/>
    </row>
    <row r="117" spans="2:18">
      <c r="B117" s="877"/>
      <c r="C117" s="878"/>
      <c r="D117" s="878"/>
      <c r="E117" s="878"/>
      <c r="F117" s="878"/>
      <c r="G117" s="878"/>
      <c r="H117" s="878"/>
      <c r="I117" s="878"/>
      <c r="J117" s="878"/>
      <c r="K117" s="878"/>
      <c r="L117" s="878"/>
      <c r="M117" s="878"/>
      <c r="N117" s="878"/>
      <c r="O117" s="878"/>
      <c r="P117" s="878"/>
      <c r="Q117" s="878"/>
      <c r="R117" s="879"/>
    </row>
    <row r="118" spans="2:18">
      <c r="B118" s="877"/>
      <c r="C118" s="878"/>
      <c r="D118" s="878"/>
      <c r="E118" s="878"/>
      <c r="F118" s="878"/>
      <c r="G118" s="878"/>
      <c r="H118" s="878"/>
      <c r="I118" s="878"/>
      <c r="J118" s="878"/>
      <c r="K118" s="878"/>
      <c r="L118" s="878"/>
      <c r="M118" s="878"/>
      <c r="N118" s="878"/>
      <c r="O118" s="878"/>
      <c r="P118" s="878"/>
      <c r="Q118" s="878"/>
      <c r="R118" s="879"/>
    </row>
    <row r="119" spans="2:18">
      <c r="B119" s="877"/>
      <c r="C119" s="878"/>
      <c r="D119" s="878"/>
      <c r="E119" s="878"/>
      <c r="F119" s="878"/>
      <c r="G119" s="878"/>
      <c r="H119" s="878"/>
      <c r="I119" s="878"/>
      <c r="J119" s="878"/>
      <c r="K119" s="878"/>
      <c r="L119" s="878"/>
      <c r="M119" s="878"/>
      <c r="N119" s="878"/>
      <c r="O119" s="878"/>
      <c r="P119" s="878"/>
      <c r="Q119" s="878"/>
      <c r="R119" s="879"/>
    </row>
    <row r="120" spans="2:18">
      <c r="B120" s="877"/>
      <c r="C120" s="878"/>
      <c r="D120" s="878"/>
      <c r="E120" s="878"/>
      <c r="F120" s="878"/>
      <c r="G120" s="878"/>
      <c r="H120" s="878"/>
      <c r="I120" s="878"/>
      <c r="J120" s="878"/>
      <c r="K120" s="878"/>
      <c r="L120" s="878"/>
      <c r="M120" s="878"/>
      <c r="N120" s="878"/>
      <c r="O120" s="878"/>
      <c r="P120" s="878"/>
      <c r="Q120" s="878"/>
      <c r="R120" s="879"/>
    </row>
    <row r="121" spans="2:18">
      <c r="B121" s="877"/>
      <c r="C121" s="878"/>
      <c r="D121" s="878"/>
      <c r="E121" s="878"/>
      <c r="F121" s="878"/>
      <c r="G121" s="878"/>
      <c r="H121" s="878"/>
      <c r="I121" s="878"/>
      <c r="J121" s="878"/>
      <c r="K121" s="878"/>
      <c r="L121" s="878"/>
      <c r="M121" s="878"/>
      <c r="N121" s="878"/>
      <c r="O121" s="878"/>
      <c r="P121" s="878"/>
      <c r="Q121" s="878"/>
      <c r="R121" s="879"/>
    </row>
    <row r="122" spans="2:18">
      <c r="B122" s="877"/>
      <c r="C122" s="878"/>
      <c r="D122" s="878"/>
      <c r="E122" s="878"/>
      <c r="F122" s="878"/>
      <c r="G122" s="878"/>
      <c r="H122" s="878"/>
      <c r="I122" s="878"/>
      <c r="J122" s="878"/>
      <c r="K122" s="878"/>
      <c r="L122" s="878"/>
      <c r="M122" s="878"/>
      <c r="N122" s="878"/>
      <c r="O122" s="878"/>
      <c r="P122" s="878"/>
      <c r="Q122" s="878"/>
      <c r="R122" s="879"/>
    </row>
    <row r="123" spans="2:18">
      <c r="B123" s="877"/>
      <c r="C123" s="878"/>
      <c r="D123" s="878"/>
      <c r="E123" s="878"/>
      <c r="F123" s="878"/>
      <c r="G123" s="878"/>
      <c r="H123" s="878"/>
      <c r="I123" s="878"/>
      <c r="J123" s="878"/>
      <c r="K123" s="878"/>
      <c r="L123" s="878"/>
      <c r="M123" s="878"/>
      <c r="N123" s="878"/>
      <c r="O123" s="878"/>
      <c r="P123" s="878"/>
      <c r="Q123" s="878"/>
      <c r="R123" s="879"/>
    </row>
    <row r="124" spans="2:18">
      <c r="B124" s="877"/>
      <c r="C124" s="878"/>
      <c r="D124" s="878"/>
      <c r="E124" s="878"/>
      <c r="F124" s="878"/>
      <c r="G124" s="878"/>
      <c r="H124" s="878"/>
      <c r="I124" s="878"/>
      <c r="J124" s="878"/>
      <c r="K124" s="878"/>
      <c r="L124" s="878"/>
      <c r="M124" s="878"/>
      <c r="N124" s="878"/>
      <c r="O124" s="878"/>
      <c r="P124" s="878"/>
      <c r="Q124" s="878"/>
      <c r="R124" s="879"/>
    </row>
    <row r="125" spans="2:18">
      <c r="B125" s="877"/>
      <c r="C125" s="878"/>
      <c r="D125" s="878"/>
      <c r="E125" s="878"/>
      <c r="F125" s="878"/>
      <c r="G125" s="878"/>
      <c r="H125" s="878"/>
      <c r="I125" s="878"/>
      <c r="J125" s="878"/>
      <c r="K125" s="878"/>
      <c r="L125" s="878"/>
      <c r="M125" s="878"/>
      <c r="N125" s="878"/>
      <c r="O125" s="878"/>
      <c r="P125" s="878"/>
      <c r="Q125" s="878"/>
      <c r="R125" s="879"/>
    </row>
    <row r="126" spans="2:18">
      <c r="B126" s="877"/>
      <c r="C126" s="878"/>
      <c r="D126" s="878"/>
      <c r="E126" s="878"/>
      <c r="F126" s="878"/>
      <c r="G126" s="878"/>
      <c r="H126" s="878"/>
      <c r="I126" s="878"/>
      <c r="J126" s="878"/>
      <c r="K126" s="878"/>
      <c r="L126" s="878"/>
      <c r="M126" s="878"/>
      <c r="N126" s="878"/>
      <c r="O126" s="878"/>
      <c r="P126" s="878"/>
      <c r="Q126" s="878"/>
      <c r="R126" s="879"/>
    </row>
    <row r="127" spans="2:18">
      <c r="B127" s="877"/>
      <c r="C127" s="878"/>
      <c r="D127" s="878"/>
      <c r="E127" s="878"/>
      <c r="F127" s="878"/>
      <c r="G127" s="878"/>
      <c r="H127" s="878"/>
      <c r="I127" s="878"/>
      <c r="J127" s="878"/>
      <c r="K127" s="878"/>
      <c r="L127" s="878"/>
      <c r="M127" s="878"/>
      <c r="N127" s="878"/>
      <c r="O127" s="878"/>
      <c r="P127" s="878"/>
      <c r="Q127" s="878"/>
      <c r="R127" s="879"/>
    </row>
    <row r="128" spans="2:18">
      <c r="B128" s="877"/>
      <c r="C128" s="878"/>
      <c r="D128" s="878"/>
      <c r="E128" s="878"/>
      <c r="F128" s="878"/>
      <c r="G128" s="878"/>
      <c r="H128" s="878"/>
      <c r="I128" s="878"/>
      <c r="J128" s="878"/>
      <c r="K128" s="878"/>
      <c r="L128" s="878"/>
      <c r="M128" s="878"/>
      <c r="N128" s="878"/>
      <c r="O128" s="878"/>
      <c r="P128" s="878"/>
      <c r="Q128" s="878"/>
      <c r="R128" s="879"/>
    </row>
    <row r="129" spans="2:18">
      <c r="B129" s="877"/>
      <c r="C129" s="878"/>
      <c r="D129" s="878"/>
      <c r="E129" s="878"/>
      <c r="F129" s="878"/>
      <c r="G129" s="878"/>
      <c r="H129" s="878"/>
      <c r="I129" s="878"/>
      <c r="J129" s="878"/>
      <c r="K129" s="878"/>
      <c r="L129" s="878"/>
      <c r="M129" s="878"/>
      <c r="N129" s="878"/>
      <c r="O129" s="878"/>
      <c r="P129" s="878"/>
      <c r="Q129" s="878"/>
      <c r="R129" s="879"/>
    </row>
    <row r="130" spans="2:18">
      <c r="B130" s="877"/>
      <c r="C130" s="878"/>
      <c r="D130" s="878"/>
      <c r="E130" s="878"/>
      <c r="F130" s="878"/>
      <c r="G130" s="878"/>
      <c r="H130" s="878"/>
      <c r="I130" s="878"/>
      <c r="J130" s="878"/>
      <c r="K130" s="878"/>
      <c r="L130" s="878"/>
      <c r="M130" s="878"/>
      <c r="N130" s="878"/>
      <c r="O130" s="878"/>
      <c r="P130" s="878"/>
      <c r="Q130" s="878"/>
      <c r="R130" s="879"/>
    </row>
    <row r="131" spans="2:18">
      <c r="B131" s="877"/>
      <c r="C131" s="878"/>
      <c r="D131" s="878"/>
      <c r="E131" s="878"/>
      <c r="F131" s="878"/>
      <c r="G131" s="878"/>
      <c r="H131" s="878"/>
      <c r="I131" s="878"/>
      <c r="J131" s="878"/>
      <c r="K131" s="878"/>
      <c r="L131" s="878"/>
      <c r="M131" s="878"/>
      <c r="N131" s="878"/>
      <c r="O131" s="878"/>
      <c r="P131" s="878"/>
      <c r="Q131" s="878"/>
      <c r="R131" s="879"/>
    </row>
    <row r="132" spans="2:18">
      <c r="B132" s="877"/>
      <c r="C132" s="878"/>
      <c r="D132" s="878"/>
      <c r="E132" s="878"/>
      <c r="F132" s="878"/>
      <c r="G132" s="878"/>
      <c r="H132" s="878"/>
      <c r="I132" s="878"/>
      <c r="J132" s="878"/>
      <c r="K132" s="878"/>
      <c r="L132" s="878"/>
      <c r="M132" s="878"/>
      <c r="N132" s="878"/>
      <c r="O132" s="878"/>
      <c r="P132" s="878"/>
      <c r="Q132" s="878"/>
      <c r="R132" s="879"/>
    </row>
    <row r="133" spans="2:18">
      <c r="B133" s="877"/>
      <c r="C133" s="878"/>
      <c r="D133" s="878"/>
      <c r="E133" s="878"/>
      <c r="F133" s="878"/>
      <c r="G133" s="878"/>
      <c r="H133" s="878"/>
      <c r="I133" s="878"/>
      <c r="J133" s="878"/>
      <c r="K133" s="878"/>
      <c r="L133" s="878"/>
      <c r="M133" s="878"/>
      <c r="N133" s="878"/>
      <c r="O133" s="878"/>
      <c r="P133" s="878"/>
      <c r="Q133" s="878"/>
      <c r="R133" s="879"/>
    </row>
    <row r="134" spans="2:18">
      <c r="B134" s="877"/>
      <c r="C134" s="878"/>
      <c r="D134" s="878"/>
      <c r="E134" s="878"/>
      <c r="F134" s="878"/>
      <c r="G134" s="878"/>
      <c r="H134" s="878"/>
      <c r="I134" s="878"/>
      <c r="J134" s="878"/>
      <c r="K134" s="878"/>
      <c r="L134" s="878"/>
      <c r="M134" s="878"/>
      <c r="N134" s="878"/>
      <c r="O134" s="878"/>
      <c r="P134" s="878"/>
      <c r="Q134" s="878"/>
      <c r="R134" s="879"/>
    </row>
    <row r="135" spans="2:18">
      <c r="B135" s="877"/>
      <c r="C135" s="878"/>
      <c r="D135" s="878"/>
      <c r="E135" s="878"/>
      <c r="F135" s="878"/>
      <c r="G135" s="878"/>
      <c r="H135" s="878"/>
      <c r="I135" s="878"/>
      <c r="J135" s="878"/>
      <c r="K135" s="878"/>
      <c r="L135" s="878"/>
      <c r="M135" s="878"/>
      <c r="N135" s="878"/>
      <c r="O135" s="878"/>
      <c r="P135" s="878"/>
      <c r="Q135" s="878"/>
      <c r="R135" s="879"/>
    </row>
    <row r="136" spans="2:18">
      <c r="B136" s="877"/>
      <c r="C136" s="878"/>
      <c r="D136" s="878"/>
      <c r="E136" s="878"/>
      <c r="F136" s="878"/>
      <c r="G136" s="878"/>
      <c r="H136" s="878"/>
      <c r="I136" s="878"/>
      <c r="J136" s="878"/>
      <c r="K136" s="878"/>
      <c r="L136" s="878"/>
      <c r="M136" s="878"/>
      <c r="N136" s="878"/>
      <c r="O136" s="878"/>
      <c r="P136" s="878"/>
      <c r="Q136" s="878"/>
      <c r="R136" s="879"/>
    </row>
    <row r="137" spans="2:18">
      <c r="B137" s="877"/>
      <c r="C137" s="878"/>
      <c r="D137" s="878"/>
      <c r="E137" s="878"/>
      <c r="F137" s="878"/>
      <c r="G137" s="878"/>
      <c r="H137" s="878"/>
      <c r="I137" s="878"/>
      <c r="J137" s="878"/>
      <c r="K137" s="878"/>
      <c r="L137" s="878"/>
      <c r="M137" s="878"/>
      <c r="N137" s="878"/>
      <c r="O137" s="878"/>
      <c r="P137" s="878"/>
      <c r="Q137" s="878"/>
      <c r="R137" s="879"/>
    </row>
    <row r="138" spans="2:18">
      <c r="B138" s="877"/>
      <c r="C138" s="878"/>
      <c r="D138" s="878"/>
      <c r="E138" s="878"/>
      <c r="F138" s="878"/>
      <c r="G138" s="878"/>
      <c r="H138" s="878"/>
      <c r="I138" s="878"/>
      <c r="J138" s="878"/>
      <c r="K138" s="878"/>
      <c r="L138" s="878"/>
      <c r="M138" s="878"/>
      <c r="N138" s="878"/>
      <c r="O138" s="878"/>
      <c r="P138" s="878"/>
      <c r="Q138" s="878"/>
      <c r="R138" s="879"/>
    </row>
    <row r="139" spans="2:18">
      <c r="B139" s="877"/>
      <c r="C139" s="878"/>
      <c r="D139" s="878"/>
      <c r="E139" s="878"/>
      <c r="F139" s="878"/>
      <c r="G139" s="878"/>
      <c r="H139" s="878"/>
      <c r="I139" s="878"/>
      <c r="J139" s="878"/>
      <c r="K139" s="878"/>
      <c r="L139" s="878"/>
      <c r="M139" s="878"/>
      <c r="N139" s="878"/>
      <c r="O139" s="878"/>
      <c r="P139" s="878"/>
      <c r="Q139" s="878"/>
      <c r="R139" s="879"/>
    </row>
    <row r="140" spans="2:18">
      <c r="B140" s="877"/>
      <c r="C140" s="878"/>
      <c r="D140" s="878"/>
      <c r="E140" s="878"/>
      <c r="F140" s="878"/>
      <c r="G140" s="878"/>
      <c r="H140" s="878"/>
      <c r="I140" s="878"/>
      <c r="J140" s="878"/>
      <c r="K140" s="878"/>
      <c r="L140" s="878"/>
      <c r="M140" s="878"/>
      <c r="N140" s="878"/>
      <c r="O140" s="878"/>
      <c r="P140" s="878"/>
      <c r="Q140" s="878"/>
      <c r="R140" s="879"/>
    </row>
    <row r="141" spans="2:18">
      <c r="B141" s="877"/>
      <c r="C141" s="878"/>
      <c r="D141" s="878"/>
      <c r="E141" s="878"/>
      <c r="F141" s="878"/>
      <c r="G141" s="878"/>
      <c r="H141" s="878"/>
      <c r="I141" s="878"/>
      <c r="J141" s="878"/>
      <c r="K141" s="878"/>
      <c r="L141" s="878"/>
      <c r="M141" s="878"/>
      <c r="N141" s="878"/>
      <c r="O141" s="878"/>
      <c r="P141" s="878"/>
      <c r="Q141" s="878"/>
      <c r="R141" s="879"/>
    </row>
    <row r="142" spans="2:18">
      <c r="B142" s="877"/>
      <c r="C142" s="878"/>
      <c r="D142" s="878"/>
      <c r="E142" s="878"/>
      <c r="F142" s="878"/>
      <c r="G142" s="878"/>
      <c r="H142" s="878"/>
      <c r="I142" s="878"/>
      <c r="J142" s="878"/>
      <c r="K142" s="878"/>
      <c r="L142" s="878"/>
      <c r="M142" s="878"/>
      <c r="N142" s="878"/>
      <c r="O142" s="878"/>
      <c r="P142" s="878"/>
      <c r="Q142" s="878"/>
      <c r="R142" s="879"/>
    </row>
    <row r="143" spans="2:18">
      <c r="B143" s="877"/>
      <c r="C143" s="878"/>
      <c r="D143" s="878"/>
      <c r="E143" s="878"/>
      <c r="F143" s="878"/>
      <c r="G143" s="878"/>
      <c r="H143" s="878"/>
      <c r="I143" s="878"/>
      <c r="J143" s="878"/>
      <c r="K143" s="878"/>
      <c r="L143" s="878"/>
      <c r="M143" s="878"/>
      <c r="N143" s="878"/>
      <c r="O143" s="878"/>
      <c r="P143" s="878"/>
      <c r="Q143" s="878"/>
      <c r="R143" s="879"/>
    </row>
    <row r="144" spans="2:18">
      <c r="B144" s="877"/>
      <c r="C144" s="878"/>
      <c r="D144" s="878"/>
      <c r="E144" s="878"/>
      <c r="F144" s="878"/>
      <c r="G144" s="878"/>
      <c r="H144" s="878"/>
      <c r="I144" s="878"/>
      <c r="J144" s="878"/>
      <c r="K144" s="878"/>
      <c r="L144" s="878"/>
      <c r="M144" s="878"/>
      <c r="N144" s="878"/>
      <c r="O144" s="878"/>
      <c r="P144" s="878"/>
      <c r="Q144" s="878"/>
      <c r="R144" s="879"/>
    </row>
    <row r="145" spans="2:18">
      <c r="B145" s="877"/>
      <c r="C145" s="878"/>
      <c r="D145" s="878"/>
      <c r="E145" s="878"/>
      <c r="F145" s="878"/>
      <c r="G145" s="878"/>
      <c r="H145" s="878"/>
      <c r="I145" s="878"/>
      <c r="J145" s="878"/>
      <c r="K145" s="878"/>
      <c r="L145" s="878"/>
      <c r="M145" s="878"/>
      <c r="N145" s="878"/>
      <c r="O145" s="878"/>
      <c r="P145" s="878"/>
      <c r="Q145" s="878"/>
      <c r="R145" s="879"/>
    </row>
    <row r="146" spans="2:18">
      <c r="B146" s="877"/>
      <c r="C146" s="878"/>
      <c r="D146" s="878"/>
      <c r="E146" s="878"/>
      <c r="F146" s="878"/>
      <c r="G146" s="878"/>
      <c r="H146" s="878"/>
      <c r="I146" s="878"/>
      <c r="J146" s="878"/>
      <c r="K146" s="878"/>
      <c r="L146" s="878"/>
      <c r="M146" s="878"/>
      <c r="N146" s="878"/>
      <c r="O146" s="878"/>
      <c r="P146" s="878"/>
      <c r="Q146" s="878"/>
      <c r="R146" s="879"/>
    </row>
    <row r="147" spans="2:18">
      <c r="B147" s="877"/>
      <c r="C147" s="878"/>
      <c r="D147" s="878"/>
      <c r="E147" s="878"/>
      <c r="F147" s="878"/>
      <c r="G147" s="878"/>
      <c r="H147" s="878"/>
      <c r="I147" s="878"/>
      <c r="J147" s="878"/>
      <c r="K147" s="878"/>
      <c r="L147" s="878"/>
      <c r="M147" s="878"/>
      <c r="N147" s="878"/>
      <c r="O147" s="878"/>
      <c r="P147" s="878"/>
      <c r="Q147" s="878"/>
      <c r="R147" s="879"/>
    </row>
    <row r="148" spans="2:18">
      <c r="B148" s="877"/>
      <c r="C148" s="878"/>
      <c r="D148" s="878"/>
      <c r="E148" s="878"/>
      <c r="F148" s="878"/>
      <c r="G148" s="878"/>
      <c r="H148" s="878"/>
      <c r="I148" s="878"/>
      <c r="J148" s="878"/>
      <c r="K148" s="878"/>
      <c r="L148" s="878"/>
      <c r="M148" s="878"/>
      <c r="N148" s="878"/>
      <c r="O148" s="878"/>
      <c r="P148" s="878"/>
      <c r="Q148" s="878"/>
      <c r="R148" s="879"/>
    </row>
    <row r="149" spans="2:18">
      <c r="B149" s="877"/>
      <c r="C149" s="878"/>
      <c r="D149" s="878"/>
      <c r="E149" s="878"/>
      <c r="F149" s="878"/>
      <c r="G149" s="878"/>
      <c r="H149" s="878"/>
      <c r="I149" s="878"/>
      <c r="J149" s="878"/>
      <c r="K149" s="878"/>
      <c r="L149" s="878"/>
      <c r="M149" s="878"/>
      <c r="N149" s="878"/>
      <c r="O149" s="878"/>
      <c r="P149" s="878"/>
      <c r="Q149" s="878"/>
      <c r="R149" s="879"/>
    </row>
    <row r="150" spans="2:18">
      <c r="B150" s="877"/>
      <c r="C150" s="878"/>
      <c r="D150" s="878"/>
      <c r="E150" s="878"/>
      <c r="F150" s="878"/>
      <c r="G150" s="878"/>
      <c r="H150" s="878"/>
      <c r="I150" s="878"/>
      <c r="J150" s="878"/>
      <c r="K150" s="878"/>
      <c r="L150" s="878"/>
      <c r="M150" s="878"/>
      <c r="N150" s="878"/>
      <c r="O150" s="878"/>
      <c r="P150" s="878"/>
      <c r="Q150" s="878"/>
      <c r="R150" s="879"/>
    </row>
    <row r="151" spans="2:18">
      <c r="B151" s="877"/>
      <c r="C151" s="878"/>
      <c r="D151" s="878"/>
      <c r="E151" s="878"/>
      <c r="F151" s="878"/>
      <c r="G151" s="878"/>
      <c r="H151" s="878"/>
      <c r="I151" s="878"/>
      <c r="J151" s="878"/>
      <c r="K151" s="878"/>
      <c r="L151" s="878"/>
      <c r="M151" s="878"/>
      <c r="N151" s="878"/>
      <c r="O151" s="878"/>
      <c r="P151" s="878"/>
      <c r="Q151" s="878"/>
      <c r="R151" s="879"/>
    </row>
    <row r="152" spans="2:18">
      <c r="B152" s="877"/>
      <c r="C152" s="878"/>
      <c r="D152" s="878"/>
      <c r="E152" s="878"/>
      <c r="F152" s="878"/>
      <c r="G152" s="878"/>
      <c r="H152" s="878"/>
      <c r="I152" s="878"/>
      <c r="J152" s="878"/>
      <c r="K152" s="878"/>
      <c r="L152" s="878"/>
      <c r="M152" s="878"/>
      <c r="N152" s="878"/>
      <c r="O152" s="878"/>
      <c r="P152" s="878"/>
      <c r="Q152" s="878"/>
      <c r="R152" s="879"/>
    </row>
    <row r="153" spans="2:18">
      <c r="B153" s="877"/>
      <c r="C153" s="878"/>
      <c r="D153" s="878"/>
      <c r="E153" s="878"/>
      <c r="F153" s="878"/>
      <c r="G153" s="878"/>
      <c r="H153" s="878"/>
      <c r="I153" s="878"/>
      <c r="J153" s="878"/>
      <c r="K153" s="878"/>
      <c r="L153" s="878"/>
      <c r="M153" s="878"/>
      <c r="N153" s="878"/>
      <c r="O153" s="878"/>
      <c r="P153" s="878"/>
      <c r="Q153" s="878"/>
      <c r="R153" s="879"/>
    </row>
    <row r="154" spans="2:18">
      <c r="B154" s="877"/>
      <c r="C154" s="878"/>
      <c r="D154" s="878"/>
      <c r="E154" s="878"/>
      <c r="F154" s="878"/>
      <c r="G154" s="878"/>
      <c r="H154" s="878"/>
      <c r="I154" s="878"/>
      <c r="J154" s="878"/>
      <c r="K154" s="878"/>
      <c r="L154" s="878"/>
      <c r="M154" s="878"/>
      <c r="N154" s="878"/>
      <c r="O154" s="878"/>
      <c r="P154" s="878"/>
      <c r="Q154" s="878"/>
      <c r="R154" s="879"/>
    </row>
    <row r="155" spans="2:18">
      <c r="B155" s="877"/>
      <c r="C155" s="878"/>
      <c r="D155" s="878"/>
      <c r="E155" s="878"/>
      <c r="F155" s="878"/>
      <c r="G155" s="878"/>
      <c r="H155" s="878"/>
      <c r="I155" s="878"/>
      <c r="J155" s="878"/>
      <c r="K155" s="878"/>
      <c r="L155" s="878"/>
      <c r="M155" s="878"/>
      <c r="N155" s="878"/>
      <c r="O155" s="878"/>
      <c r="P155" s="878"/>
      <c r="Q155" s="878"/>
      <c r="R155" s="879"/>
    </row>
    <row r="156" spans="2:18">
      <c r="B156" s="877"/>
      <c r="C156" s="878"/>
      <c r="D156" s="878"/>
      <c r="E156" s="878"/>
      <c r="F156" s="878"/>
      <c r="G156" s="878"/>
      <c r="H156" s="878"/>
      <c r="I156" s="878"/>
      <c r="J156" s="878"/>
      <c r="K156" s="878"/>
      <c r="L156" s="878"/>
      <c r="M156" s="878"/>
      <c r="N156" s="878"/>
      <c r="O156" s="878"/>
      <c r="P156" s="878"/>
      <c r="Q156" s="878"/>
      <c r="R156" s="879"/>
    </row>
    <row r="157" spans="2:18">
      <c r="B157" s="877"/>
      <c r="C157" s="878"/>
      <c r="D157" s="878"/>
      <c r="E157" s="878"/>
      <c r="F157" s="878"/>
      <c r="G157" s="878"/>
      <c r="H157" s="878"/>
      <c r="I157" s="878"/>
      <c r="J157" s="878"/>
      <c r="K157" s="878"/>
      <c r="L157" s="878"/>
      <c r="M157" s="878"/>
      <c r="N157" s="878"/>
      <c r="O157" s="878"/>
      <c r="P157" s="878"/>
      <c r="Q157" s="878"/>
      <c r="R157" s="879"/>
    </row>
    <row r="158" spans="2:18">
      <c r="B158" s="877"/>
      <c r="C158" s="878"/>
      <c r="D158" s="878"/>
      <c r="E158" s="878"/>
      <c r="F158" s="878"/>
      <c r="G158" s="878"/>
      <c r="H158" s="878"/>
      <c r="I158" s="878"/>
      <c r="J158" s="878"/>
      <c r="K158" s="878"/>
      <c r="L158" s="878"/>
      <c r="M158" s="878"/>
      <c r="N158" s="878"/>
      <c r="O158" s="878"/>
      <c r="P158" s="878"/>
      <c r="Q158" s="878"/>
      <c r="R158" s="879"/>
    </row>
    <row r="159" spans="2:18">
      <c r="B159" s="877"/>
      <c r="C159" s="878"/>
      <c r="D159" s="878"/>
      <c r="E159" s="878"/>
      <c r="F159" s="878"/>
      <c r="G159" s="878"/>
      <c r="H159" s="878"/>
      <c r="I159" s="878"/>
      <c r="J159" s="878"/>
      <c r="K159" s="878"/>
      <c r="L159" s="878"/>
      <c r="M159" s="878"/>
      <c r="N159" s="878"/>
      <c r="O159" s="878"/>
      <c r="P159" s="878"/>
      <c r="Q159" s="878"/>
      <c r="R159" s="879"/>
    </row>
    <row r="160" spans="2:18">
      <c r="B160" s="877"/>
      <c r="C160" s="878"/>
      <c r="D160" s="878"/>
      <c r="E160" s="878"/>
      <c r="F160" s="878"/>
      <c r="G160" s="878"/>
      <c r="H160" s="878"/>
      <c r="I160" s="878"/>
      <c r="J160" s="878"/>
      <c r="K160" s="878"/>
      <c r="L160" s="878"/>
      <c r="M160" s="878"/>
      <c r="N160" s="878"/>
      <c r="O160" s="878"/>
      <c r="P160" s="878"/>
      <c r="Q160" s="878"/>
      <c r="R160" s="879"/>
    </row>
    <row r="161" spans="2:18">
      <c r="B161" s="877"/>
      <c r="C161" s="878"/>
      <c r="D161" s="878"/>
      <c r="E161" s="878"/>
      <c r="F161" s="878"/>
      <c r="G161" s="878"/>
      <c r="H161" s="878"/>
      <c r="I161" s="878"/>
      <c r="J161" s="878"/>
      <c r="K161" s="878"/>
      <c r="L161" s="878"/>
      <c r="M161" s="878"/>
      <c r="N161" s="878"/>
      <c r="O161" s="878"/>
      <c r="P161" s="878"/>
      <c r="Q161" s="878"/>
      <c r="R161" s="879"/>
    </row>
    <row r="162" spans="2:18">
      <c r="B162" s="877"/>
      <c r="C162" s="878"/>
      <c r="D162" s="878"/>
      <c r="E162" s="878"/>
      <c r="F162" s="878"/>
      <c r="G162" s="878"/>
      <c r="H162" s="878"/>
      <c r="I162" s="878"/>
      <c r="J162" s="878"/>
      <c r="K162" s="878"/>
      <c r="L162" s="878"/>
      <c r="M162" s="878"/>
      <c r="N162" s="878"/>
      <c r="O162" s="878"/>
      <c r="P162" s="878"/>
      <c r="Q162" s="878"/>
      <c r="R162" s="879"/>
    </row>
    <row r="163" spans="2:18">
      <c r="B163" s="877"/>
      <c r="C163" s="878"/>
      <c r="D163" s="878"/>
      <c r="E163" s="878"/>
      <c r="F163" s="878"/>
      <c r="G163" s="878"/>
      <c r="H163" s="878"/>
      <c r="I163" s="878"/>
      <c r="J163" s="878"/>
      <c r="K163" s="878"/>
      <c r="L163" s="878"/>
      <c r="M163" s="878"/>
      <c r="N163" s="878"/>
      <c r="O163" s="878"/>
      <c r="P163" s="878"/>
      <c r="Q163" s="878"/>
      <c r="R163" s="879"/>
    </row>
    <row r="164" spans="2:18">
      <c r="B164" s="877"/>
      <c r="C164" s="878"/>
      <c r="D164" s="878"/>
      <c r="E164" s="878"/>
      <c r="F164" s="878"/>
      <c r="G164" s="878"/>
      <c r="H164" s="878"/>
      <c r="I164" s="878"/>
      <c r="J164" s="878"/>
      <c r="K164" s="878"/>
      <c r="L164" s="878"/>
      <c r="M164" s="878"/>
      <c r="N164" s="878"/>
      <c r="O164" s="878"/>
      <c r="P164" s="878"/>
      <c r="Q164" s="878"/>
      <c r="R164" s="879"/>
    </row>
    <row r="165" spans="2:18">
      <c r="B165" s="877"/>
      <c r="C165" s="878"/>
      <c r="D165" s="878"/>
      <c r="E165" s="878"/>
      <c r="F165" s="878"/>
      <c r="G165" s="878"/>
      <c r="H165" s="878"/>
      <c r="I165" s="878"/>
      <c r="J165" s="878"/>
      <c r="K165" s="878"/>
      <c r="L165" s="878"/>
      <c r="M165" s="878"/>
      <c r="N165" s="878"/>
      <c r="O165" s="878"/>
      <c r="P165" s="878"/>
      <c r="Q165" s="878"/>
      <c r="R165" s="879"/>
    </row>
    <row r="166" spans="2:18">
      <c r="B166" s="877"/>
      <c r="C166" s="878"/>
      <c r="D166" s="878"/>
      <c r="E166" s="878"/>
      <c r="F166" s="878"/>
      <c r="G166" s="878"/>
      <c r="H166" s="878"/>
      <c r="I166" s="878"/>
      <c r="J166" s="878"/>
      <c r="K166" s="878"/>
      <c r="L166" s="878"/>
      <c r="M166" s="878"/>
      <c r="N166" s="878"/>
      <c r="O166" s="878"/>
      <c r="P166" s="878"/>
      <c r="Q166" s="878"/>
      <c r="R166" s="879"/>
    </row>
    <row r="167" spans="2:18">
      <c r="B167" s="877"/>
      <c r="C167" s="878"/>
      <c r="D167" s="878"/>
      <c r="E167" s="878"/>
      <c r="F167" s="878"/>
      <c r="G167" s="878"/>
      <c r="H167" s="878"/>
      <c r="I167" s="878"/>
      <c r="J167" s="878"/>
      <c r="K167" s="878"/>
      <c r="L167" s="878"/>
      <c r="M167" s="878"/>
      <c r="N167" s="878"/>
      <c r="O167" s="878"/>
      <c r="P167" s="878"/>
      <c r="Q167" s="878"/>
      <c r="R167" s="879"/>
    </row>
    <row r="168" spans="2:18">
      <c r="B168" s="877"/>
      <c r="C168" s="878"/>
      <c r="D168" s="878"/>
      <c r="E168" s="878"/>
      <c r="F168" s="878"/>
      <c r="G168" s="878"/>
      <c r="H168" s="878"/>
      <c r="I168" s="878"/>
      <c r="J168" s="878"/>
      <c r="K168" s="878"/>
      <c r="L168" s="878"/>
      <c r="M168" s="878"/>
      <c r="N168" s="878"/>
      <c r="O168" s="878"/>
      <c r="P168" s="878"/>
      <c r="Q168" s="878"/>
      <c r="R168" s="879"/>
    </row>
    <row r="169" spans="2:18">
      <c r="B169" s="877"/>
      <c r="C169" s="878"/>
      <c r="D169" s="878"/>
      <c r="E169" s="878"/>
      <c r="F169" s="878"/>
      <c r="G169" s="878"/>
      <c r="H169" s="878"/>
      <c r="I169" s="878"/>
      <c r="J169" s="878"/>
      <c r="K169" s="878"/>
      <c r="L169" s="878"/>
      <c r="M169" s="878"/>
      <c r="N169" s="878"/>
      <c r="O169" s="878"/>
      <c r="P169" s="878"/>
      <c r="Q169" s="878"/>
      <c r="R169" s="879"/>
    </row>
    <row r="170" spans="2:18">
      <c r="B170" s="877"/>
      <c r="C170" s="878"/>
      <c r="D170" s="878"/>
      <c r="E170" s="878"/>
      <c r="F170" s="878"/>
      <c r="G170" s="878"/>
      <c r="H170" s="878"/>
      <c r="I170" s="878"/>
      <c r="J170" s="878"/>
      <c r="K170" s="878"/>
      <c r="L170" s="878"/>
      <c r="M170" s="878"/>
      <c r="N170" s="878"/>
      <c r="O170" s="878"/>
      <c r="P170" s="878"/>
      <c r="Q170" s="878"/>
      <c r="R170" s="879"/>
    </row>
    <row r="171" spans="2:18">
      <c r="B171" s="877"/>
      <c r="C171" s="878"/>
      <c r="D171" s="878"/>
      <c r="E171" s="878"/>
      <c r="F171" s="878"/>
      <c r="G171" s="878"/>
      <c r="H171" s="878"/>
      <c r="I171" s="878"/>
      <c r="J171" s="878"/>
      <c r="K171" s="878"/>
      <c r="L171" s="878"/>
      <c r="M171" s="878"/>
      <c r="N171" s="878"/>
      <c r="O171" s="878"/>
      <c r="P171" s="878"/>
      <c r="Q171" s="878"/>
      <c r="R171" s="879"/>
    </row>
    <row r="172" spans="2:18">
      <c r="B172" s="877"/>
      <c r="C172" s="878"/>
      <c r="D172" s="878"/>
      <c r="E172" s="878"/>
      <c r="F172" s="878"/>
      <c r="G172" s="878"/>
      <c r="H172" s="878"/>
      <c r="I172" s="878"/>
      <c r="J172" s="878"/>
      <c r="K172" s="878"/>
      <c r="L172" s="878"/>
      <c r="M172" s="878"/>
      <c r="N172" s="878"/>
      <c r="O172" s="878"/>
      <c r="P172" s="878"/>
      <c r="Q172" s="878"/>
      <c r="R172" s="879"/>
    </row>
    <row r="173" spans="2:18">
      <c r="B173" s="877"/>
      <c r="C173" s="878"/>
      <c r="D173" s="878"/>
      <c r="E173" s="878"/>
      <c r="F173" s="878"/>
      <c r="G173" s="878"/>
      <c r="H173" s="878"/>
      <c r="I173" s="878"/>
      <c r="J173" s="878"/>
      <c r="K173" s="878"/>
      <c r="L173" s="878"/>
      <c r="M173" s="878"/>
      <c r="N173" s="878"/>
      <c r="O173" s="878"/>
      <c r="P173" s="878"/>
      <c r="Q173" s="878"/>
      <c r="R173" s="879"/>
    </row>
    <row r="174" spans="2:18">
      <c r="B174" s="877"/>
      <c r="C174" s="878"/>
      <c r="D174" s="878"/>
      <c r="E174" s="878"/>
      <c r="F174" s="878"/>
      <c r="G174" s="878"/>
      <c r="H174" s="878"/>
      <c r="I174" s="878"/>
      <c r="J174" s="878"/>
      <c r="K174" s="878"/>
      <c r="L174" s="878"/>
      <c r="M174" s="878"/>
      <c r="N174" s="878"/>
      <c r="O174" s="878"/>
      <c r="P174" s="878"/>
      <c r="Q174" s="878"/>
      <c r="R174" s="879"/>
    </row>
    <row r="175" spans="2:18">
      <c r="B175" s="877"/>
      <c r="C175" s="878"/>
      <c r="D175" s="878"/>
      <c r="E175" s="878"/>
      <c r="F175" s="878"/>
      <c r="G175" s="878"/>
      <c r="H175" s="878"/>
      <c r="I175" s="878"/>
      <c r="J175" s="878"/>
      <c r="K175" s="878"/>
      <c r="L175" s="878"/>
      <c r="M175" s="878"/>
      <c r="N175" s="878"/>
      <c r="O175" s="878"/>
      <c r="P175" s="878"/>
      <c r="Q175" s="878"/>
      <c r="R175" s="879"/>
    </row>
    <row r="176" spans="2:18">
      <c r="B176" s="877"/>
      <c r="C176" s="878"/>
      <c r="D176" s="878"/>
      <c r="E176" s="878"/>
      <c r="F176" s="878"/>
      <c r="G176" s="878"/>
      <c r="H176" s="878"/>
      <c r="I176" s="878"/>
      <c r="J176" s="878"/>
      <c r="K176" s="878"/>
      <c r="L176" s="878"/>
      <c r="M176" s="878"/>
      <c r="N176" s="878"/>
      <c r="O176" s="878"/>
      <c r="P176" s="878"/>
      <c r="Q176" s="878"/>
      <c r="R176" s="879"/>
    </row>
    <row r="177" spans="2:18">
      <c r="B177" s="877"/>
      <c r="C177" s="878"/>
      <c r="D177" s="878"/>
      <c r="E177" s="878"/>
      <c r="F177" s="878"/>
      <c r="G177" s="878"/>
      <c r="H177" s="878"/>
      <c r="I177" s="878"/>
      <c r="J177" s="878"/>
      <c r="K177" s="878"/>
      <c r="L177" s="878"/>
      <c r="M177" s="878"/>
      <c r="N177" s="878"/>
      <c r="O177" s="878"/>
      <c r="P177" s="878"/>
      <c r="Q177" s="878"/>
      <c r="R177" s="879"/>
    </row>
    <row r="178" spans="2:18">
      <c r="B178" s="877"/>
      <c r="C178" s="878"/>
      <c r="D178" s="878"/>
      <c r="E178" s="878"/>
      <c r="F178" s="878"/>
      <c r="G178" s="878"/>
      <c r="H178" s="878"/>
      <c r="I178" s="878"/>
      <c r="J178" s="878"/>
      <c r="K178" s="878"/>
      <c r="L178" s="878"/>
      <c r="M178" s="878"/>
      <c r="N178" s="878"/>
      <c r="O178" s="878"/>
      <c r="P178" s="878"/>
      <c r="Q178" s="878"/>
      <c r="R178" s="879"/>
    </row>
    <row r="179" spans="2:18">
      <c r="B179" s="877"/>
      <c r="C179" s="878"/>
      <c r="D179" s="878"/>
      <c r="E179" s="878"/>
      <c r="F179" s="878"/>
      <c r="G179" s="878"/>
      <c r="H179" s="878"/>
      <c r="I179" s="878"/>
      <c r="J179" s="878"/>
      <c r="K179" s="878"/>
      <c r="L179" s="878"/>
      <c r="M179" s="878"/>
      <c r="N179" s="878"/>
      <c r="O179" s="878"/>
      <c r="P179" s="878"/>
      <c r="Q179" s="878"/>
      <c r="R179" s="879"/>
    </row>
    <row r="180" spans="2:18">
      <c r="B180" s="877"/>
      <c r="C180" s="878"/>
      <c r="D180" s="878"/>
      <c r="E180" s="878"/>
      <c r="F180" s="878"/>
      <c r="G180" s="878"/>
      <c r="H180" s="878"/>
      <c r="I180" s="878"/>
      <c r="J180" s="878"/>
      <c r="K180" s="878"/>
      <c r="L180" s="878"/>
      <c r="M180" s="878"/>
      <c r="N180" s="878"/>
      <c r="O180" s="878"/>
      <c r="P180" s="878"/>
      <c r="Q180" s="878"/>
      <c r="R180" s="879"/>
    </row>
    <row r="181" spans="2:18">
      <c r="B181" s="877"/>
      <c r="C181" s="878"/>
      <c r="D181" s="878"/>
      <c r="E181" s="878"/>
      <c r="F181" s="878"/>
      <c r="G181" s="878"/>
      <c r="H181" s="878"/>
      <c r="I181" s="878"/>
      <c r="J181" s="878"/>
      <c r="K181" s="878"/>
      <c r="L181" s="878"/>
      <c r="M181" s="878"/>
      <c r="N181" s="878"/>
      <c r="O181" s="878"/>
      <c r="P181" s="878"/>
      <c r="Q181" s="878"/>
      <c r="R181" s="879"/>
    </row>
    <row r="182" spans="2:18">
      <c r="B182" s="877"/>
      <c r="C182" s="878"/>
      <c r="D182" s="878"/>
      <c r="E182" s="878"/>
      <c r="F182" s="878"/>
      <c r="G182" s="878"/>
      <c r="H182" s="878"/>
      <c r="I182" s="878"/>
      <c r="J182" s="878"/>
      <c r="K182" s="878"/>
      <c r="L182" s="878"/>
      <c r="M182" s="878"/>
      <c r="N182" s="878"/>
      <c r="O182" s="878"/>
      <c r="P182" s="878"/>
      <c r="Q182" s="878"/>
      <c r="R182" s="879"/>
    </row>
    <row r="183" spans="2:18">
      <c r="B183" s="877"/>
      <c r="C183" s="878"/>
      <c r="D183" s="878"/>
      <c r="E183" s="878"/>
      <c r="F183" s="878"/>
      <c r="G183" s="878"/>
      <c r="H183" s="878"/>
      <c r="I183" s="878"/>
      <c r="J183" s="878"/>
      <c r="K183" s="878"/>
      <c r="L183" s="878"/>
      <c r="M183" s="878"/>
      <c r="N183" s="878"/>
      <c r="O183" s="878"/>
      <c r="P183" s="878"/>
      <c r="Q183" s="878"/>
      <c r="R183" s="879"/>
    </row>
    <row r="184" spans="2:18">
      <c r="B184" s="877"/>
      <c r="C184" s="878"/>
      <c r="D184" s="878"/>
      <c r="E184" s="878"/>
      <c r="F184" s="878"/>
      <c r="G184" s="878"/>
      <c r="H184" s="878"/>
      <c r="I184" s="878"/>
      <c r="J184" s="878"/>
      <c r="K184" s="878"/>
      <c r="L184" s="878"/>
      <c r="M184" s="878"/>
      <c r="N184" s="878"/>
      <c r="O184" s="878"/>
      <c r="P184" s="878"/>
      <c r="Q184" s="878"/>
      <c r="R184" s="879"/>
    </row>
    <row r="185" spans="2:18" ht="15">
      <c r="B185" s="884"/>
      <c r="C185" s="885"/>
      <c r="D185" s="885"/>
      <c r="E185" s="885"/>
      <c r="F185" s="885"/>
      <c r="G185" s="885"/>
      <c r="H185" s="885"/>
      <c r="I185" s="885"/>
      <c r="J185" s="885"/>
      <c r="K185" s="885"/>
      <c r="L185" s="885"/>
      <c r="M185" s="885"/>
      <c r="N185" s="885"/>
      <c r="O185" s="885"/>
      <c r="P185" s="885"/>
      <c r="Q185" s="119" t="s">
        <v>555</v>
      </c>
      <c r="R185" s="886"/>
    </row>
    <row r="262" spans="2:3" ht="13.5" customHeight="1">
      <c r="B262" s="873"/>
      <c r="C262" s="873"/>
    </row>
  </sheetData>
  <sheetProtection password="DFB1" sheet="1" objects="1" scenarios="1"/>
  <phoneticPr fontId="0" type="noConversion"/>
  <pageMargins left="0.75" right="0.75" top="1" bottom="1" header="0.5" footer="0.5"/>
  <pageSetup paperSize="9" scale="57" orientation="portrait" verticalDpi="300" r:id="rId1"/>
  <headerFooter alignWithMargins="0">
    <oddHeader>&amp;L&amp;"Arial,Vet"&amp;F&amp;R&amp;"Arial,Vet"&amp;A</oddHeader>
    <oddFooter>&amp;L&amp;"Arial,Vet"keizer / goedhart&amp;C&amp;"Arial,Vet"&amp;D&amp;R&amp;"Arial,Vet"pagina &amp;P</oddFooter>
  </headerFooter>
  <rowBreaks count="1" manualBreakCount="1">
    <brk id="95" min="1" max="18" man="1"/>
  </rowBreaks>
  <drawing r:id="rId2"/>
</worksheet>
</file>

<file path=xl/worksheets/sheet18.xml><?xml version="1.0" encoding="utf-8"?>
<worksheet xmlns="http://schemas.openxmlformats.org/spreadsheetml/2006/main" xmlns:r="http://schemas.openxmlformats.org/officeDocument/2006/relationships">
  <sheetPr>
    <pageSetUpPr fitToPage="1"/>
  </sheetPr>
  <dimension ref="A2:M132"/>
  <sheetViews>
    <sheetView zoomScale="85" zoomScaleNormal="85" workbookViewId="0">
      <selection activeCell="B2" sqref="B2"/>
    </sheetView>
  </sheetViews>
  <sheetFormatPr defaultRowHeight="12.75"/>
  <cols>
    <col min="1" max="1" width="3.7109375" style="68" customWidth="1"/>
    <col min="2" max="3" width="2.7109375" style="68" customWidth="1"/>
    <col min="4" max="4" width="45.7109375" style="68" customWidth="1"/>
    <col min="5" max="5" width="2.7109375" style="68" customWidth="1"/>
    <col min="6" max="9" width="16.85546875" style="68" customWidth="1"/>
    <col min="10" max="11" width="2.7109375" style="68" customWidth="1"/>
    <col min="12" max="16384" width="9.140625" style="68"/>
  </cols>
  <sheetData>
    <row r="2" spans="2:11">
      <c r="B2" s="87"/>
      <c r="C2" s="88"/>
      <c r="D2" s="88"/>
      <c r="E2" s="88"/>
      <c r="F2" s="88"/>
      <c r="G2" s="88"/>
      <c r="H2" s="88"/>
      <c r="I2" s="88"/>
      <c r="J2" s="88"/>
      <c r="K2" s="91"/>
    </row>
    <row r="3" spans="2:11">
      <c r="B3" s="92"/>
      <c r="C3" s="93"/>
      <c r="D3" s="93"/>
      <c r="E3" s="93"/>
      <c r="F3" s="93"/>
      <c r="G3" s="93"/>
      <c r="H3" s="93"/>
      <c r="I3" s="93"/>
      <c r="J3" s="93"/>
      <c r="K3" s="97"/>
    </row>
    <row r="4" spans="2:11" s="402" customFormat="1" ht="18.75">
      <c r="B4" s="727"/>
      <c r="C4" s="168" t="s">
        <v>674</v>
      </c>
      <c r="D4" s="99"/>
      <c r="E4" s="729"/>
      <c r="F4" s="769"/>
      <c r="G4" s="729"/>
      <c r="H4" s="729"/>
      <c r="I4" s="729"/>
      <c r="J4" s="729"/>
      <c r="K4" s="740"/>
    </row>
    <row r="5" spans="2:11" ht="18.75">
      <c r="B5" s="731"/>
      <c r="C5" s="105" t="str">
        <f>geg!I12</f>
        <v>De speciale school</v>
      </c>
      <c r="D5" s="735"/>
      <c r="E5" s="93"/>
      <c r="F5" s="261"/>
      <c r="G5" s="93"/>
      <c r="H5" s="93"/>
      <c r="I5" s="93"/>
      <c r="J5" s="93"/>
      <c r="K5" s="97"/>
    </row>
    <row r="6" spans="2:11">
      <c r="B6" s="92"/>
      <c r="C6" s="93"/>
      <c r="D6" s="93"/>
      <c r="E6" s="93"/>
      <c r="F6" s="93"/>
      <c r="G6" s="93"/>
      <c r="H6" s="93"/>
      <c r="I6" s="93"/>
      <c r="J6" s="93"/>
      <c r="K6" s="97"/>
    </row>
    <row r="7" spans="2:11">
      <c r="B7" s="92"/>
      <c r="C7" s="93"/>
      <c r="D7" s="93"/>
      <c r="E7" s="93"/>
      <c r="F7" s="93"/>
      <c r="G7" s="93"/>
      <c r="H7" s="93"/>
      <c r="I7" s="93"/>
      <c r="J7" s="93"/>
      <c r="K7" s="97"/>
    </row>
    <row r="8" spans="2:11">
      <c r="B8" s="92"/>
      <c r="C8" s="93"/>
      <c r="D8" s="888" t="s">
        <v>450</v>
      </c>
      <c r="E8" s="93"/>
      <c r="F8" s="93"/>
      <c r="G8" s="93"/>
      <c r="H8" s="93"/>
      <c r="I8" s="93"/>
      <c r="J8" s="93"/>
      <c r="K8" s="97"/>
    </row>
    <row r="9" spans="2:11">
      <c r="B9" s="92"/>
      <c r="C9" s="93"/>
      <c r="D9" s="889" t="s">
        <v>548</v>
      </c>
      <c r="E9" s="93"/>
      <c r="F9" s="1179"/>
      <c r="G9" s="1179"/>
      <c r="H9" s="1179"/>
      <c r="I9" s="891"/>
      <c r="J9" s="93"/>
      <c r="K9" s="97"/>
    </row>
    <row r="10" spans="2:11">
      <c r="B10" s="92"/>
      <c r="C10" s="93"/>
      <c r="D10" s="889" t="s">
        <v>616</v>
      </c>
      <c r="E10" s="93"/>
      <c r="F10" s="734"/>
      <c r="G10" s="734"/>
      <c r="H10" s="734"/>
      <c r="I10" s="891"/>
      <c r="J10" s="93"/>
      <c r="K10" s="97"/>
    </row>
    <row r="11" spans="2:11">
      <c r="B11" s="92"/>
      <c r="C11" s="93"/>
      <c r="D11" s="890" t="s">
        <v>549</v>
      </c>
      <c r="E11" s="93"/>
      <c r="F11" s="734"/>
      <c r="G11" s="734"/>
      <c r="H11" s="734"/>
      <c r="I11" s="891"/>
      <c r="J11" s="93"/>
      <c r="K11" s="97"/>
    </row>
    <row r="12" spans="2:11">
      <c r="B12" s="92"/>
      <c r="C12" s="93"/>
      <c r="D12" s="890" t="s">
        <v>406</v>
      </c>
      <c r="E12" s="93"/>
      <c r="F12" s="734"/>
      <c r="G12" s="734"/>
      <c r="H12" s="734"/>
      <c r="I12" s="891"/>
      <c r="J12" s="93"/>
      <c r="K12" s="97"/>
    </row>
    <row r="13" spans="2:11">
      <c r="B13" s="92"/>
      <c r="C13" s="93"/>
      <c r="D13" s="890" t="s">
        <v>758</v>
      </c>
      <c r="E13" s="93"/>
      <c r="F13" s="734"/>
      <c r="G13" s="734"/>
      <c r="H13" s="734"/>
      <c r="I13" s="891"/>
      <c r="J13" s="93"/>
      <c r="K13" s="97"/>
    </row>
    <row r="14" spans="2:11">
      <c r="B14" s="92"/>
      <c r="C14" s="93"/>
      <c r="D14" s="892"/>
      <c r="E14" s="732"/>
      <c r="F14" s="276"/>
      <c r="G14" s="276"/>
      <c r="H14" s="276"/>
      <c r="I14" s="276"/>
      <c r="J14" s="797"/>
      <c r="K14" s="798"/>
    </row>
    <row r="15" spans="2:11">
      <c r="B15" s="92"/>
      <c r="C15" s="93"/>
      <c r="D15" s="892"/>
      <c r="E15" s="732"/>
      <c r="F15" s="276"/>
      <c r="G15" s="276"/>
      <c r="H15" s="276"/>
      <c r="I15" s="276"/>
      <c r="J15" s="797"/>
      <c r="K15" s="798"/>
    </row>
    <row r="16" spans="2:11" s="402" customFormat="1">
      <c r="B16" s="487"/>
      <c r="C16" s="729"/>
      <c r="D16" s="792" t="s">
        <v>414</v>
      </c>
      <c r="E16" s="893"/>
      <c r="F16" s="164">
        <f>tab!E4</f>
        <v>2013</v>
      </c>
      <c r="G16" s="164">
        <f>tab!F4</f>
        <v>2014</v>
      </c>
      <c r="H16" s="164">
        <f>tab!G4</f>
        <v>2015</v>
      </c>
      <c r="I16" s="164">
        <f>tab!H4</f>
        <v>2016</v>
      </c>
      <c r="J16" s="894"/>
      <c r="K16" s="895"/>
    </row>
    <row r="17" spans="1:13">
      <c r="B17" s="92"/>
      <c r="C17" s="93"/>
      <c r="D17" s="93"/>
      <c r="E17" s="732"/>
      <c r="F17" s="93"/>
      <c r="G17" s="93"/>
      <c r="H17" s="93"/>
      <c r="I17" s="93"/>
      <c r="J17" s="797"/>
      <c r="K17" s="798"/>
    </row>
    <row r="18" spans="1:13">
      <c r="B18" s="92"/>
      <c r="C18" s="124"/>
      <c r="D18" s="751"/>
      <c r="E18" s="127"/>
      <c r="F18" s="752"/>
      <c r="G18" s="522"/>
      <c r="H18" s="522"/>
      <c r="I18" s="127"/>
      <c r="J18" s="130"/>
      <c r="K18" s="97"/>
    </row>
    <row r="19" spans="1:13">
      <c r="B19" s="92"/>
      <c r="C19" s="131"/>
      <c r="D19" s="155" t="s">
        <v>601</v>
      </c>
      <c r="E19" s="133"/>
      <c r="F19" s="896" t="str">
        <f>geg!I12</f>
        <v>De speciale school</v>
      </c>
      <c r="G19" s="897"/>
      <c r="H19" s="897"/>
      <c r="I19" s="898"/>
      <c r="J19" s="136"/>
      <c r="K19" s="97"/>
      <c r="M19" s="155"/>
    </row>
    <row r="20" spans="1:13">
      <c r="B20" s="92"/>
      <c r="C20" s="131"/>
      <c r="D20" s="155" t="s">
        <v>673</v>
      </c>
      <c r="E20" s="133"/>
      <c r="F20" s="896" t="str">
        <f>geg!I13</f>
        <v>12AB</v>
      </c>
      <c r="G20" s="897"/>
      <c r="H20" s="897"/>
      <c r="I20" s="898"/>
      <c r="J20" s="136"/>
      <c r="K20" s="97"/>
      <c r="M20" s="155"/>
    </row>
    <row r="21" spans="1:13">
      <c r="B21" s="92"/>
      <c r="C21" s="131"/>
      <c r="D21" s="155" t="s">
        <v>617</v>
      </c>
      <c r="E21" s="133"/>
      <c r="F21" s="899">
        <f ca="1">TODAY()</f>
        <v>41211</v>
      </c>
      <c r="G21" s="897"/>
      <c r="H21" s="897"/>
      <c r="I21" s="898"/>
      <c r="J21" s="136"/>
      <c r="K21" s="97"/>
      <c r="M21" s="155"/>
    </row>
    <row r="22" spans="1:13">
      <c r="B22" s="92"/>
      <c r="C22" s="131"/>
      <c r="D22" s="292"/>
      <c r="E22" s="133"/>
      <c r="F22" s="900"/>
      <c r="G22" s="897"/>
      <c r="H22" s="897"/>
      <c r="I22" s="898"/>
      <c r="J22" s="136"/>
      <c r="K22" s="97"/>
      <c r="M22" s="292"/>
    </row>
    <row r="23" spans="1:13">
      <c r="A23" s="81"/>
      <c r="B23" s="836"/>
      <c r="C23" s="837"/>
      <c r="D23" s="155" t="s">
        <v>232</v>
      </c>
      <c r="E23" s="133"/>
      <c r="F23" s="901">
        <f>begr!F14</f>
        <v>3810248.1600000006</v>
      </c>
      <c r="G23" s="901">
        <f>begr!G14</f>
        <v>3810248.1600000006</v>
      </c>
      <c r="H23" s="901">
        <f>begr!H14</f>
        <v>3810248.1600000006</v>
      </c>
      <c r="I23" s="901">
        <f>begr!I14</f>
        <v>3810248.1600000006</v>
      </c>
      <c r="J23" s="902"/>
      <c r="K23" s="903"/>
      <c r="M23" s="155"/>
    </row>
    <row r="24" spans="1:13">
      <c r="A24" s="81"/>
      <c r="B24" s="836"/>
      <c r="C24" s="837"/>
      <c r="D24" s="155" t="s">
        <v>708</v>
      </c>
      <c r="E24" s="322"/>
      <c r="F24" s="901">
        <f>begr!F15</f>
        <v>0</v>
      </c>
      <c r="G24" s="901">
        <f>begr!G15</f>
        <v>0</v>
      </c>
      <c r="H24" s="901">
        <f>begr!H15</f>
        <v>0</v>
      </c>
      <c r="I24" s="901">
        <f>begr!I15</f>
        <v>0</v>
      </c>
      <c r="J24" s="902"/>
      <c r="K24" s="903"/>
      <c r="M24" s="155"/>
    </row>
    <row r="25" spans="1:13">
      <c r="A25" s="81"/>
      <c r="B25" s="836"/>
      <c r="C25" s="837"/>
      <c r="D25" s="155" t="s">
        <v>16</v>
      </c>
      <c r="E25" s="322"/>
      <c r="F25" s="901">
        <f>begr!F16</f>
        <v>0</v>
      </c>
      <c r="G25" s="901">
        <f>begr!G16</f>
        <v>0</v>
      </c>
      <c r="H25" s="901">
        <f>begr!H16</f>
        <v>0</v>
      </c>
      <c r="I25" s="901">
        <f>begr!I16</f>
        <v>0</v>
      </c>
      <c r="J25" s="902"/>
      <c r="K25" s="903"/>
      <c r="M25" s="155"/>
    </row>
    <row r="26" spans="1:13">
      <c r="A26" s="81"/>
      <c r="B26" s="836"/>
      <c r="C26" s="837"/>
      <c r="D26" s="155" t="s">
        <v>709</v>
      </c>
      <c r="E26" s="322"/>
      <c r="F26" s="901">
        <f>begr!F17</f>
        <v>0</v>
      </c>
      <c r="G26" s="901">
        <f>begr!G17</f>
        <v>0</v>
      </c>
      <c r="H26" s="901">
        <f>begr!H17</f>
        <v>0</v>
      </c>
      <c r="I26" s="901">
        <f>begr!I17</f>
        <v>0</v>
      </c>
      <c r="J26" s="902"/>
      <c r="K26" s="903"/>
      <c r="M26" s="155"/>
    </row>
    <row r="27" spans="1:13">
      <c r="B27" s="92"/>
      <c r="C27" s="131"/>
      <c r="D27" s="133" t="s">
        <v>233</v>
      </c>
      <c r="E27" s="133"/>
      <c r="F27" s="901">
        <f>begr!F18</f>
        <v>0</v>
      </c>
      <c r="G27" s="901">
        <f>begr!G18</f>
        <v>0</v>
      </c>
      <c r="H27" s="901">
        <f>begr!H18</f>
        <v>0</v>
      </c>
      <c r="I27" s="901">
        <f>begr!I18</f>
        <v>0</v>
      </c>
      <c r="J27" s="136"/>
      <c r="K27" s="97"/>
      <c r="M27" s="133"/>
    </row>
    <row r="28" spans="1:13">
      <c r="B28" s="92"/>
      <c r="C28" s="131"/>
      <c r="D28" s="784" t="s">
        <v>61</v>
      </c>
      <c r="E28" s="133"/>
      <c r="F28" s="901">
        <f>begr!F21</f>
        <v>69062.399999999994</v>
      </c>
      <c r="G28" s="901">
        <f>begr!G21</f>
        <v>69062.399999999994</v>
      </c>
      <c r="H28" s="901">
        <f>begr!H21</f>
        <v>69062.399999999994</v>
      </c>
      <c r="I28" s="901">
        <f>begr!I21</f>
        <v>69062.399999999994</v>
      </c>
      <c r="J28" s="136"/>
      <c r="K28" s="97"/>
      <c r="M28" s="784"/>
    </row>
    <row r="29" spans="1:13">
      <c r="B29" s="92"/>
      <c r="C29" s="131"/>
      <c r="D29" s="784" t="s">
        <v>596</v>
      </c>
      <c r="E29" s="133"/>
      <c r="F29" s="901"/>
      <c r="G29" s="901"/>
      <c r="H29" s="901"/>
      <c r="I29" s="901"/>
      <c r="J29" s="136"/>
      <c r="K29" s="97"/>
      <c r="M29" s="784"/>
    </row>
    <row r="30" spans="1:13">
      <c r="B30" s="92"/>
      <c r="C30" s="131"/>
      <c r="D30" s="133" t="s">
        <v>237</v>
      </c>
      <c r="E30" s="133"/>
      <c r="F30" s="901">
        <f>begr!F24</f>
        <v>0</v>
      </c>
      <c r="G30" s="901">
        <f>begr!G24</f>
        <v>0</v>
      </c>
      <c r="H30" s="901">
        <f>begr!H24</f>
        <v>0</v>
      </c>
      <c r="I30" s="901">
        <f>begr!I24</f>
        <v>0</v>
      </c>
      <c r="J30" s="136"/>
      <c r="K30" s="97"/>
      <c r="M30" s="133"/>
    </row>
    <row r="31" spans="1:13">
      <c r="B31" s="92"/>
      <c r="C31" s="131"/>
      <c r="D31" s="133" t="s">
        <v>238</v>
      </c>
      <c r="E31" s="133"/>
      <c r="F31" s="901">
        <f>begr!F25</f>
        <v>0</v>
      </c>
      <c r="G31" s="901">
        <f>begr!G25</f>
        <v>0</v>
      </c>
      <c r="H31" s="901">
        <f>begr!H25</f>
        <v>0</v>
      </c>
      <c r="I31" s="901">
        <f>begr!I25</f>
        <v>0</v>
      </c>
      <c r="J31" s="136"/>
      <c r="K31" s="97"/>
      <c r="M31" s="133"/>
    </row>
    <row r="32" spans="1:13">
      <c r="B32" s="92"/>
      <c r="C32" s="131"/>
      <c r="D32" s="133" t="s">
        <v>17</v>
      </c>
      <c r="E32" s="133"/>
      <c r="F32" s="901">
        <f>begr!F26</f>
        <v>0</v>
      </c>
      <c r="G32" s="901">
        <f>begr!G26</f>
        <v>0</v>
      </c>
      <c r="H32" s="901">
        <f>begr!H26</f>
        <v>0</v>
      </c>
      <c r="I32" s="901">
        <f>begr!I26</f>
        <v>0</v>
      </c>
      <c r="J32" s="136"/>
      <c r="K32" s="97"/>
      <c r="M32" s="133"/>
    </row>
    <row r="33" spans="2:13">
      <c r="B33" s="92"/>
      <c r="C33" s="131"/>
      <c r="D33" s="155" t="s">
        <v>240</v>
      </c>
      <c r="E33" s="213"/>
      <c r="F33" s="901">
        <f>begr!F35</f>
        <v>0</v>
      </c>
      <c r="G33" s="901">
        <f>begr!G35</f>
        <v>0</v>
      </c>
      <c r="H33" s="901">
        <f>begr!H35</f>
        <v>0</v>
      </c>
      <c r="I33" s="901">
        <f>begr!I35</f>
        <v>0</v>
      </c>
      <c r="J33" s="136"/>
      <c r="K33" s="97"/>
      <c r="M33" s="155"/>
    </row>
    <row r="34" spans="2:13">
      <c r="B34" s="92"/>
      <c r="C34" s="131"/>
      <c r="D34" s="155" t="s">
        <v>241</v>
      </c>
      <c r="E34" s="213"/>
      <c r="F34" s="901">
        <f>begr!F36</f>
        <v>0</v>
      </c>
      <c r="G34" s="901">
        <f>begr!G36</f>
        <v>0</v>
      </c>
      <c r="H34" s="901">
        <f>begr!H36</f>
        <v>0</v>
      </c>
      <c r="I34" s="901">
        <f>begr!I36</f>
        <v>0</v>
      </c>
      <c r="J34" s="136"/>
      <c r="K34" s="97"/>
      <c r="M34" s="155"/>
    </row>
    <row r="35" spans="2:13">
      <c r="B35" s="92"/>
      <c r="C35" s="131"/>
      <c r="D35" s="155" t="s">
        <v>25</v>
      </c>
      <c r="E35" s="213"/>
      <c r="F35" s="901">
        <f>begr!F42</f>
        <v>3741185.7600000007</v>
      </c>
      <c r="G35" s="901">
        <f>begr!G42</f>
        <v>3741185.7600000007</v>
      </c>
      <c r="H35" s="901">
        <f>begr!H42</f>
        <v>3741185.7600000007</v>
      </c>
      <c r="I35" s="901">
        <f>begr!I42</f>
        <v>3741185.7600000007</v>
      </c>
      <c r="J35" s="136"/>
      <c r="K35" s="97"/>
      <c r="M35" s="155"/>
    </row>
    <row r="36" spans="2:13">
      <c r="B36" s="92"/>
      <c r="C36" s="131"/>
      <c r="D36" s="155"/>
      <c r="E36" s="213"/>
      <c r="F36" s="901"/>
      <c r="G36" s="901"/>
      <c r="H36" s="901"/>
      <c r="I36" s="901"/>
      <c r="J36" s="136"/>
      <c r="K36" s="97"/>
      <c r="M36" s="155"/>
    </row>
    <row r="37" spans="2:13">
      <c r="B37" s="92"/>
      <c r="C37" s="131"/>
      <c r="D37" s="133" t="s">
        <v>554</v>
      </c>
      <c r="E37" s="133"/>
      <c r="F37" s="901">
        <f>bal!G17</f>
        <v>0</v>
      </c>
      <c r="G37" s="901">
        <f>bal!H17</f>
        <v>0</v>
      </c>
      <c r="H37" s="901">
        <f>bal!I17</f>
        <v>0</v>
      </c>
      <c r="I37" s="901">
        <f>bal!J17</f>
        <v>0</v>
      </c>
      <c r="J37" s="136"/>
      <c r="K37" s="97"/>
      <c r="M37" s="133"/>
    </row>
    <row r="38" spans="2:13">
      <c r="B38" s="92"/>
      <c r="C38" s="131"/>
      <c r="D38" s="133" t="s">
        <v>407</v>
      </c>
      <c r="E38" s="133"/>
      <c r="F38" s="901">
        <f>bal!G23</f>
        <v>3741185.7600000007</v>
      </c>
      <c r="G38" s="901">
        <f>bal!H23</f>
        <v>7482371.5200000014</v>
      </c>
      <c r="H38" s="901">
        <f>bal!I23</f>
        <v>11223557.280000001</v>
      </c>
      <c r="I38" s="901">
        <f>bal!J23</f>
        <v>14964743.040000003</v>
      </c>
      <c r="J38" s="136"/>
      <c r="K38" s="97"/>
      <c r="M38" s="133"/>
    </row>
    <row r="39" spans="2:13">
      <c r="B39" s="92"/>
      <c r="C39" s="131"/>
      <c r="D39" s="133" t="s">
        <v>405</v>
      </c>
      <c r="E39" s="133"/>
      <c r="F39" s="901">
        <f>bal!G36</f>
        <v>3741185.7600000007</v>
      </c>
      <c r="G39" s="901">
        <f>bal!H36</f>
        <v>7482371.5200000014</v>
      </c>
      <c r="H39" s="901">
        <f>bal!I36</f>
        <v>11223557.280000001</v>
      </c>
      <c r="I39" s="901">
        <f>bal!J36</f>
        <v>14964743.040000003</v>
      </c>
      <c r="J39" s="136"/>
      <c r="K39" s="97"/>
      <c r="M39" s="133"/>
    </row>
    <row r="40" spans="2:13">
      <c r="B40" s="92"/>
      <c r="C40" s="131"/>
      <c r="D40" s="133" t="s">
        <v>413</v>
      </c>
      <c r="E40" s="133"/>
      <c r="F40" s="901">
        <f>bal!G41</f>
        <v>0</v>
      </c>
      <c r="G40" s="901">
        <f>bal!H41</f>
        <v>0</v>
      </c>
      <c r="H40" s="901">
        <f>bal!I41</f>
        <v>0</v>
      </c>
      <c r="I40" s="901">
        <f>bal!J41</f>
        <v>0</v>
      </c>
      <c r="J40" s="136"/>
      <c r="K40" s="97"/>
      <c r="M40" s="133"/>
    </row>
    <row r="41" spans="2:13">
      <c r="B41" s="92"/>
      <c r="C41" s="131"/>
      <c r="D41" s="133" t="s">
        <v>409</v>
      </c>
      <c r="E41" s="133"/>
      <c r="F41" s="901">
        <f>bal!G45</f>
        <v>0</v>
      </c>
      <c r="G41" s="901">
        <f>bal!H45</f>
        <v>0</v>
      </c>
      <c r="H41" s="901">
        <f>bal!I45</f>
        <v>0</v>
      </c>
      <c r="I41" s="901">
        <f>bal!J45</f>
        <v>0</v>
      </c>
      <c r="J41" s="136"/>
      <c r="K41" s="97"/>
      <c r="M41" s="133"/>
    </row>
    <row r="42" spans="2:13">
      <c r="B42" s="92"/>
      <c r="C42" s="131"/>
      <c r="D42" s="133" t="s">
        <v>410</v>
      </c>
      <c r="E42" s="133"/>
      <c r="F42" s="901">
        <f>bal!G54</f>
        <v>0</v>
      </c>
      <c r="G42" s="901">
        <f>bal!H54</f>
        <v>0</v>
      </c>
      <c r="H42" s="901">
        <f>bal!I54</f>
        <v>0</v>
      </c>
      <c r="I42" s="901">
        <f>bal!J54</f>
        <v>0</v>
      </c>
      <c r="J42" s="136"/>
      <c r="K42" s="97"/>
      <c r="M42" s="133"/>
    </row>
    <row r="43" spans="2:13">
      <c r="B43" s="92"/>
      <c r="C43" s="131"/>
      <c r="D43" s="133"/>
      <c r="E43" s="133"/>
      <c r="F43" s="904"/>
      <c r="G43" s="904"/>
      <c r="H43" s="905"/>
      <c r="I43" s="904"/>
      <c r="J43" s="136"/>
      <c r="K43" s="97"/>
      <c r="M43" s="133"/>
    </row>
    <row r="44" spans="2:13">
      <c r="B44" s="92"/>
      <c r="C44" s="131"/>
      <c r="D44" s="133" t="s">
        <v>618</v>
      </c>
      <c r="E44" s="133"/>
      <c r="F44" s="906"/>
      <c r="G44" s="906"/>
      <c r="H44" s="906"/>
      <c r="I44" s="906"/>
      <c r="J44" s="136"/>
      <c r="K44" s="97"/>
      <c r="M44" s="133"/>
    </row>
    <row r="45" spans="2:13">
      <c r="B45" s="92"/>
      <c r="C45" s="131"/>
      <c r="D45" s="133" t="s">
        <v>619</v>
      </c>
      <c r="E45" s="133"/>
      <c r="F45" s="906"/>
      <c r="G45" s="906"/>
      <c r="H45" s="906"/>
      <c r="I45" s="906"/>
      <c r="J45" s="136"/>
      <c r="K45" s="97"/>
      <c r="M45" s="133"/>
    </row>
    <row r="46" spans="2:13">
      <c r="B46" s="92"/>
      <c r="C46" s="131"/>
      <c r="D46" s="155" t="s">
        <v>620</v>
      </c>
      <c r="E46" s="133"/>
      <c r="F46" s="906"/>
      <c r="G46" s="906"/>
      <c r="H46" s="906"/>
      <c r="I46" s="906"/>
      <c r="J46" s="136"/>
      <c r="K46" s="97"/>
      <c r="M46" s="155"/>
    </row>
    <row r="47" spans="2:13">
      <c r="B47" s="92"/>
      <c r="C47" s="131"/>
      <c r="D47" s="155" t="s">
        <v>621</v>
      </c>
      <c r="E47" s="133"/>
      <c r="F47" s="906"/>
      <c r="G47" s="906"/>
      <c r="H47" s="906"/>
      <c r="I47" s="906"/>
      <c r="J47" s="136"/>
      <c r="K47" s="97"/>
      <c r="M47" s="155"/>
    </row>
    <row r="48" spans="2:13">
      <c r="B48" s="92"/>
      <c r="C48" s="131"/>
      <c r="D48" s="155" t="s">
        <v>622</v>
      </c>
      <c r="E48" s="133"/>
      <c r="F48" s="906"/>
      <c r="G48" s="906"/>
      <c r="H48" s="906"/>
      <c r="I48" s="906"/>
      <c r="J48" s="136"/>
      <c r="K48" s="97"/>
      <c r="M48" s="155"/>
    </row>
    <row r="49" spans="2:13">
      <c r="B49" s="92"/>
      <c r="C49" s="131"/>
      <c r="D49" s="155" t="s">
        <v>387</v>
      </c>
      <c r="E49" s="133"/>
      <c r="F49" s="906"/>
      <c r="G49" s="906"/>
      <c r="H49" s="906"/>
      <c r="I49" s="906"/>
      <c r="J49" s="136"/>
      <c r="K49" s="97"/>
      <c r="M49" s="155"/>
    </row>
    <row r="50" spans="2:13">
      <c r="B50" s="92"/>
      <c r="C50" s="131"/>
      <c r="D50" s="155" t="s">
        <v>381</v>
      </c>
      <c r="E50" s="133"/>
      <c r="F50" s="906">
        <f>+geg!L146</f>
        <v>0</v>
      </c>
      <c r="G50" s="906">
        <f>geg!O146</f>
        <v>0</v>
      </c>
      <c r="H50" s="906">
        <f>geg!R146</f>
        <v>0</v>
      </c>
      <c r="I50" s="906">
        <f>geg!U146</f>
        <v>0</v>
      </c>
      <c r="J50" s="136"/>
      <c r="K50" s="97"/>
      <c r="M50" s="155"/>
    </row>
    <row r="51" spans="2:13">
      <c r="B51" s="92"/>
      <c r="C51" s="131"/>
      <c r="D51" s="155" t="s">
        <v>382</v>
      </c>
      <c r="E51" s="133"/>
      <c r="F51" s="906">
        <f>+geg!L147</f>
        <v>213</v>
      </c>
      <c r="G51" s="906">
        <f>geg!O147</f>
        <v>213</v>
      </c>
      <c r="H51" s="906">
        <f>geg!R147</f>
        <v>213</v>
      </c>
      <c r="I51" s="906">
        <f>geg!U147</f>
        <v>213</v>
      </c>
      <c r="J51" s="136"/>
      <c r="K51" s="97"/>
      <c r="M51" s="155"/>
    </row>
    <row r="52" spans="2:13">
      <c r="B52" s="92"/>
      <c r="C52" s="131"/>
      <c r="D52" s="155" t="s">
        <v>383</v>
      </c>
      <c r="E52" s="133"/>
      <c r="F52" s="906">
        <f>+geg!L148</f>
        <v>213</v>
      </c>
      <c r="G52" s="906">
        <f>geg!O148</f>
        <v>213</v>
      </c>
      <c r="H52" s="906">
        <f>geg!R148</f>
        <v>213</v>
      </c>
      <c r="I52" s="906">
        <f>geg!U148</f>
        <v>213</v>
      </c>
      <c r="J52" s="136"/>
      <c r="K52" s="97"/>
      <c r="M52" s="155"/>
    </row>
    <row r="53" spans="2:13">
      <c r="B53" s="92"/>
      <c r="C53" s="131"/>
      <c r="D53" s="155" t="s">
        <v>384</v>
      </c>
      <c r="E53" s="133"/>
      <c r="F53" s="906">
        <f>+geg!L149</f>
        <v>0</v>
      </c>
      <c r="G53" s="906">
        <f>geg!O149</f>
        <v>0</v>
      </c>
      <c r="H53" s="906">
        <f>geg!R149</f>
        <v>0</v>
      </c>
      <c r="I53" s="906">
        <f>geg!U149</f>
        <v>0</v>
      </c>
      <c r="J53" s="136"/>
      <c r="K53" s="97"/>
      <c r="M53" s="155"/>
    </row>
    <row r="54" spans="2:13">
      <c r="B54" s="92"/>
      <c r="C54" s="131"/>
      <c r="D54" s="156" t="s">
        <v>385</v>
      </c>
      <c r="E54" s="133"/>
      <c r="F54" s="906">
        <f>geg!L151</f>
        <v>0</v>
      </c>
      <c r="G54" s="906">
        <f>geg!O151</f>
        <v>0</v>
      </c>
      <c r="H54" s="906">
        <f>geg!R151</f>
        <v>0</v>
      </c>
      <c r="I54" s="906">
        <f>geg!U151</f>
        <v>0</v>
      </c>
      <c r="J54" s="136"/>
      <c r="K54" s="97"/>
      <c r="M54" s="156"/>
    </row>
    <row r="55" spans="2:13">
      <c r="B55" s="92"/>
      <c r="C55" s="131"/>
      <c r="D55" s="156" t="s">
        <v>386</v>
      </c>
      <c r="E55" s="133"/>
      <c r="F55" s="906">
        <f>geg!L152</f>
        <v>213</v>
      </c>
      <c r="G55" s="906">
        <f>geg!O152</f>
        <v>213</v>
      </c>
      <c r="H55" s="906">
        <f>geg!R152</f>
        <v>213</v>
      </c>
      <c r="I55" s="906">
        <f>geg!U152</f>
        <v>213</v>
      </c>
      <c r="J55" s="136"/>
      <c r="K55" s="97"/>
      <c r="M55" s="156"/>
    </row>
    <row r="56" spans="2:13">
      <c r="B56" s="92"/>
      <c r="C56" s="131"/>
      <c r="D56" s="156" t="s">
        <v>686</v>
      </c>
      <c r="E56" s="133"/>
      <c r="F56" s="906">
        <f>geg!L155</f>
        <v>0</v>
      </c>
      <c r="G56" s="906">
        <f>geg!O155</f>
        <v>0</v>
      </c>
      <c r="H56" s="906">
        <f>geg!R155</f>
        <v>0</v>
      </c>
      <c r="I56" s="906">
        <f>geg!U155</f>
        <v>0</v>
      </c>
      <c r="J56" s="136"/>
      <c r="K56" s="97"/>
      <c r="M56" s="156"/>
    </row>
    <row r="57" spans="2:13">
      <c r="B57" s="92"/>
      <c r="C57" s="131"/>
      <c r="D57" s="156" t="s">
        <v>268</v>
      </c>
      <c r="E57" s="133"/>
      <c r="F57" s="906">
        <f>geg!L156</f>
        <v>0</v>
      </c>
      <c r="G57" s="906">
        <f>geg!O156</f>
        <v>0</v>
      </c>
      <c r="H57" s="906">
        <f>geg!R156</f>
        <v>0</v>
      </c>
      <c r="I57" s="906">
        <f>geg!U156</f>
        <v>0</v>
      </c>
      <c r="J57" s="136"/>
      <c r="K57" s="97"/>
      <c r="M57" s="156"/>
    </row>
    <row r="58" spans="2:13">
      <c r="B58" s="92"/>
      <c r="C58" s="131"/>
      <c r="D58" s="156" t="s">
        <v>148</v>
      </c>
      <c r="E58" s="133"/>
      <c r="F58" s="906">
        <f>geg!L157</f>
        <v>213</v>
      </c>
      <c r="G58" s="906">
        <f>geg!O157</f>
        <v>213</v>
      </c>
      <c r="H58" s="906">
        <f>geg!R157</f>
        <v>213</v>
      </c>
      <c r="I58" s="906">
        <f>geg!U157</f>
        <v>213</v>
      </c>
      <c r="J58" s="136"/>
      <c r="K58" s="97"/>
      <c r="M58" s="156"/>
    </row>
    <row r="59" spans="2:13">
      <c r="B59" s="92"/>
      <c r="C59" s="131"/>
      <c r="D59" s="156" t="s">
        <v>687</v>
      </c>
      <c r="E59" s="133"/>
      <c r="F59" s="906">
        <f>IF(geg!I159="ja",1,0)</f>
        <v>0</v>
      </c>
      <c r="G59" s="906"/>
      <c r="H59" s="906"/>
      <c r="I59" s="906"/>
      <c r="J59" s="136"/>
      <c r="K59" s="97"/>
      <c r="M59" s="156"/>
    </row>
    <row r="60" spans="2:13">
      <c r="B60" s="92"/>
      <c r="C60" s="131"/>
      <c r="D60" s="156" t="s">
        <v>230</v>
      </c>
      <c r="E60" s="133"/>
      <c r="F60" s="906">
        <f>IF(geg!I160="ja",1,0)</f>
        <v>0</v>
      </c>
      <c r="G60" s="906"/>
      <c r="H60" s="906"/>
      <c r="I60" s="906"/>
      <c r="J60" s="136"/>
      <c r="K60" s="97"/>
      <c r="M60" s="156"/>
    </row>
    <row r="61" spans="2:13">
      <c r="B61" s="92"/>
      <c r="C61" s="131"/>
      <c r="D61" s="156" t="s">
        <v>231</v>
      </c>
      <c r="E61" s="133"/>
      <c r="F61" s="906">
        <f>IF(geg!I161="ja",1,0)</f>
        <v>0</v>
      </c>
      <c r="G61" s="906"/>
      <c r="H61" s="906"/>
      <c r="I61" s="906"/>
      <c r="J61" s="136"/>
      <c r="K61" s="97"/>
      <c r="M61" s="156"/>
    </row>
    <row r="62" spans="2:13">
      <c r="B62" s="92"/>
      <c r="C62" s="131"/>
      <c r="D62" s="155"/>
      <c r="E62" s="133"/>
      <c r="F62" s="906"/>
      <c r="G62" s="906"/>
      <c r="H62" s="906"/>
      <c r="I62" s="906"/>
      <c r="J62" s="136"/>
      <c r="K62" s="97"/>
      <c r="M62" s="155"/>
    </row>
    <row r="63" spans="2:13">
      <c r="B63" s="92"/>
      <c r="C63" s="131"/>
      <c r="D63" s="155" t="s">
        <v>702</v>
      </c>
      <c r="E63" s="133"/>
      <c r="F63" s="907">
        <f>+pers!J256</f>
        <v>0</v>
      </c>
      <c r="G63" s="907">
        <f>+pers!K256</f>
        <v>0</v>
      </c>
      <c r="H63" s="907">
        <f>+pers!L256</f>
        <v>0</v>
      </c>
      <c r="I63" s="907">
        <f>+pers!M256</f>
        <v>0</v>
      </c>
      <c r="J63" s="136"/>
      <c r="K63" s="97"/>
      <c r="M63" s="155"/>
    </row>
    <row r="64" spans="2:13">
      <c r="B64" s="92"/>
      <c r="C64" s="131"/>
      <c r="D64" s="155" t="s">
        <v>516</v>
      </c>
      <c r="E64" s="133"/>
      <c r="F64" s="907">
        <f>+pers!J258</f>
        <v>0</v>
      </c>
      <c r="G64" s="907">
        <f>+pers!K258</f>
        <v>0</v>
      </c>
      <c r="H64" s="907">
        <f>+pers!L258</f>
        <v>0</v>
      </c>
      <c r="I64" s="907">
        <f>+pers!M258</f>
        <v>0</v>
      </c>
      <c r="J64" s="136"/>
      <c r="K64" s="97"/>
      <c r="M64" s="155"/>
    </row>
    <row r="65" spans="2:13">
      <c r="B65" s="92"/>
      <c r="C65" s="131"/>
      <c r="D65" s="133" t="s">
        <v>703</v>
      </c>
      <c r="E65" s="133"/>
      <c r="F65" s="907">
        <f>+pers!J257</f>
        <v>0</v>
      </c>
      <c r="G65" s="907">
        <f>+pers!K257</f>
        <v>0</v>
      </c>
      <c r="H65" s="907">
        <f>+pers!L257</f>
        <v>0</v>
      </c>
      <c r="I65" s="907">
        <f>+pers!M257</f>
        <v>0</v>
      </c>
      <c r="J65" s="136"/>
      <c r="K65" s="97"/>
      <c r="M65" s="133"/>
    </row>
    <row r="66" spans="2:13">
      <c r="B66" s="92"/>
      <c r="C66" s="131"/>
      <c r="D66" s="784" t="s">
        <v>623</v>
      </c>
      <c r="E66" s="133"/>
      <c r="F66" s="908">
        <f>7/12*ken!F196+5/12*ken!G196</f>
        <v>0</v>
      </c>
      <c r="G66" s="908">
        <f>7/12*ken!G196+5/12*ken!H196</f>
        <v>0</v>
      </c>
      <c r="H66" s="908">
        <f>7/12*ken!H196+5/12*ken!I196</f>
        <v>0</v>
      </c>
      <c r="I66" s="908">
        <f>7/12*ken!I196+5/12*ken!J196</f>
        <v>0</v>
      </c>
      <c r="J66" s="136"/>
      <c r="K66" s="97"/>
      <c r="M66" s="784"/>
    </row>
    <row r="67" spans="2:13">
      <c r="B67" s="92"/>
      <c r="C67" s="131"/>
      <c r="D67" s="784" t="s">
        <v>624</v>
      </c>
      <c r="E67" s="133"/>
      <c r="F67" s="908">
        <f>7/12*ken!F197+5/12*ken!G197</f>
        <v>1</v>
      </c>
      <c r="G67" s="908">
        <f>7/12*ken!G197+5/12*ken!H197</f>
        <v>1</v>
      </c>
      <c r="H67" s="908">
        <f>7/12*ken!H197+5/12*ken!I197</f>
        <v>1</v>
      </c>
      <c r="I67" s="908">
        <f>7/12*ken!I197+5/12*ken!J197</f>
        <v>1</v>
      </c>
      <c r="J67" s="136"/>
      <c r="K67" s="97"/>
      <c r="M67" s="784"/>
    </row>
    <row r="68" spans="2:13">
      <c r="B68" s="92"/>
      <c r="C68" s="131"/>
      <c r="D68" s="784" t="s">
        <v>625</v>
      </c>
      <c r="E68" s="133"/>
      <c r="F68" s="908">
        <f>7/12*ken!F198+5/12*ken!G198</f>
        <v>0</v>
      </c>
      <c r="G68" s="908">
        <f>7/12*ken!G198+5/12*ken!H198</f>
        <v>0</v>
      </c>
      <c r="H68" s="908">
        <f>7/12*ken!H198+5/12*ken!I198</f>
        <v>0</v>
      </c>
      <c r="I68" s="908">
        <f>7/12*ken!I198+5/12*ken!J198</f>
        <v>0</v>
      </c>
      <c r="J68" s="136"/>
      <c r="K68" s="97"/>
      <c r="M68" s="784"/>
    </row>
    <row r="69" spans="2:13">
      <c r="B69" s="92"/>
      <c r="C69" s="131"/>
      <c r="D69" s="133"/>
      <c r="E69" s="133"/>
      <c r="F69" s="909"/>
      <c r="G69" s="909"/>
      <c r="H69" s="909"/>
      <c r="I69" s="909"/>
      <c r="J69" s="136"/>
      <c r="K69" s="97"/>
      <c r="M69" s="133"/>
    </row>
    <row r="70" spans="2:13">
      <c r="B70" s="92"/>
      <c r="C70" s="131"/>
      <c r="D70" s="133" t="s">
        <v>626</v>
      </c>
      <c r="E70" s="133"/>
      <c r="F70" s="907">
        <f>begr!F49</f>
        <v>0</v>
      </c>
      <c r="G70" s="907">
        <f>begr!G49</f>
        <v>0</v>
      </c>
      <c r="H70" s="907">
        <f>begr!H49</f>
        <v>0</v>
      </c>
      <c r="I70" s="907">
        <f>begr!I49</f>
        <v>0</v>
      </c>
      <c r="J70" s="136"/>
      <c r="K70" s="97"/>
      <c r="M70" s="133"/>
    </row>
    <row r="71" spans="2:13">
      <c r="B71" s="92"/>
      <c r="C71" s="131"/>
      <c r="D71" s="133" t="s">
        <v>627</v>
      </c>
      <c r="E71" s="133"/>
      <c r="F71" s="907">
        <f>begr!F50</f>
        <v>0</v>
      </c>
      <c r="G71" s="907">
        <f>begr!G50</f>
        <v>0</v>
      </c>
      <c r="H71" s="907">
        <f>begr!H50</f>
        <v>0</v>
      </c>
      <c r="I71" s="907">
        <f>begr!I50</f>
        <v>0</v>
      </c>
      <c r="J71" s="136"/>
      <c r="K71" s="97"/>
      <c r="M71" s="133"/>
    </row>
    <row r="72" spans="2:13">
      <c r="B72" s="92"/>
      <c r="C72" s="131"/>
      <c r="D72" s="133"/>
      <c r="E72" s="133"/>
      <c r="F72" s="907"/>
      <c r="G72" s="907"/>
      <c r="H72" s="907"/>
      <c r="I72" s="907"/>
      <c r="J72" s="136"/>
      <c r="K72" s="97"/>
      <c r="M72" s="133"/>
    </row>
    <row r="73" spans="2:13">
      <c r="B73" s="92"/>
      <c r="C73" s="131"/>
      <c r="D73" s="155" t="s">
        <v>78</v>
      </c>
      <c r="E73" s="133"/>
      <c r="F73" s="907">
        <f>act!G29</f>
        <v>0</v>
      </c>
      <c r="G73" s="907">
        <f>act!H29</f>
        <v>0</v>
      </c>
      <c r="H73" s="907">
        <f>act!I29</f>
        <v>0</v>
      </c>
      <c r="I73" s="907">
        <f>act!J29</f>
        <v>0</v>
      </c>
      <c r="J73" s="136"/>
      <c r="K73" s="97"/>
      <c r="M73" s="155"/>
    </row>
    <row r="74" spans="2:13">
      <c r="B74" s="92"/>
      <c r="C74" s="131"/>
      <c r="D74" s="155" t="s">
        <v>79</v>
      </c>
      <c r="E74" s="133"/>
      <c r="F74" s="907">
        <f>mop!G18</f>
        <v>0</v>
      </c>
      <c r="G74" s="907">
        <f>mop!H18</f>
        <v>0</v>
      </c>
      <c r="H74" s="907">
        <f>mop!I18</f>
        <v>0</v>
      </c>
      <c r="I74" s="907">
        <f>mop!J18</f>
        <v>0</v>
      </c>
      <c r="J74" s="136"/>
      <c r="K74" s="97"/>
      <c r="M74" s="155"/>
    </row>
    <row r="75" spans="2:13">
      <c r="B75" s="92"/>
      <c r="C75" s="131"/>
      <c r="D75" s="133"/>
      <c r="E75" s="133"/>
      <c r="F75" s="907"/>
      <c r="G75" s="907"/>
      <c r="H75" s="907"/>
      <c r="I75" s="907"/>
      <c r="J75" s="136"/>
      <c r="K75" s="97"/>
      <c r="M75" s="133"/>
    </row>
    <row r="76" spans="2:13">
      <c r="B76" s="92"/>
      <c r="C76" s="131"/>
      <c r="D76" s="155" t="s">
        <v>498</v>
      </c>
      <c r="E76" s="133"/>
      <c r="F76" s="907">
        <f>ken!F15</f>
        <v>3810248.1600000006</v>
      </c>
      <c r="G76" s="907">
        <f>ken!G15</f>
        <v>3810248.1600000006</v>
      </c>
      <c r="H76" s="907">
        <f>ken!H15</f>
        <v>3810248.1600000006</v>
      </c>
      <c r="I76" s="907">
        <f>ken!I15</f>
        <v>3810248.1600000006</v>
      </c>
      <c r="J76" s="136"/>
      <c r="K76" s="97"/>
      <c r="M76" s="155"/>
    </row>
    <row r="77" spans="2:13">
      <c r="B77" s="92"/>
      <c r="C77" s="131"/>
      <c r="D77" s="155" t="s">
        <v>67</v>
      </c>
      <c r="E77" s="133"/>
      <c r="F77" s="907">
        <f>ken!F18</f>
        <v>0</v>
      </c>
      <c r="G77" s="907">
        <f>ken!G18</f>
        <v>0</v>
      </c>
      <c r="H77" s="907">
        <f>ken!H18</f>
        <v>0</v>
      </c>
      <c r="I77" s="907">
        <f>ken!I18</f>
        <v>0</v>
      </c>
      <c r="J77" s="136"/>
      <c r="K77" s="97"/>
      <c r="M77" s="155"/>
    </row>
    <row r="78" spans="2:13">
      <c r="B78" s="92"/>
      <c r="C78" s="131"/>
      <c r="D78" s="155" t="s">
        <v>63</v>
      </c>
      <c r="E78" s="133"/>
      <c r="F78" s="907">
        <f>ken!F21</f>
        <v>0</v>
      </c>
      <c r="G78" s="907">
        <f>ken!G21</f>
        <v>0</v>
      </c>
      <c r="H78" s="907">
        <f>ken!H21</f>
        <v>0</v>
      </c>
      <c r="I78" s="907">
        <f>ken!I21</f>
        <v>0</v>
      </c>
      <c r="J78" s="136"/>
      <c r="K78" s="97"/>
      <c r="M78" s="155"/>
    </row>
    <row r="79" spans="2:13">
      <c r="B79" s="92"/>
      <c r="C79" s="131"/>
      <c r="D79" s="155" t="s">
        <v>628</v>
      </c>
      <c r="E79" s="133"/>
      <c r="F79" s="907">
        <f>ken!F27</f>
        <v>69062.399999999994</v>
      </c>
      <c r="G79" s="907">
        <f>ken!G27</f>
        <v>69062.399999999994</v>
      </c>
      <c r="H79" s="907">
        <f>ken!H27</f>
        <v>69062.399999999994</v>
      </c>
      <c r="I79" s="907">
        <f>ken!I27</f>
        <v>69062.399999999994</v>
      </c>
      <c r="J79" s="136"/>
      <c r="K79" s="97"/>
      <c r="M79" s="155"/>
    </row>
    <row r="80" spans="2:13">
      <c r="B80" s="92"/>
      <c r="C80" s="131"/>
      <c r="D80" s="155" t="s">
        <v>629</v>
      </c>
      <c r="E80" s="133"/>
      <c r="F80" s="907">
        <f>ken!F34</f>
        <v>69062.399999999994</v>
      </c>
      <c r="G80" s="907">
        <f>ken!G34</f>
        <v>69062.399999999994</v>
      </c>
      <c r="H80" s="907">
        <f>ken!H34</f>
        <v>69062.399999999994</v>
      </c>
      <c r="I80" s="907">
        <f>ken!I34</f>
        <v>69062.399999999994</v>
      </c>
      <c r="J80" s="136"/>
      <c r="K80" s="97"/>
      <c r="M80" s="155"/>
    </row>
    <row r="81" spans="2:13">
      <c r="B81" s="92"/>
      <c r="C81" s="131"/>
      <c r="D81" s="155" t="s">
        <v>630</v>
      </c>
      <c r="E81" s="133"/>
      <c r="F81" s="907">
        <f>ken!F41</f>
        <v>0</v>
      </c>
      <c r="G81" s="907">
        <f>ken!G41</f>
        <v>0</v>
      </c>
      <c r="H81" s="907">
        <f>ken!H41</f>
        <v>0</v>
      </c>
      <c r="I81" s="907">
        <f>ken!I41</f>
        <v>0</v>
      </c>
      <c r="J81" s="136"/>
      <c r="K81" s="97"/>
      <c r="M81" s="155"/>
    </row>
    <row r="82" spans="2:13">
      <c r="B82" s="92"/>
      <c r="C82" s="131"/>
      <c r="D82" s="155" t="s">
        <v>631</v>
      </c>
      <c r="E82" s="133"/>
      <c r="F82" s="907">
        <f>ken!F48</f>
        <v>0</v>
      </c>
      <c r="G82" s="907">
        <f>ken!G48</f>
        <v>0</v>
      </c>
      <c r="H82" s="907">
        <f>ken!H48</f>
        <v>0</v>
      </c>
      <c r="I82" s="907">
        <f>ken!I48</f>
        <v>0</v>
      </c>
      <c r="J82" s="136"/>
      <c r="K82" s="97"/>
      <c r="M82" s="155"/>
    </row>
    <row r="83" spans="2:13">
      <c r="B83" s="92"/>
      <c r="C83" s="131"/>
      <c r="D83" s="155" t="s">
        <v>632</v>
      </c>
      <c r="E83" s="133"/>
      <c r="F83" s="907">
        <f>ken!F54</f>
        <v>0</v>
      </c>
      <c r="G83" s="907">
        <f>ken!G54</f>
        <v>0</v>
      </c>
      <c r="H83" s="907">
        <f>ken!H54</f>
        <v>0</v>
      </c>
      <c r="I83" s="907">
        <f>ken!I54</f>
        <v>0</v>
      </c>
      <c r="J83" s="136"/>
      <c r="K83" s="97"/>
      <c r="M83" s="155"/>
    </row>
    <row r="84" spans="2:13">
      <c r="B84" s="92"/>
      <c r="C84" s="131"/>
      <c r="D84" s="155" t="s">
        <v>633</v>
      </c>
      <c r="E84" s="133"/>
      <c r="F84" s="907">
        <f>ken!F60</f>
        <v>0</v>
      </c>
      <c r="G84" s="907">
        <f>ken!G60</f>
        <v>0</v>
      </c>
      <c r="H84" s="907">
        <f>ken!H60</f>
        <v>0</v>
      </c>
      <c r="I84" s="907">
        <f>ken!I60</f>
        <v>0</v>
      </c>
      <c r="J84" s="136"/>
      <c r="K84" s="97"/>
      <c r="M84" s="155"/>
    </row>
    <row r="85" spans="2:13">
      <c r="B85" s="92"/>
      <c r="C85" s="131"/>
      <c r="D85" s="155" t="s">
        <v>634</v>
      </c>
      <c r="E85" s="133"/>
      <c r="F85" s="907">
        <f>ken!F70</f>
        <v>0</v>
      </c>
      <c r="G85" s="907">
        <f>ken!G70</f>
        <v>0</v>
      </c>
      <c r="H85" s="907">
        <f>ken!H70</f>
        <v>0</v>
      </c>
      <c r="I85" s="907">
        <f>ken!I70</f>
        <v>0</v>
      </c>
      <c r="J85" s="136"/>
      <c r="K85" s="97"/>
      <c r="M85" s="155"/>
    </row>
    <row r="86" spans="2:13">
      <c r="B86" s="92"/>
      <c r="C86" s="131"/>
      <c r="D86" s="155" t="s">
        <v>635</v>
      </c>
      <c r="E86" s="133"/>
      <c r="F86" s="907">
        <f>ken!F73</f>
        <v>0</v>
      </c>
      <c r="G86" s="907">
        <f>ken!G73</f>
        <v>0</v>
      </c>
      <c r="H86" s="907">
        <f>ken!H73</f>
        <v>0</v>
      </c>
      <c r="I86" s="907">
        <f>ken!I73</f>
        <v>0</v>
      </c>
      <c r="J86" s="136"/>
      <c r="K86" s="97"/>
      <c r="M86" s="155"/>
    </row>
    <row r="87" spans="2:13">
      <c r="B87" s="92"/>
      <c r="C87" s="131"/>
      <c r="D87" s="155" t="s">
        <v>485</v>
      </c>
      <c r="E87" s="133"/>
      <c r="F87" s="907">
        <f>ken!F81</f>
        <v>0</v>
      </c>
      <c r="G87" s="907">
        <f>ken!G81</f>
        <v>0</v>
      </c>
      <c r="H87" s="907">
        <f>ken!H81</f>
        <v>0</v>
      </c>
      <c r="I87" s="907">
        <f>ken!I81</f>
        <v>0</v>
      </c>
      <c r="J87" s="136"/>
      <c r="K87" s="97"/>
      <c r="M87" s="155"/>
    </row>
    <row r="88" spans="2:13" s="913" customFormat="1">
      <c r="B88" s="914"/>
      <c r="C88" s="915"/>
      <c r="D88" s="155" t="s">
        <v>853</v>
      </c>
      <c r="E88" s="215"/>
      <c r="F88" s="907">
        <f>ken!F97</f>
        <v>0</v>
      </c>
      <c r="G88" s="907">
        <f>ken!G97</f>
        <v>0</v>
      </c>
      <c r="H88" s="907">
        <f>ken!H97</f>
        <v>0</v>
      </c>
      <c r="I88" s="907">
        <f>ken!I97</f>
        <v>0</v>
      </c>
      <c r="J88" s="916"/>
      <c r="K88" s="917"/>
      <c r="M88" s="155"/>
    </row>
    <row r="89" spans="2:13" s="913" customFormat="1">
      <c r="B89" s="914"/>
      <c r="C89" s="915"/>
      <c r="D89" s="155" t="s">
        <v>854</v>
      </c>
      <c r="E89" s="215"/>
      <c r="F89" s="907">
        <f>+ken!F94</f>
        <v>0</v>
      </c>
      <c r="G89" s="907">
        <f>+ken!G94</f>
        <v>0</v>
      </c>
      <c r="H89" s="907">
        <f>+ken!H94</f>
        <v>0</v>
      </c>
      <c r="I89" s="907">
        <f>+ken!I94</f>
        <v>0</v>
      </c>
      <c r="J89" s="916"/>
      <c r="K89" s="917"/>
    </row>
    <row r="90" spans="2:13">
      <c r="B90" s="92"/>
      <c r="C90" s="141"/>
      <c r="D90" s="557"/>
      <c r="E90" s="144"/>
      <c r="F90" s="144"/>
      <c r="G90" s="144"/>
      <c r="H90" s="910"/>
      <c r="I90" s="144"/>
      <c r="J90" s="147"/>
      <c r="K90" s="97"/>
    </row>
    <row r="91" spans="2:13">
      <c r="B91" s="92"/>
      <c r="C91" s="93"/>
      <c r="D91" s="93"/>
      <c r="E91" s="93"/>
      <c r="F91" s="93"/>
      <c r="G91" s="93"/>
      <c r="H91" s="911"/>
      <c r="I91" s="93"/>
      <c r="J91" s="93"/>
      <c r="K91" s="97"/>
    </row>
    <row r="92" spans="2:13" ht="15">
      <c r="B92" s="113"/>
      <c r="C92" s="114"/>
      <c r="D92" s="114"/>
      <c r="E92" s="114"/>
      <c r="F92" s="114"/>
      <c r="G92" s="114"/>
      <c r="H92" s="912"/>
      <c r="I92" s="114"/>
      <c r="J92" s="119"/>
      <c r="K92" s="120"/>
    </row>
    <row r="93" spans="2:13">
      <c r="H93" s="354"/>
    </row>
    <row r="94" spans="2:13">
      <c r="H94" s="354"/>
    </row>
    <row r="95" spans="2:13">
      <c r="H95" s="354"/>
    </row>
    <row r="96" spans="2:13">
      <c r="H96" s="354"/>
    </row>
    <row r="97" spans="8:8">
      <c r="H97" s="354"/>
    </row>
    <row r="98" spans="8:8">
      <c r="H98" s="354"/>
    </row>
    <row r="99" spans="8:8">
      <c r="H99" s="354"/>
    </row>
    <row r="100" spans="8:8">
      <c r="H100" s="354"/>
    </row>
    <row r="101" spans="8:8">
      <c r="H101" s="354"/>
    </row>
    <row r="102" spans="8:8">
      <c r="H102" s="354"/>
    </row>
    <row r="103" spans="8:8">
      <c r="H103" s="354"/>
    </row>
    <row r="104" spans="8:8">
      <c r="H104" s="354"/>
    </row>
    <row r="105" spans="8:8">
      <c r="H105" s="354"/>
    </row>
    <row r="106" spans="8:8">
      <c r="H106" s="354"/>
    </row>
    <row r="107" spans="8:8">
      <c r="H107" s="354"/>
    </row>
    <row r="108" spans="8:8">
      <c r="H108" s="354"/>
    </row>
    <row r="109" spans="8:8">
      <c r="H109" s="354"/>
    </row>
    <row r="110" spans="8:8">
      <c r="H110" s="354"/>
    </row>
    <row r="111" spans="8:8">
      <c r="H111" s="354"/>
    </row>
    <row r="112" spans="8:8">
      <c r="H112" s="354"/>
    </row>
    <row r="113" spans="8:8">
      <c r="H113" s="354"/>
    </row>
    <row r="114" spans="8:8">
      <c r="H114" s="354"/>
    </row>
    <row r="115" spans="8:8">
      <c r="H115" s="354"/>
    </row>
    <row r="116" spans="8:8">
      <c r="H116" s="354"/>
    </row>
    <row r="117" spans="8:8">
      <c r="H117" s="354"/>
    </row>
    <row r="118" spans="8:8">
      <c r="H118" s="354"/>
    </row>
    <row r="119" spans="8:8">
      <c r="H119" s="354"/>
    </row>
    <row r="120" spans="8:8">
      <c r="H120" s="354"/>
    </row>
    <row r="121" spans="8:8">
      <c r="H121" s="354"/>
    </row>
    <row r="122" spans="8:8">
      <c r="H122" s="354"/>
    </row>
    <row r="123" spans="8:8">
      <c r="H123" s="354"/>
    </row>
    <row r="124" spans="8:8">
      <c r="H124" s="354"/>
    </row>
    <row r="125" spans="8:8">
      <c r="H125" s="354"/>
    </row>
    <row r="126" spans="8:8">
      <c r="H126" s="354"/>
    </row>
    <row r="127" spans="8:8">
      <c r="H127" s="354"/>
    </row>
    <row r="128" spans="8:8">
      <c r="H128" s="354"/>
    </row>
    <row r="129" spans="8:8">
      <c r="H129" s="354"/>
    </row>
    <row r="130" spans="8:8">
      <c r="H130" s="354"/>
    </row>
    <row r="131" spans="8:8">
      <c r="H131" s="354"/>
    </row>
    <row r="132" spans="8:8">
      <c r="H132" s="354"/>
    </row>
  </sheetData>
  <sheetProtection password="DFB1" sheet="1" objects="1" scenarios="1"/>
  <mergeCells count="1">
    <mergeCell ref="F9:H9"/>
  </mergeCells>
  <phoneticPr fontId="0" type="noConversion"/>
  <pageMargins left="0.75" right="0.75" top="1" bottom="1" header="0.5" footer="0.5"/>
  <pageSetup paperSize="9" scale="59" orientation="portrait" verticalDpi="300" r:id="rId1"/>
  <headerFooter alignWithMargins="0">
    <oddHeader>&amp;L&amp;"Arial,Vet"&amp;F&amp;R&amp;"Arial,Vet"&amp;A</oddHeader>
    <oddFooter>&amp;L&amp;"Arial,Vet"keizer / goedhart&amp;C&amp;"Arial,Vet"&amp;D&amp;R&amp;"Arial,Vet"pagina &amp;P</oddFooter>
  </headerFooter>
  <drawing r:id="rId2"/>
  <legacyDrawing r:id="rId3"/>
</worksheet>
</file>

<file path=xl/worksheets/sheet19.xml><?xml version="1.0" encoding="utf-8"?>
<worksheet xmlns="http://schemas.openxmlformats.org/spreadsheetml/2006/main" xmlns:r="http://schemas.openxmlformats.org/officeDocument/2006/relationships">
  <dimension ref="A2:X338"/>
  <sheetViews>
    <sheetView zoomScale="85" zoomScaleNormal="85" zoomScaleSheetLayoutView="85" workbookViewId="0">
      <pane ySplit="6" topLeftCell="A7" activePane="bottomLeft" state="frozen"/>
      <selection activeCell="C10" sqref="C10"/>
      <selection pane="bottomLeft"/>
    </sheetView>
  </sheetViews>
  <sheetFormatPr defaultColWidth="14.7109375" defaultRowHeight="12.75"/>
  <cols>
    <col min="1" max="1" width="41.42578125" style="2" customWidth="1"/>
    <col min="2" max="2" width="2.42578125" style="2" customWidth="1"/>
    <col min="3" max="23" width="13.5703125" style="2" customWidth="1"/>
    <col min="24" max="24" width="7.5703125" style="2" customWidth="1"/>
    <col min="25" max="16384" width="14.7109375" style="2"/>
  </cols>
  <sheetData>
    <row r="2" spans="1:17">
      <c r="A2" s="2" t="s">
        <v>290</v>
      </c>
      <c r="C2" s="3" t="s">
        <v>325</v>
      </c>
      <c r="D2" s="3" t="s">
        <v>679</v>
      </c>
      <c r="E2" s="3" t="s">
        <v>5</v>
      </c>
      <c r="F2" s="3" t="s">
        <v>513</v>
      </c>
      <c r="G2" s="3" t="s">
        <v>539</v>
      </c>
      <c r="H2" s="3" t="s">
        <v>574</v>
      </c>
      <c r="I2" s="3" t="s">
        <v>33</v>
      </c>
      <c r="J2" s="3" t="s">
        <v>760</v>
      </c>
    </row>
    <row r="3" spans="1:17">
      <c r="A3" s="2" t="s">
        <v>324</v>
      </c>
      <c r="C3" s="4">
        <v>40452</v>
      </c>
      <c r="D3" s="4">
        <v>40817</v>
      </c>
      <c r="E3" s="4">
        <v>41183</v>
      </c>
      <c r="F3" s="4">
        <v>41548</v>
      </c>
      <c r="G3" s="4">
        <v>41913</v>
      </c>
      <c r="H3" s="4">
        <v>42278</v>
      </c>
      <c r="I3" s="4">
        <v>42644</v>
      </c>
      <c r="J3" s="4">
        <v>43009</v>
      </c>
    </row>
    <row r="4" spans="1:17">
      <c r="A4" s="2" t="s">
        <v>414</v>
      </c>
      <c r="C4" s="5">
        <v>2011</v>
      </c>
      <c r="D4" s="5">
        <v>2012</v>
      </c>
      <c r="E4" s="5">
        <v>2013</v>
      </c>
      <c r="F4" s="5">
        <v>2014</v>
      </c>
      <c r="G4" s="5">
        <v>2015</v>
      </c>
      <c r="H4" s="5">
        <v>2016</v>
      </c>
      <c r="I4" s="5">
        <v>2017</v>
      </c>
      <c r="J4" s="5">
        <v>2016</v>
      </c>
    </row>
    <row r="5" spans="1:17">
      <c r="A5" s="2" t="s">
        <v>34</v>
      </c>
      <c r="C5" s="4">
        <v>40559</v>
      </c>
      <c r="D5" s="4">
        <v>40924</v>
      </c>
      <c r="E5" s="4">
        <v>41290</v>
      </c>
      <c r="F5" s="4">
        <v>41655</v>
      </c>
      <c r="G5" s="4">
        <v>42020</v>
      </c>
      <c r="H5" s="4">
        <v>42385</v>
      </c>
      <c r="I5" s="4">
        <v>42751</v>
      </c>
      <c r="J5" s="4">
        <v>43116</v>
      </c>
    </row>
    <row r="8" spans="1:17">
      <c r="A8" s="6" t="s">
        <v>185</v>
      </c>
    </row>
    <row r="9" spans="1:17">
      <c r="B9" s="6"/>
    </row>
    <row r="10" spans="1:17">
      <c r="A10" s="6" t="s">
        <v>278</v>
      </c>
      <c r="D10" s="7" t="s">
        <v>146</v>
      </c>
      <c r="G10" s="7" t="s">
        <v>147</v>
      </c>
      <c r="L10" s="2" t="s">
        <v>104</v>
      </c>
      <c r="O10" s="2" t="s">
        <v>173</v>
      </c>
    </row>
    <row r="11" spans="1:17">
      <c r="A11" s="2" t="s">
        <v>150</v>
      </c>
      <c r="D11" s="7" t="s">
        <v>151</v>
      </c>
      <c r="E11" s="7" t="s">
        <v>152</v>
      </c>
      <c r="F11" s="2" t="s">
        <v>120</v>
      </c>
      <c r="G11" s="7" t="s">
        <v>151</v>
      </c>
      <c r="H11" s="7" t="s">
        <v>152</v>
      </c>
      <c r="I11" s="2" t="s">
        <v>120</v>
      </c>
      <c r="K11" s="2" t="s">
        <v>150</v>
      </c>
      <c r="L11" s="7" t="s">
        <v>151</v>
      </c>
      <c r="M11" s="7" t="s">
        <v>152</v>
      </c>
      <c r="N11" s="2" t="s">
        <v>120</v>
      </c>
      <c r="O11" s="7" t="s">
        <v>151</v>
      </c>
      <c r="P11" s="7" t="s">
        <v>152</v>
      </c>
      <c r="Q11" s="2" t="s">
        <v>120</v>
      </c>
    </row>
    <row r="12" spans="1:17">
      <c r="A12" s="2" t="s">
        <v>107</v>
      </c>
      <c r="D12" s="8">
        <v>0.21410000000000001</v>
      </c>
      <c r="E12" s="8">
        <v>0.2117</v>
      </c>
      <c r="F12" s="8">
        <v>0.22259999999999999</v>
      </c>
      <c r="G12" s="8">
        <v>0.1993</v>
      </c>
      <c r="H12" s="8">
        <v>5.3100000000000001E-2</v>
      </c>
      <c r="I12" s="8">
        <v>4.7100000000000003E-2</v>
      </c>
      <c r="K12" s="2" t="s">
        <v>107</v>
      </c>
      <c r="L12" s="9">
        <f>ROUND(tab!$D99*tab!D$12+tab!$D98*tab!G$12,2)</f>
        <v>11777.08</v>
      </c>
      <c r="M12" s="9">
        <f>ROUND(tab!$D99*tab!E$12+tab!$D98*tab!H$12,2)</f>
        <v>6410.92</v>
      </c>
      <c r="N12" s="9">
        <f>ROUND(tab!$D99*tab!F$12+tab!$D98*tab!I$12,2)</f>
        <v>6423.46</v>
      </c>
      <c r="O12" s="9">
        <f>ROUND(tab!D$12*tab!$D100,2)</f>
        <v>205.26</v>
      </c>
      <c r="P12" s="9">
        <f>ROUND(tab!E$12*tab!$D100,2)</f>
        <v>202.95</v>
      </c>
      <c r="Q12" s="9">
        <f>ROUND(tab!F$12*tab!$D100,2)</f>
        <v>213.4</v>
      </c>
    </row>
    <row r="13" spans="1:17">
      <c r="A13" s="2" t="s">
        <v>108</v>
      </c>
      <c r="D13" s="8">
        <v>0.1173</v>
      </c>
      <c r="E13" s="8">
        <v>0.1157</v>
      </c>
      <c r="F13" s="8">
        <v>0.2</v>
      </c>
      <c r="G13" s="8">
        <v>0.1636</v>
      </c>
      <c r="H13" s="8">
        <v>6.7599999999999993E-2</v>
      </c>
      <c r="I13" s="8">
        <v>6.6299999999999998E-2</v>
      </c>
      <c r="K13" s="2" t="s">
        <v>108</v>
      </c>
      <c r="L13" s="9">
        <f>ROUND(tab!$D99*tab!D$13+tab!$D98*tab!G$13,2)</f>
        <v>8430.49</v>
      </c>
      <c r="M13" s="9">
        <f>ROUND(tab!$D99*tab!E$13+tab!$D98*tab!H$13,2)</f>
        <v>4906.37</v>
      </c>
      <c r="N13" s="9">
        <f>ROUND(tab!$D99*tab!F$13+tab!$D98*tab!I$13,2)</f>
        <v>6643.21</v>
      </c>
      <c r="O13" s="9">
        <f>ROUND(tab!D$13*tab!$D100,2)</f>
        <v>112.45</v>
      </c>
      <c r="P13" s="9">
        <f>ROUND(tab!E$13*tab!$D100,2)</f>
        <v>110.92</v>
      </c>
      <c r="Q13" s="9">
        <f>ROUND(tab!F$13*tab!$D100,2)</f>
        <v>191.74</v>
      </c>
    </row>
    <row r="14" spans="1:17">
      <c r="A14" s="2" t="s">
        <v>109</v>
      </c>
      <c r="D14" s="8">
        <v>0.1173</v>
      </c>
      <c r="E14" s="8">
        <v>0.1157</v>
      </c>
      <c r="F14" s="8">
        <v>0</v>
      </c>
      <c r="G14" s="8">
        <v>0.1573</v>
      </c>
      <c r="H14" s="8">
        <v>6.13E-2</v>
      </c>
      <c r="I14" s="8">
        <v>0</v>
      </c>
      <c r="K14" s="2" t="s">
        <v>109</v>
      </c>
      <c r="L14" s="9">
        <f>ROUND(tab!$D99*tab!D$14+tab!$D98*tab!G$14,2)</f>
        <v>8201.44</v>
      </c>
      <c r="M14" s="9">
        <f>ROUND(tab!$D99*tab!E$14+tab!$D98*tab!H$14,2)</f>
        <v>4677.32</v>
      </c>
      <c r="N14" s="9">
        <v>0</v>
      </c>
      <c r="O14" s="9">
        <f>ROUND(tab!D$14*tab!$D100,2)</f>
        <v>112.45</v>
      </c>
      <c r="P14" s="9">
        <f>ROUND(tab!E$14*tab!$D100,2)</f>
        <v>110.92</v>
      </c>
      <c r="Q14" s="9">
        <f>ROUND(tab!F$14*tab!$D100,2)</f>
        <v>0</v>
      </c>
    </row>
    <row r="15" spans="1:17">
      <c r="A15" s="2" t="s">
        <v>110</v>
      </c>
      <c r="D15" s="8">
        <v>0.1181</v>
      </c>
      <c r="E15" s="8">
        <v>0.1181</v>
      </c>
      <c r="F15" s="8">
        <v>0.2019</v>
      </c>
      <c r="G15" s="8">
        <v>0.22869999999999999</v>
      </c>
      <c r="H15" s="8">
        <v>0.22869999999999999</v>
      </c>
      <c r="I15" s="8">
        <v>0.19620000000000001</v>
      </c>
      <c r="K15" s="2" t="s">
        <v>110</v>
      </c>
      <c r="L15" s="9">
        <f>ROUND(tab!$D99*tab!D$15+tab!$D98*tab!G$15,2)</f>
        <v>10814.25</v>
      </c>
      <c r="M15" s="9">
        <f>ROUND(tab!$D99*tab!E$15+tab!$D98*tab!H$15,2)</f>
        <v>10814.25</v>
      </c>
      <c r="N15" s="9">
        <f>ROUND(tab!$D99*tab!F$15+tab!$D98*tab!I$15,2)</f>
        <v>11406.17</v>
      </c>
      <c r="O15" s="9">
        <f>ROUND(tab!D$15*tab!$D100,2)</f>
        <v>113.22</v>
      </c>
      <c r="P15" s="9">
        <f>ROUND(tab!E$15*tab!$D100,2)</f>
        <v>113.22</v>
      </c>
      <c r="Q15" s="9">
        <f>ROUND(tab!F$15*tab!$D100,2)</f>
        <v>193.56</v>
      </c>
    </row>
    <row r="16" spans="1:17">
      <c r="A16" s="7" t="s">
        <v>112</v>
      </c>
      <c r="D16" s="8">
        <v>0.1043</v>
      </c>
      <c r="E16" s="8">
        <v>0.1021</v>
      </c>
      <c r="F16" s="8">
        <v>0.1835</v>
      </c>
      <c r="G16" s="8">
        <v>0.2087</v>
      </c>
      <c r="H16" s="8">
        <v>7.7499999999999999E-2</v>
      </c>
      <c r="I16" s="8">
        <v>5.7200000000000001E-2</v>
      </c>
      <c r="K16" s="7" t="s">
        <v>112</v>
      </c>
      <c r="L16" s="9">
        <f>ROUND(tab!$D99*tab!D$16+tab!$D98*tab!G$16,2)</f>
        <v>9795.0499999999993</v>
      </c>
      <c r="M16" s="9">
        <f>ROUND(tab!$D99*tab!E$16+tab!$D98*tab!H$16,2)</f>
        <v>4978.47</v>
      </c>
      <c r="N16" s="9">
        <f>ROUND(tab!$D99*tab!F$16+tab!$D98*tab!I$16,2)</f>
        <v>5963.16</v>
      </c>
      <c r="O16" s="9">
        <f>ROUND(tab!D$16*tab!$D100,2)</f>
        <v>99.99</v>
      </c>
      <c r="P16" s="9">
        <f>ROUND(tab!E$16*tab!$D100,2)</f>
        <v>97.88</v>
      </c>
      <c r="Q16" s="9">
        <f>ROUND(tab!F$16*tab!$D100,2)</f>
        <v>175.92</v>
      </c>
    </row>
    <row r="17" spans="1:19">
      <c r="A17" s="7" t="s">
        <v>113</v>
      </c>
      <c r="D17" s="8">
        <v>0.1273</v>
      </c>
      <c r="E17" s="8">
        <v>0.12620000000000001</v>
      </c>
      <c r="F17" s="8">
        <v>0.18609999999999999</v>
      </c>
      <c r="G17" s="8">
        <v>0.12509999999999999</v>
      </c>
      <c r="H17" s="8">
        <v>5.7299999999999997E-2</v>
      </c>
      <c r="I17" s="8">
        <v>4.3799999999999999E-2</v>
      </c>
      <c r="K17" s="7" t="s">
        <v>113</v>
      </c>
      <c r="L17" s="9">
        <f>ROUND(tab!$D99*tab!D$17+tab!$D98*tab!G$17,2)</f>
        <v>7242.39</v>
      </c>
      <c r="M17" s="9">
        <f>ROUND(tab!$D99*tab!E$17+tab!$D98*tab!H$17,2)</f>
        <v>4754.1099999999997</v>
      </c>
      <c r="N17" s="9">
        <f>ROUND(tab!$D99*tab!F$17+tab!$D98*tab!I$17,2)</f>
        <v>5531.01</v>
      </c>
      <c r="O17" s="9">
        <f>ROUND(tab!D$17*tab!$D100,2)</f>
        <v>122.04</v>
      </c>
      <c r="P17" s="9">
        <f>ROUND(tab!E$17*tab!$D100,2)</f>
        <v>120.99</v>
      </c>
      <c r="Q17" s="9">
        <f>ROUND(tab!F$17*tab!$D100,2)</f>
        <v>178.41</v>
      </c>
    </row>
    <row r="18" spans="1:19">
      <c r="A18" s="2" t="s">
        <v>111</v>
      </c>
      <c r="D18" s="8">
        <v>0.109</v>
      </c>
      <c r="E18" s="8">
        <v>0.109</v>
      </c>
      <c r="F18" s="8">
        <v>0.16489999999999999</v>
      </c>
      <c r="G18" s="8">
        <v>8.9200000000000002E-2</v>
      </c>
      <c r="H18" s="8">
        <v>8.9200000000000002E-2</v>
      </c>
      <c r="I18" s="8">
        <v>7.17E-2</v>
      </c>
      <c r="K18" s="2" t="s">
        <v>111</v>
      </c>
      <c r="L18" s="9">
        <f>ROUND(tab!$D99*tab!D$18+tab!$D98*tab!G$18,2)</f>
        <v>5549.88</v>
      </c>
      <c r="M18" s="9">
        <f>ROUND(tab!$D99*tab!E$18+tab!$D98*tab!H$18,2)</f>
        <v>5549.88</v>
      </c>
      <c r="N18" s="9">
        <f>ROUND(tab!$D99*tab!F$18+tab!$D98*tab!I$18,2)</f>
        <v>6096.69</v>
      </c>
      <c r="O18" s="9">
        <f>ROUND(tab!D$18*tab!$D100,2)</f>
        <v>104.5</v>
      </c>
      <c r="P18" s="9">
        <f>ROUND(tab!E$18*tab!$D100,2)</f>
        <v>104.5</v>
      </c>
      <c r="Q18" s="9">
        <f>ROUND(tab!F$18*tab!$D100,2)</f>
        <v>158.09</v>
      </c>
    </row>
    <row r="19" spans="1:19">
      <c r="A19" s="2" t="s">
        <v>114</v>
      </c>
      <c r="D19" s="8">
        <v>0.1273</v>
      </c>
      <c r="E19" s="8">
        <v>0.12620000000000001</v>
      </c>
      <c r="F19" s="8">
        <v>0.18609999999999999</v>
      </c>
      <c r="G19" s="8">
        <v>0.12509999999999999</v>
      </c>
      <c r="H19" s="8">
        <v>5.7299999999999997E-2</v>
      </c>
      <c r="I19" s="8">
        <v>4.3799999999999999E-2</v>
      </c>
      <c r="K19" s="2" t="s">
        <v>114</v>
      </c>
      <c r="L19" s="9">
        <f>ROUND(tab!$D99*tab!D$19+tab!$D98*tab!G$19,2)</f>
        <v>7242.39</v>
      </c>
      <c r="M19" s="9">
        <f>ROUND(tab!$D99*tab!E$19+tab!$D98*tab!H$19,2)</f>
        <v>4754.1099999999997</v>
      </c>
      <c r="N19" s="9">
        <f>ROUND(tab!$D99*tab!F$19+tab!$D98*tab!I$19,2)</f>
        <v>5531.01</v>
      </c>
      <c r="O19" s="9">
        <f>ROUND(tab!D$19*tab!$D100,2)</f>
        <v>122.04</v>
      </c>
      <c r="P19" s="9">
        <f>ROUND(tab!E$19*tab!$D100,2)</f>
        <v>120.99</v>
      </c>
      <c r="Q19" s="9">
        <f>ROUND(tab!F$19*tab!$D100,2)</f>
        <v>178.41</v>
      </c>
    </row>
    <row r="20" spans="1:19">
      <c r="A20" s="2" t="s">
        <v>115</v>
      </c>
      <c r="D20" s="8">
        <v>0.1273</v>
      </c>
      <c r="E20" s="8">
        <v>0.12620000000000001</v>
      </c>
      <c r="F20" s="8">
        <v>0.18609999999999999</v>
      </c>
      <c r="G20" s="8">
        <v>0.12509999999999999</v>
      </c>
      <c r="H20" s="8">
        <v>5.7299999999999997E-2</v>
      </c>
      <c r="I20" s="8">
        <v>4.3799999999999999E-2</v>
      </c>
      <c r="K20" s="2" t="s">
        <v>115</v>
      </c>
      <c r="L20" s="9">
        <f>ROUND(tab!$D99*tab!D$20+tab!$D98*tab!G$20,2)</f>
        <v>7242.39</v>
      </c>
      <c r="M20" s="9">
        <f>ROUND(tab!$D99*tab!E$20+tab!$D98*tab!H$20,2)</f>
        <v>4754.1099999999997</v>
      </c>
      <c r="N20" s="9">
        <f>ROUND(tab!$D99*tab!F$20+tab!$D98*tab!I$20,2)</f>
        <v>5531.01</v>
      </c>
      <c r="O20" s="9">
        <f>ROUND(tab!D$20*tab!$D100,2)</f>
        <v>122.04</v>
      </c>
      <c r="P20" s="9">
        <f>ROUND(tab!E$20*tab!$D100,2)</f>
        <v>120.99</v>
      </c>
      <c r="Q20" s="9">
        <f>ROUND(tab!F$20*tab!$D100,2)</f>
        <v>178.41</v>
      </c>
    </row>
    <row r="21" spans="1:19">
      <c r="A21" s="10" t="s">
        <v>117</v>
      </c>
      <c r="D21" s="8">
        <v>0.40239999999999998</v>
      </c>
      <c r="E21" s="8">
        <v>0.4007</v>
      </c>
      <c r="F21" s="8">
        <v>0.40039999999999998</v>
      </c>
      <c r="G21" s="8">
        <v>0.20660000000000001</v>
      </c>
      <c r="H21" s="8">
        <v>0.1067</v>
      </c>
      <c r="I21" s="8">
        <v>6.0299999999999999E-2</v>
      </c>
      <c r="K21" s="11" t="s">
        <v>117</v>
      </c>
      <c r="L21" s="9">
        <f>ROUND(tab!$D99*tab!D$21+tab!$D98*tab!G$21,2)</f>
        <v>16027.62</v>
      </c>
      <c r="M21" s="9">
        <f>ROUND(tab!$D99*tab!E$21+tab!$D98*tab!H$21,2)</f>
        <v>12359.6</v>
      </c>
      <c r="N21" s="9">
        <f>ROUND(tab!$D99*tab!F$21+tab!$D98*tab!I$21,2)</f>
        <v>10666.29</v>
      </c>
      <c r="O21" s="9">
        <f>ROUND(tab!D$21*tab!$D100,2)</f>
        <v>385.78</v>
      </c>
      <c r="P21" s="9">
        <f>ROUND(tab!E$21*tab!$D100,2)</f>
        <v>384.15</v>
      </c>
      <c r="Q21" s="9">
        <f>ROUND(tab!F$21*tab!$D100,2)</f>
        <v>383.86</v>
      </c>
      <c r="R21" s="2" t="s">
        <v>286</v>
      </c>
    </row>
    <row r="22" spans="1:19">
      <c r="A22" s="10" t="s">
        <v>119</v>
      </c>
      <c r="D22" s="8">
        <v>0.60270000000000001</v>
      </c>
      <c r="E22" s="8">
        <v>0.60029999999999994</v>
      </c>
      <c r="F22" s="8">
        <v>0.60029999999999994</v>
      </c>
      <c r="G22" s="8">
        <v>0.23089999999999999</v>
      </c>
      <c r="H22" s="8">
        <v>8.4699999999999998E-2</v>
      </c>
      <c r="I22" s="8">
        <v>8.4699999999999998E-2</v>
      </c>
      <c r="K22" s="11" t="s">
        <v>119</v>
      </c>
      <c r="L22" s="9">
        <f>ROUND(tab!$D99*tab!D$22+tab!$D98*tab!G$22,2)</f>
        <v>21150.19</v>
      </c>
      <c r="M22" s="9">
        <f>ROUND(tab!$D99*tab!E$22+tab!$D98*tab!H$22,2)</f>
        <v>15784.03</v>
      </c>
      <c r="N22" s="9">
        <f>ROUND(tab!$D99*tab!F$22+tab!$D98*tab!I$22,2)</f>
        <v>15784.03</v>
      </c>
      <c r="O22" s="9">
        <f>ROUND(tab!D$22*tab!$D100,2)</f>
        <v>577.79999999999995</v>
      </c>
      <c r="P22" s="9">
        <f>ROUND(tab!E$22*tab!$D100,2)</f>
        <v>575.5</v>
      </c>
      <c r="Q22" s="9">
        <f>ROUND(tab!F$22*tab!$D100,2)</f>
        <v>575.5</v>
      </c>
    </row>
    <row r="23" spans="1:19">
      <c r="A23" s="10" t="s">
        <v>118</v>
      </c>
      <c r="D23" s="8">
        <v>0.19989999999999999</v>
      </c>
      <c r="E23" s="8">
        <v>0.19869999999999999</v>
      </c>
      <c r="F23" s="8">
        <v>0.20300000000000001</v>
      </c>
      <c r="G23" s="8">
        <v>0.1724</v>
      </c>
      <c r="H23" s="8">
        <v>9.9299999999999999E-2</v>
      </c>
      <c r="I23" s="8">
        <v>8.3099999999999993E-2</v>
      </c>
      <c r="K23" s="11" t="s">
        <v>118</v>
      </c>
      <c r="L23" s="9">
        <f>ROUND(tab!$D99*tab!D$23+tab!$D98*tab!G$23,2)</f>
        <v>10498.55</v>
      </c>
      <c r="M23" s="9">
        <f>ROUND(tab!$D99*tab!E$23+tab!$D98*tab!H$23,2)</f>
        <v>7815.47</v>
      </c>
      <c r="N23" s="9">
        <f>ROUND(tab!$D99*tab!F$23+tab!$D98*tab!I$23,2)</f>
        <v>7317.5</v>
      </c>
      <c r="O23" s="9">
        <f>ROUND(tab!D$23*tab!$D100,2)</f>
        <v>191.64</v>
      </c>
      <c r="P23" s="9">
        <f>ROUND(tab!E$23*tab!$D100,2)</f>
        <v>190.49</v>
      </c>
      <c r="Q23" s="9">
        <f>ROUND(tab!F$23*tab!$D100,2)</f>
        <v>194.61</v>
      </c>
      <c r="R23" s="2" t="s">
        <v>287</v>
      </c>
    </row>
    <row r="24" spans="1:19">
      <c r="A24" s="10" t="s">
        <v>116</v>
      </c>
      <c r="D24" s="8">
        <v>0.18690000000000001</v>
      </c>
      <c r="E24" s="8">
        <v>0.18690000000000001</v>
      </c>
      <c r="F24" s="8">
        <v>0.20619999999999999</v>
      </c>
      <c r="G24" s="8">
        <v>0.28960000000000002</v>
      </c>
      <c r="H24" s="8">
        <v>0.28960000000000002</v>
      </c>
      <c r="I24" s="8">
        <v>0.28920000000000001</v>
      </c>
      <c r="K24" s="11" t="s">
        <v>116</v>
      </c>
      <c r="L24" s="9">
        <f>ROUND(tab!$D99*tab!D$24+tab!$D98*tab!G$24,2)</f>
        <v>14484.44</v>
      </c>
      <c r="M24" s="9">
        <f>ROUND(tab!$D99*tab!E$24+tab!$D98*tab!H$24,2)</f>
        <v>14484.44</v>
      </c>
      <c r="N24" s="9">
        <f>ROUND(tab!$D99*tab!F$24+tab!$D98*tab!I$24,2)</f>
        <v>14878.36</v>
      </c>
      <c r="O24" s="9">
        <f>ROUND(tab!D$24*tab!$D100,2)</f>
        <v>179.18</v>
      </c>
      <c r="P24" s="9">
        <f>ROUND(tab!E$24*tab!$D100,2)</f>
        <v>179.18</v>
      </c>
      <c r="Q24" s="9">
        <f>ROUND(tab!F$24*tab!$D100,2)</f>
        <v>197.68</v>
      </c>
      <c r="R24" s="2" t="s">
        <v>288</v>
      </c>
    </row>
    <row r="25" spans="1:19">
      <c r="K25" s="6" t="s">
        <v>128</v>
      </c>
      <c r="Q25" s="2" t="s">
        <v>174</v>
      </c>
      <c r="R25" s="12">
        <f>+tab!D101</f>
        <v>41.16</v>
      </c>
    </row>
    <row r="26" spans="1:19">
      <c r="K26" s="6"/>
      <c r="R26" s="12"/>
    </row>
    <row r="27" spans="1:19">
      <c r="A27" s="6" t="s">
        <v>148</v>
      </c>
      <c r="D27" s="7" t="s">
        <v>146</v>
      </c>
      <c r="K27" s="2" t="s">
        <v>148</v>
      </c>
      <c r="L27" s="2" t="s">
        <v>104</v>
      </c>
      <c r="N27" s="2" t="s">
        <v>173</v>
      </c>
      <c r="Q27" s="2" t="s">
        <v>148</v>
      </c>
      <c r="R27" s="2" t="s">
        <v>175</v>
      </c>
    </row>
    <row r="28" spans="1:19">
      <c r="A28" s="2" t="s">
        <v>150</v>
      </c>
      <c r="D28" s="7" t="s">
        <v>103</v>
      </c>
      <c r="E28" s="2" t="s">
        <v>120</v>
      </c>
      <c r="K28" s="2" t="s">
        <v>150</v>
      </c>
      <c r="L28" s="7" t="s">
        <v>103</v>
      </c>
      <c r="M28" s="2" t="s">
        <v>120</v>
      </c>
      <c r="N28" s="7" t="s">
        <v>103</v>
      </c>
      <c r="O28" s="2" t="s">
        <v>120</v>
      </c>
      <c r="Q28" s="2" t="s">
        <v>150</v>
      </c>
      <c r="R28" s="7" t="s">
        <v>103</v>
      </c>
      <c r="S28" s="2" t="s">
        <v>120</v>
      </c>
    </row>
    <row r="29" spans="1:19">
      <c r="A29" s="2" t="s">
        <v>107</v>
      </c>
      <c r="D29" s="8">
        <v>0</v>
      </c>
      <c r="E29" s="8">
        <v>1.2200000000000001E-2</v>
      </c>
      <c r="K29" s="2" t="s">
        <v>107</v>
      </c>
      <c r="L29" s="9">
        <f>ROUND(tab!$D99*tab!D$29,2)</f>
        <v>0</v>
      </c>
      <c r="M29" s="9">
        <f>ROUND(tab!$D$99*tab!E29,2)</f>
        <v>258.2</v>
      </c>
      <c r="N29" s="9">
        <f>ROUND(tab!D$29*tab!$D100,2)</f>
        <v>0</v>
      </c>
      <c r="O29" s="9">
        <f>ROUND(tab!E$29*tab!$D100,2)</f>
        <v>11.7</v>
      </c>
      <c r="Q29" s="2" t="s">
        <v>107</v>
      </c>
      <c r="R29" s="9">
        <f>+tab!L29+ROUND(tab!N29*$R$25,2)</f>
        <v>0</v>
      </c>
      <c r="S29" s="9">
        <f>+tab!M29+ROUND(tab!O29*$R$25,2)</f>
        <v>739.77</v>
      </c>
    </row>
    <row r="30" spans="1:19">
      <c r="A30" s="2" t="s">
        <v>108</v>
      </c>
      <c r="D30" s="8">
        <v>1.14E-2</v>
      </c>
      <c r="E30" s="8">
        <v>0</v>
      </c>
      <c r="K30" s="2" t="s">
        <v>108</v>
      </c>
      <c r="L30" s="9">
        <f>ROUND(tab!$D99*tab!D$30,2)</f>
        <v>241.27</v>
      </c>
      <c r="M30" s="9">
        <f>ROUND(tab!$D$99*tab!E30,2)</f>
        <v>0</v>
      </c>
      <c r="N30" s="9">
        <f>ROUND(tab!D$30*tab!$D100,2)</f>
        <v>10.93</v>
      </c>
      <c r="O30" s="9">
        <f>ROUND(tab!E$30*tab!$D100,2)</f>
        <v>0</v>
      </c>
      <c r="Q30" s="2" t="s">
        <v>108</v>
      </c>
      <c r="R30" s="9">
        <f>+tab!L30+ROUND(tab!N30*$R$25,2)</f>
        <v>691.15</v>
      </c>
      <c r="S30" s="9">
        <f>+tab!M30+ROUND(tab!O30*$R$25,2)</f>
        <v>0</v>
      </c>
    </row>
    <row r="31" spans="1:19">
      <c r="A31" s="2" t="s">
        <v>109</v>
      </c>
      <c r="D31" s="8">
        <v>1.15E-2</v>
      </c>
      <c r="E31" s="8">
        <v>0</v>
      </c>
      <c r="K31" s="2" t="s">
        <v>109</v>
      </c>
      <c r="L31" s="9">
        <f>ROUND(tab!$D99*tab!D$31,2)</f>
        <v>243.38</v>
      </c>
      <c r="M31" s="9">
        <f>ROUND(tab!$D$99*tab!E31,2)</f>
        <v>0</v>
      </c>
      <c r="N31" s="9">
        <f>ROUND(tab!D$31*tab!$D100,2)</f>
        <v>11.02</v>
      </c>
      <c r="O31" s="9">
        <f>ROUND(tab!E$31*tab!$D100,2)</f>
        <v>0</v>
      </c>
      <c r="Q31" s="2" t="s">
        <v>109</v>
      </c>
      <c r="R31" s="9">
        <f>+tab!L31+ROUND(tab!N31*$R$25,2)</f>
        <v>696.96</v>
      </c>
      <c r="S31" s="9">
        <f>+tab!M31+ROUND(tab!O31*$R$25,2)</f>
        <v>0</v>
      </c>
    </row>
    <row r="32" spans="1:19">
      <c r="A32" s="2" t="s">
        <v>110</v>
      </c>
      <c r="D32" s="8">
        <v>4.9399999999999999E-2</v>
      </c>
      <c r="E32" s="8">
        <v>1.0699999999999999E-2</v>
      </c>
      <c r="K32" s="2" t="s">
        <v>110</v>
      </c>
      <c r="L32" s="9">
        <f>ROUND(tab!$D99*tab!D$32,2)</f>
        <v>1045.49</v>
      </c>
      <c r="M32" s="9">
        <f>ROUND(tab!$D$99*tab!E32,2)</f>
        <v>226.45</v>
      </c>
      <c r="N32" s="9">
        <f>ROUND(tab!D$32*tab!$D100,2)</f>
        <v>47.36</v>
      </c>
      <c r="O32" s="9">
        <f>ROUND(tab!E$32*tab!$D100,2)</f>
        <v>10.26</v>
      </c>
      <c r="Q32" s="2" t="s">
        <v>110</v>
      </c>
      <c r="R32" s="9">
        <f>+tab!L32+ROUND(tab!N32*$R$25,2)</f>
        <v>2994.83</v>
      </c>
      <c r="S32" s="9">
        <f>+tab!M32+ROUND(tab!O32*$R$25,2)</f>
        <v>648.75</v>
      </c>
    </row>
    <row r="33" spans="1:19">
      <c r="A33" s="7" t="s">
        <v>112</v>
      </c>
      <c r="D33" s="8">
        <v>5.0000000000000001E-4</v>
      </c>
      <c r="E33" s="8">
        <v>0</v>
      </c>
      <c r="K33" s="7" t="s">
        <v>112</v>
      </c>
      <c r="L33" s="9">
        <f>ROUND(tab!$D99*tab!D$33,2)</f>
        <v>10.58</v>
      </c>
      <c r="M33" s="9">
        <f>ROUND(tab!$D$99*tab!E33,2)</f>
        <v>0</v>
      </c>
      <c r="N33" s="9">
        <f>ROUND(tab!D$33*tab!$D100,2)</f>
        <v>0.48</v>
      </c>
      <c r="O33" s="9">
        <f>ROUND(tab!E$33*tab!$D100,2)</f>
        <v>0</v>
      </c>
      <c r="Q33" s="7" t="s">
        <v>112</v>
      </c>
      <c r="R33" s="9">
        <f>+tab!L33+ROUND(tab!N33*$R$25,2)</f>
        <v>30.340000000000003</v>
      </c>
      <c r="S33" s="9">
        <f>+tab!M33+ROUND(tab!O33*$R$25,2)</f>
        <v>0</v>
      </c>
    </row>
    <row r="34" spans="1:19">
      <c r="A34" s="7" t="s">
        <v>113</v>
      </c>
      <c r="D34" s="8">
        <v>3.0000000000000001E-3</v>
      </c>
      <c r="E34" s="8">
        <v>5.1000000000000004E-3</v>
      </c>
      <c r="K34" s="7" t="s">
        <v>113</v>
      </c>
      <c r="L34" s="9">
        <f>ROUND(tab!$D99*tab!D$34,2)</f>
        <v>63.49</v>
      </c>
      <c r="M34" s="9">
        <f>ROUND(tab!$D$99*tab!E34,2)</f>
        <v>107.94</v>
      </c>
      <c r="N34" s="9">
        <f>ROUND(tab!D$34*tab!$D100,2)</f>
        <v>2.88</v>
      </c>
      <c r="O34" s="9">
        <f>ROUND(tab!E$34*tab!$D100,2)</f>
        <v>4.8899999999999997</v>
      </c>
      <c r="Q34" s="7" t="s">
        <v>113</v>
      </c>
      <c r="R34" s="9">
        <f>+tab!L34+ROUND(tab!N34*$R$25,2)</f>
        <v>182.03</v>
      </c>
      <c r="S34" s="9">
        <f>+tab!M34+ROUND(tab!O34*$R$25,2)</f>
        <v>309.21000000000004</v>
      </c>
    </row>
    <row r="35" spans="1:19">
      <c r="A35" s="2" t="s">
        <v>111</v>
      </c>
      <c r="D35" s="8">
        <v>1.1999999999999999E-3</v>
      </c>
      <c r="E35" s="8">
        <v>0</v>
      </c>
      <c r="K35" s="2" t="s">
        <v>111</v>
      </c>
      <c r="L35" s="9">
        <f>ROUND(tab!$D99*tab!D$35,2)</f>
        <v>25.4</v>
      </c>
      <c r="M35" s="9">
        <f>ROUND(tab!$D$99*tab!E35,2)</f>
        <v>0</v>
      </c>
      <c r="N35" s="9">
        <f>ROUND(tab!D$35*tab!$D100,2)</f>
        <v>1.1499999999999999</v>
      </c>
      <c r="O35" s="9">
        <f>ROUND(tab!E$35*tab!$D100,2)</f>
        <v>0</v>
      </c>
      <c r="Q35" s="2" t="s">
        <v>111</v>
      </c>
      <c r="R35" s="9">
        <f>+tab!L35+ROUND(tab!N35*$R$25,2)</f>
        <v>72.72999999999999</v>
      </c>
      <c r="S35" s="9">
        <f>+tab!M35+ROUND(tab!O35*$R$25,2)</f>
        <v>0</v>
      </c>
    </row>
    <row r="36" spans="1:19">
      <c r="A36" s="2" t="s">
        <v>114</v>
      </c>
      <c r="D36" s="8">
        <v>3.0000000000000001E-3</v>
      </c>
      <c r="E36" s="8">
        <v>5.1000000000000004E-3</v>
      </c>
      <c r="K36" s="2" t="s">
        <v>114</v>
      </c>
      <c r="L36" s="9">
        <f>ROUND(tab!$D99*tab!D$36,2)</f>
        <v>63.49</v>
      </c>
      <c r="M36" s="9">
        <f>ROUND(tab!$D$99*tab!E36,2)</f>
        <v>107.94</v>
      </c>
      <c r="N36" s="9">
        <f>ROUND(tab!D$36*tab!$D100,2)</f>
        <v>2.88</v>
      </c>
      <c r="O36" s="9">
        <f>ROUND(tab!E$36*tab!$D100,2)</f>
        <v>4.8899999999999997</v>
      </c>
      <c r="Q36" s="2" t="s">
        <v>114</v>
      </c>
      <c r="R36" s="9">
        <f>+tab!L36+ROUND(tab!N36*$R$25,2)</f>
        <v>182.03</v>
      </c>
      <c r="S36" s="9">
        <f>+tab!M36+ROUND(tab!O36*$R$25,2)</f>
        <v>309.21000000000004</v>
      </c>
    </row>
    <row r="37" spans="1:19">
      <c r="A37" s="2" t="s">
        <v>115</v>
      </c>
      <c r="D37" s="8">
        <v>3.0000000000000001E-3</v>
      </c>
      <c r="E37" s="8">
        <v>5.1000000000000004E-3</v>
      </c>
      <c r="K37" s="2" t="s">
        <v>115</v>
      </c>
      <c r="L37" s="9">
        <f>ROUND(tab!$D99*tab!D$37,2)</f>
        <v>63.49</v>
      </c>
      <c r="M37" s="9">
        <f>ROUND(tab!$D$99*tab!E37,2)</f>
        <v>107.94</v>
      </c>
      <c r="N37" s="9">
        <f>ROUND(tab!D$37*tab!$D100,2)</f>
        <v>2.88</v>
      </c>
      <c r="O37" s="9">
        <f>ROUND(tab!E$37*tab!$D100,2)</f>
        <v>4.8899999999999997</v>
      </c>
      <c r="Q37" s="2" t="s">
        <v>115</v>
      </c>
      <c r="R37" s="9">
        <f>+tab!L37+ROUND(tab!N37*$R$25,2)</f>
        <v>182.03</v>
      </c>
      <c r="S37" s="9">
        <f>+tab!M37+ROUND(tab!O37*$R$25,2)</f>
        <v>309.21000000000004</v>
      </c>
    </row>
    <row r="38" spans="1:19">
      <c r="A38" s="10" t="s">
        <v>117</v>
      </c>
      <c r="D38" s="8">
        <v>0</v>
      </c>
      <c r="E38" s="8">
        <v>0</v>
      </c>
      <c r="K38" s="11" t="s">
        <v>117</v>
      </c>
      <c r="L38" s="9">
        <f>ROUND(tab!$D$99*tab!D38,2)</f>
        <v>0</v>
      </c>
      <c r="M38" s="9">
        <f>ROUND(tab!$D$99*tab!E38,2)</f>
        <v>0</v>
      </c>
      <c r="N38" s="9">
        <f>ROUND(tab!D38*tab!$D$100,2)</f>
        <v>0</v>
      </c>
      <c r="O38" s="9">
        <f>ROUND(tab!E38*tab!$D$100,2)</f>
        <v>0</v>
      </c>
      <c r="Q38" s="11" t="s">
        <v>118</v>
      </c>
      <c r="R38" s="9">
        <f>+tab!L38+ROUND(tab!N38*$R$25,2)</f>
        <v>0</v>
      </c>
      <c r="S38" s="9">
        <f>+tab!M38+ROUND(tab!O38*$R$25,2)</f>
        <v>0</v>
      </c>
    </row>
    <row r="39" spans="1:19">
      <c r="A39" s="10" t="s">
        <v>118</v>
      </c>
      <c r="D39" s="8">
        <v>0</v>
      </c>
      <c r="E39" s="8">
        <v>0</v>
      </c>
      <c r="K39" s="11" t="s">
        <v>118</v>
      </c>
      <c r="L39" s="9">
        <f>ROUND(tab!$D$99*tab!D39,2)</f>
        <v>0</v>
      </c>
      <c r="M39" s="9">
        <f>ROUND(tab!$D$99*tab!E39,2)</f>
        <v>0</v>
      </c>
      <c r="N39" s="9">
        <f>ROUND(tab!D39*tab!$D$100,2)</f>
        <v>0</v>
      </c>
      <c r="O39" s="9">
        <f>ROUND(tab!E39*tab!$D$100,2)</f>
        <v>0</v>
      </c>
      <c r="Q39" s="11" t="s">
        <v>118</v>
      </c>
      <c r="R39" s="9">
        <f>+tab!L39+ROUND(tab!N39*$R$25,2)</f>
        <v>0</v>
      </c>
      <c r="S39" s="9">
        <f>+tab!M39+ROUND(tab!O39*$R$25,2)</f>
        <v>0</v>
      </c>
    </row>
    <row r="40" spans="1:19">
      <c r="A40" s="10" t="s">
        <v>116</v>
      </c>
      <c r="D40" s="8">
        <v>0</v>
      </c>
      <c r="E40" s="8">
        <v>0</v>
      </c>
      <c r="K40" s="11" t="s">
        <v>116</v>
      </c>
      <c r="L40" s="9">
        <f>ROUND(tab!$D$99*tab!D40,2)</f>
        <v>0</v>
      </c>
      <c r="M40" s="9">
        <f>ROUND(tab!$D$99*tab!E40,2)</f>
        <v>0</v>
      </c>
      <c r="N40" s="9">
        <f>ROUND(tab!D40*tab!$D$100,2)</f>
        <v>0</v>
      </c>
      <c r="O40" s="9">
        <f>ROUND(tab!E40*tab!$D$100,2)</f>
        <v>0</v>
      </c>
      <c r="Q40" s="11" t="s">
        <v>116</v>
      </c>
      <c r="R40" s="9">
        <f>+tab!L40+ROUND(tab!N40*$R$25,2)</f>
        <v>0</v>
      </c>
      <c r="S40" s="9">
        <f>+tab!M40+ROUND(tab!O40*$R$25,2)</f>
        <v>0</v>
      </c>
    </row>
    <row r="41" spans="1:19">
      <c r="A41" s="10" t="s">
        <v>119</v>
      </c>
      <c r="D41" s="8">
        <v>0</v>
      </c>
      <c r="E41" s="8">
        <v>0</v>
      </c>
      <c r="K41" s="11" t="s">
        <v>119</v>
      </c>
      <c r="L41" s="9">
        <f>ROUND(tab!$D$99*tab!D41,2)</f>
        <v>0</v>
      </c>
      <c r="M41" s="9">
        <f>ROUND(tab!$D$99*tab!E41,2)</f>
        <v>0</v>
      </c>
      <c r="N41" s="9">
        <f>ROUND(tab!D41*tab!$D$100,2)</f>
        <v>0</v>
      </c>
      <c r="O41" s="9">
        <f>ROUND(tab!E41*tab!$D$100,2)</f>
        <v>0</v>
      </c>
      <c r="Q41" s="11" t="s">
        <v>119</v>
      </c>
      <c r="R41" s="9">
        <f>+tab!L41+ROUND(tab!N41*$R$25,2)</f>
        <v>0</v>
      </c>
      <c r="S41" s="9">
        <f>+tab!M41+ROUND(tab!O41*$R$25,2)</f>
        <v>0</v>
      </c>
    </row>
    <row r="44" spans="1:19">
      <c r="A44" s="6" t="s">
        <v>153</v>
      </c>
      <c r="D44" s="7" t="s">
        <v>146</v>
      </c>
      <c r="F44" s="31"/>
    </row>
    <row r="45" spans="1:19">
      <c r="A45" s="2" t="s">
        <v>150</v>
      </c>
      <c r="D45" s="7" t="s">
        <v>270</v>
      </c>
      <c r="E45" s="2" t="s">
        <v>586</v>
      </c>
    </row>
    <row r="46" spans="1:19">
      <c r="A46" s="2" t="s">
        <v>107</v>
      </c>
      <c r="D46" s="8">
        <v>0.18459999999999999</v>
      </c>
      <c r="E46" s="8">
        <v>8.72E-2</v>
      </c>
      <c r="G46" s="8"/>
    </row>
    <row r="47" spans="1:19">
      <c r="A47" s="2" t="s">
        <v>108</v>
      </c>
      <c r="D47" s="8">
        <v>8.2100000000000006E-2</v>
      </c>
      <c r="E47" s="8">
        <v>5.6399999999999999E-2</v>
      </c>
    </row>
    <row r="48" spans="1:19">
      <c r="A48" s="2" t="s">
        <v>109</v>
      </c>
      <c r="D48" s="8">
        <v>8.2100000000000006E-2</v>
      </c>
      <c r="E48" s="8">
        <v>0</v>
      </c>
    </row>
    <row r="49" spans="1:21">
      <c r="A49" s="2" t="s">
        <v>110</v>
      </c>
      <c r="D49" s="8">
        <v>7.0900000000000005E-2</v>
      </c>
      <c r="E49" s="50">
        <v>7.5300000000000006E-2</v>
      </c>
    </row>
    <row r="50" spans="1:21">
      <c r="A50" s="7" t="s">
        <v>112</v>
      </c>
      <c r="D50" s="8">
        <v>7.0900000000000005E-2</v>
      </c>
      <c r="E50" s="50">
        <v>4.87E-2</v>
      </c>
    </row>
    <row r="51" spans="1:21">
      <c r="A51" s="7" t="s">
        <v>113</v>
      </c>
      <c r="D51" s="8">
        <v>7.0900000000000005E-2</v>
      </c>
      <c r="E51" s="50">
        <v>4.87E-2</v>
      </c>
    </row>
    <row r="52" spans="1:21">
      <c r="A52" s="2" t="s">
        <v>111</v>
      </c>
      <c r="D52" s="8">
        <v>7.0900000000000005E-2</v>
      </c>
      <c r="E52" s="50">
        <v>4.87E-2</v>
      </c>
    </row>
    <row r="53" spans="1:21">
      <c r="A53" s="2" t="s">
        <v>114</v>
      </c>
      <c r="D53" s="8">
        <v>7.0900000000000005E-2</v>
      </c>
      <c r="E53" s="50">
        <v>4.87E-2</v>
      </c>
    </row>
    <row r="54" spans="1:21">
      <c r="A54" s="2" t="s">
        <v>115</v>
      </c>
      <c r="D54" s="8">
        <v>7.0900000000000005E-2</v>
      </c>
      <c r="E54" s="50">
        <v>4.87E-2</v>
      </c>
    </row>
    <row r="55" spans="1:21">
      <c r="A55" s="10" t="s">
        <v>117</v>
      </c>
      <c r="D55" s="8">
        <v>8.2100000000000006E-2</v>
      </c>
      <c r="E55" s="8">
        <v>5.6399999999999999E-2</v>
      </c>
      <c r="G55" s="8"/>
    </row>
    <row r="56" spans="1:21">
      <c r="A56" s="10" t="s">
        <v>118</v>
      </c>
      <c r="D56" s="8">
        <v>8.2100000000000006E-2</v>
      </c>
      <c r="E56" s="8">
        <v>5.6399999999999999E-2</v>
      </c>
    </row>
    <row r="57" spans="1:21">
      <c r="A57" s="10" t="s">
        <v>116</v>
      </c>
      <c r="D57" s="8">
        <v>7.0900000000000005E-2</v>
      </c>
      <c r="E57" s="50">
        <v>4.87E-2</v>
      </c>
    </row>
    <row r="58" spans="1:21">
      <c r="A58" s="10" t="s">
        <v>119</v>
      </c>
      <c r="D58" s="8">
        <v>8.2100000000000006E-2</v>
      </c>
      <c r="E58" s="8">
        <v>5.6399999999999999E-2</v>
      </c>
    </row>
    <row r="59" spans="1:21">
      <c r="K59" s="6" t="s">
        <v>128</v>
      </c>
    </row>
    <row r="60" spans="1:21">
      <c r="A60" s="6" t="s">
        <v>149</v>
      </c>
      <c r="D60" s="7" t="s">
        <v>146</v>
      </c>
      <c r="K60" s="2" t="s">
        <v>149</v>
      </c>
      <c r="L60" s="2" t="s">
        <v>104</v>
      </c>
      <c r="N60" s="2" t="s">
        <v>173</v>
      </c>
      <c r="P60" s="2" t="s">
        <v>197</v>
      </c>
      <c r="S60" s="2" t="s">
        <v>149</v>
      </c>
      <c r="T60" s="2" t="s">
        <v>175</v>
      </c>
    </row>
    <row r="61" spans="1:21">
      <c r="A61" s="2" t="s">
        <v>150</v>
      </c>
      <c r="D61" s="7" t="s">
        <v>270</v>
      </c>
      <c r="E61" s="2" t="s">
        <v>271</v>
      </c>
      <c r="K61" s="2" t="s">
        <v>150</v>
      </c>
      <c r="L61" s="7" t="s">
        <v>270</v>
      </c>
      <c r="M61" s="2" t="s">
        <v>271</v>
      </c>
      <c r="N61" s="7" t="s">
        <v>270</v>
      </c>
      <c r="O61" s="2" t="s">
        <v>271</v>
      </c>
      <c r="P61" s="7" t="s">
        <v>270</v>
      </c>
      <c r="Q61" s="2" t="s">
        <v>271</v>
      </c>
      <c r="S61" s="2" t="s">
        <v>150</v>
      </c>
      <c r="T61" s="7" t="s">
        <v>103</v>
      </c>
      <c r="U61" s="2" t="s">
        <v>120</v>
      </c>
    </row>
    <row r="62" spans="1:21">
      <c r="A62" s="2" t="s">
        <v>107</v>
      </c>
      <c r="D62" s="8">
        <v>0.18920000000000001</v>
      </c>
      <c r="E62" s="8">
        <v>8.72E-2</v>
      </c>
      <c r="K62" s="2" t="s">
        <v>107</v>
      </c>
      <c r="L62" s="9">
        <f>ROUND(tab!$D$99*tab!D62,2)</f>
        <v>4004.19</v>
      </c>
      <c r="M62" s="9">
        <f>ROUND(tab!$D$99*tab!E62,2)</f>
        <v>1845.48</v>
      </c>
      <c r="N62" s="9">
        <f>ROUND(tab!D62*tab!$D$100,2)</f>
        <v>181.38</v>
      </c>
      <c r="O62" s="9">
        <f>ROUND(tab!E62*tab!$D$100,2)</f>
        <v>83.6</v>
      </c>
      <c r="P62" s="9">
        <f>+tab!E308</f>
        <v>1314.67</v>
      </c>
      <c r="Q62" s="9">
        <f>+tab!F308</f>
        <v>601.63</v>
      </c>
      <c r="S62" s="2" t="s">
        <v>107</v>
      </c>
      <c r="T62" s="9">
        <f>+tab!L62+ROUND(tab!N62*tab!$R$25,2)</f>
        <v>11469.79</v>
      </c>
      <c r="U62" s="9">
        <f>+tab!M62+ROUND(tab!O62*tab!$R$25,2)</f>
        <v>5286.46</v>
      </c>
    </row>
    <row r="63" spans="1:21">
      <c r="A63" s="2" t="s">
        <v>108</v>
      </c>
      <c r="D63" s="8">
        <v>8.5099999999999995E-2</v>
      </c>
      <c r="E63" s="8">
        <v>5.7000000000000002E-2</v>
      </c>
      <c r="K63" s="2" t="s">
        <v>108</v>
      </c>
      <c r="L63" s="9">
        <f>ROUND(tab!$D$99*tab!D63,2)</f>
        <v>1801.04</v>
      </c>
      <c r="M63" s="9">
        <f>ROUND(tab!$D$99*tab!E63,2)</f>
        <v>1206.33</v>
      </c>
      <c r="N63" s="9">
        <f>ROUND(tab!D63*tab!$D$100,2)</f>
        <v>81.58</v>
      </c>
      <c r="O63" s="9">
        <f>ROUND(tab!E63*tab!$D$100,2)</f>
        <v>54.65</v>
      </c>
      <c r="P63" s="9">
        <f>+tab!E309</f>
        <v>401.08</v>
      </c>
      <c r="Q63" s="9">
        <f>+tab!F309</f>
        <v>200.55</v>
      </c>
      <c r="S63" s="2" t="s">
        <v>108</v>
      </c>
      <c r="T63" s="9">
        <f>+tab!L63+ROUND(tab!N63*tab!$R$25,2)</f>
        <v>5158.87</v>
      </c>
      <c r="U63" s="9">
        <f>+tab!M63+ROUND(tab!O63*tab!$R$25,2)</f>
        <v>3455.72</v>
      </c>
    </row>
    <row r="64" spans="1:21">
      <c r="A64" s="2" t="s">
        <v>109</v>
      </c>
      <c r="D64" s="8">
        <v>8.5099999999999995E-2</v>
      </c>
      <c r="E64" s="8">
        <v>0</v>
      </c>
      <c r="K64" s="2" t="s">
        <v>109</v>
      </c>
      <c r="L64" s="9">
        <f>ROUND(tab!$D$99*tab!D64,2)</f>
        <v>1801.04</v>
      </c>
      <c r="M64" s="9">
        <f>ROUND(tab!$D$99*tab!E64,2)</f>
        <v>0</v>
      </c>
      <c r="N64" s="9">
        <f>ROUND(tab!D64*tab!$D$100,2)</f>
        <v>81.58</v>
      </c>
      <c r="O64" s="9">
        <f>ROUND(tab!E64*tab!$D$100,2)</f>
        <v>0</v>
      </c>
      <c r="P64" s="9">
        <f>+tab!E310</f>
        <v>401.08</v>
      </c>
      <c r="Q64" s="9">
        <f>+tab!F310</f>
        <v>200.55</v>
      </c>
      <c r="S64" s="2" t="s">
        <v>109</v>
      </c>
      <c r="T64" s="9">
        <f>+tab!L64+ROUND(tab!N64*tab!$R$25,2)</f>
        <v>5158.87</v>
      </c>
      <c r="U64" s="9">
        <f>+tab!M64+ROUND(tab!O64*tab!$R$25,2)</f>
        <v>0</v>
      </c>
    </row>
    <row r="65" spans="1:21">
      <c r="A65" s="2" t="s">
        <v>110</v>
      </c>
      <c r="D65" s="8">
        <v>8.5099999999999995E-2</v>
      </c>
      <c r="E65" s="8">
        <v>8.72E-2</v>
      </c>
      <c r="K65" s="2" t="s">
        <v>110</v>
      </c>
      <c r="L65" s="9">
        <f>ROUND(tab!$D$99*tab!D65,2)</f>
        <v>1801.04</v>
      </c>
      <c r="M65" s="9">
        <f>ROUND(tab!$D$99*tab!E65,2)</f>
        <v>1845.48</v>
      </c>
      <c r="N65" s="9">
        <f>ROUND(tab!D65*tab!$D$100,2)</f>
        <v>81.58</v>
      </c>
      <c r="O65" s="9">
        <f>ROUND(tab!E65*tab!$D$100,2)</f>
        <v>83.6</v>
      </c>
      <c r="P65" s="9">
        <f>+tab!E311</f>
        <v>503.56</v>
      </c>
      <c r="Q65" s="9">
        <f>+tab!F311</f>
        <v>503.55</v>
      </c>
      <c r="S65" s="2" t="s">
        <v>110</v>
      </c>
      <c r="T65" s="9">
        <f>+tab!L65+ROUND(tab!N65*tab!$R$25,2)</f>
        <v>5158.87</v>
      </c>
      <c r="U65" s="9">
        <f>+tab!M65+ROUND(tab!O65*tab!$R$25,2)</f>
        <v>5286.46</v>
      </c>
    </row>
    <row r="66" spans="1:21">
      <c r="A66" s="7" t="s">
        <v>112</v>
      </c>
      <c r="D66" s="8">
        <v>8.5099999999999995E-2</v>
      </c>
      <c r="E66" s="8">
        <v>5.7000000000000002E-2</v>
      </c>
      <c r="K66" s="7" t="s">
        <v>112</v>
      </c>
      <c r="L66" s="9">
        <f>ROUND(tab!$D$99*tab!D66,2)</f>
        <v>1801.04</v>
      </c>
      <c r="M66" s="9">
        <f>ROUND(tab!$D$99*tab!E66,2)</f>
        <v>1206.33</v>
      </c>
      <c r="N66" s="9">
        <f>ROUND(tab!D66*tab!$D$100,2)</f>
        <v>81.58</v>
      </c>
      <c r="O66" s="9">
        <f>ROUND(tab!E66*tab!$D$100,2)</f>
        <v>54.65</v>
      </c>
      <c r="P66" s="9">
        <f>+tab!E312</f>
        <v>392.18</v>
      </c>
      <c r="Q66" s="9">
        <f>+tab!F312</f>
        <v>262.5</v>
      </c>
      <c r="S66" s="7" t="s">
        <v>112</v>
      </c>
      <c r="T66" s="9">
        <f>+tab!L66+ROUND(tab!N66*tab!$R$25,2)</f>
        <v>5158.87</v>
      </c>
      <c r="U66" s="9">
        <f>+tab!M66+ROUND(tab!O66*tab!$R$25,2)</f>
        <v>3455.72</v>
      </c>
    </row>
    <row r="67" spans="1:21">
      <c r="A67" s="7" t="s">
        <v>113</v>
      </c>
      <c r="D67" s="8">
        <v>8.5099999999999995E-2</v>
      </c>
      <c r="E67" s="8">
        <v>5.7000000000000002E-2</v>
      </c>
      <c r="K67" s="7" t="s">
        <v>113</v>
      </c>
      <c r="L67" s="9">
        <f>ROUND(tab!$D$99*tab!D67,2)</f>
        <v>1801.04</v>
      </c>
      <c r="M67" s="9">
        <f>ROUND(tab!$D$99*tab!E67,2)</f>
        <v>1206.33</v>
      </c>
      <c r="N67" s="9">
        <f>ROUND(tab!D67*tab!$D$100,2)</f>
        <v>81.58</v>
      </c>
      <c r="O67" s="9">
        <f>ROUND(tab!E67*tab!$D$100,2)</f>
        <v>54.65</v>
      </c>
      <c r="P67" s="9">
        <f>+tab!E313</f>
        <v>482.6</v>
      </c>
      <c r="Q67" s="9">
        <f>+tab!F313</f>
        <v>268.72000000000003</v>
      </c>
      <c r="S67" s="7" t="s">
        <v>113</v>
      </c>
      <c r="T67" s="9">
        <f>+tab!L67+ROUND(tab!N67*tab!$R$25,2)</f>
        <v>5158.87</v>
      </c>
      <c r="U67" s="9">
        <f>+tab!M67+ROUND(tab!O67*tab!$R$25,2)</f>
        <v>3455.72</v>
      </c>
    </row>
    <row r="68" spans="1:21">
      <c r="A68" s="2" t="s">
        <v>111</v>
      </c>
      <c r="D68" s="8">
        <v>8.5099999999999995E-2</v>
      </c>
      <c r="E68" s="8">
        <v>5.7000000000000002E-2</v>
      </c>
      <c r="K68" s="2" t="s">
        <v>111</v>
      </c>
      <c r="L68" s="9">
        <f>ROUND(tab!$D$99*tab!D68,2)</f>
        <v>1801.04</v>
      </c>
      <c r="M68" s="9">
        <f>ROUND(tab!$D$99*tab!E68,2)</f>
        <v>1206.33</v>
      </c>
      <c r="N68" s="9">
        <f>ROUND(tab!D68*tab!$D$100,2)</f>
        <v>81.58</v>
      </c>
      <c r="O68" s="9">
        <f>ROUND(tab!E68*tab!$D$100,2)</f>
        <v>54.65</v>
      </c>
      <c r="P68" s="9">
        <f>+tab!E314</f>
        <v>196.08</v>
      </c>
      <c r="Q68" s="9">
        <f>+tab!F314</f>
        <v>129.22</v>
      </c>
      <c r="S68" s="2" t="s">
        <v>111</v>
      </c>
      <c r="T68" s="9">
        <f>+tab!L68+ROUND(tab!N68*tab!$R$25,2)</f>
        <v>5158.87</v>
      </c>
      <c r="U68" s="9">
        <f>+tab!M68+ROUND(tab!O68*tab!$R$25,2)</f>
        <v>3455.72</v>
      </c>
    </row>
    <row r="69" spans="1:21">
      <c r="A69" s="2" t="s">
        <v>114</v>
      </c>
      <c r="D69" s="8">
        <v>8.5099999999999995E-2</v>
      </c>
      <c r="E69" s="8">
        <v>5.7000000000000002E-2</v>
      </c>
      <c r="K69" s="2" t="s">
        <v>114</v>
      </c>
      <c r="L69" s="9">
        <f>ROUND(tab!$D$99*tab!D69,2)</f>
        <v>1801.04</v>
      </c>
      <c r="M69" s="9">
        <f>ROUND(tab!$D$99*tab!E69,2)</f>
        <v>1206.33</v>
      </c>
      <c r="N69" s="9">
        <f>ROUND(tab!D69*tab!$D$100,2)</f>
        <v>81.58</v>
      </c>
      <c r="O69" s="9">
        <f>ROUND(tab!E69*tab!$D$100,2)</f>
        <v>54.65</v>
      </c>
      <c r="P69" s="9">
        <f>+tab!E315</f>
        <v>482.6</v>
      </c>
      <c r="Q69" s="9">
        <f>+tab!F315</f>
        <v>268.72000000000003</v>
      </c>
      <c r="S69" s="2" t="s">
        <v>114</v>
      </c>
      <c r="T69" s="9">
        <f>+tab!L69+ROUND(tab!N69*tab!$R$25,2)</f>
        <v>5158.87</v>
      </c>
      <c r="U69" s="9">
        <f>+tab!M69+ROUND(tab!O69*tab!$R$25,2)</f>
        <v>3455.72</v>
      </c>
    </row>
    <row r="70" spans="1:21">
      <c r="A70" s="2" t="s">
        <v>115</v>
      </c>
      <c r="D70" s="8">
        <v>8.5099999999999995E-2</v>
      </c>
      <c r="E70" s="8">
        <v>5.7000000000000002E-2</v>
      </c>
      <c r="K70" s="2" t="s">
        <v>115</v>
      </c>
      <c r="L70" s="9">
        <f>ROUND(tab!$D$99*tab!D70,2)</f>
        <v>1801.04</v>
      </c>
      <c r="M70" s="9">
        <f>ROUND(tab!$D$99*tab!E70,2)</f>
        <v>1206.33</v>
      </c>
      <c r="N70" s="9">
        <f>ROUND(tab!D70*tab!$D$100,2)</f>
        <v>81.58</v>
      </c>
      <c r="O70" s="9">
        <f>ROUND(tab!E70*tab!$D$100,2)</f>
        <v>54.65</v>
      </c>
      <c r="P70" s="9">
        <f>+tab!E316</f>
        <v>482.6</v>
      </c>
      <c r="Q70" s="9">
        <f>+tab!F316</f>
        <v>268.72000000000003</v>
      </c>
      <c r="S70" s="2" t="s">
        <v>115</v>
      </c>
      <c r="T70" s="9">
        <f>+tab!L70+ROUND(tab!N70*tab!$R$25,2)</f>
        <v>5158.87</v>
      </c>
      <c r="U70" s="9">
        <f>+tab!M70+ROUND(tab!O70*tab!$R$25,2)</f>
        <v>3455.72</v>
      </c>
    </row>
    <row r="71" spans="1:21">
      <c r="A71" s="10" t="s">
        <v>117</v>
      </c>
      <c r="D71" s="8">
        <v>8.5099999999999995E-2</v>
      </c>
      <c r="E71" s="8">
        <v>5.7000000000000002E-2</v>
      </c>
      <c r="K71" s="11" t="s">
        <v>117</v>
      </c>
      <c r="L71" s="9">
        <f>ROUND(tab!$D$99*tab!D71,2)</f>
        <v>1801.04</v>
      </c>
      <c r="M71" s="9">
        <f>ROUND(tab!$D$99*tab!E71,2)</f>
        <v>1206.33</v>
      </c>
      <c r="N71" s="9">
        <f>ROUND(tab!D71*tab!$D$100,2)</f>
        <v>81.58</v>
      </c>
      <c r="O71" s="9">
        <f>ROUND(tab!E71*tab!$D$100,2)</f>
        <v>54.65</v>
      </c>
      <c r="P71" s="9">
        <f>+tab!E317</f>
        <v>392.18</v>
      </c>
      <c r="Q71" s="9">
        <f>+tab!F317</f>
        <v>262.5</v>
      </c>
      <c r="S71" s="11" t="s">
        <v>117</v>
      </c>
      <c r="T71" s="9">
        <f>+tab!L71+ROUND(tab!N71*tab!$R$25,2)</f>
        <v>5158.87</v>
      </c>
      <c r="U71" s="9">
        <f>+tab!M71+ROUND(tab!O71*tab!$R$25,2)</f>
        <v>3455.72</v>
      </c>
    </row>
    <row r="72" spans="1:21">
      <c r="A72" s="10" t="s">
        <v>118</v>
      </c>
      <c r="D72" s="8">
        <v>8.5099999999999995E-2</v>
      </c>
      <c r="E72" s="8">
        <v>5.7000000000000002E-2</v>
      </c>
      <c r="K72" s="11" t="s">
        <v>118</v>
      </c>
      <c r="L72" s="9">
        <f>ROUND(tab!$D$99*tab!D72,2)</f>
        <v>1801.04</v>
      </c>
      <c r="M72" s="9">
        <f>ROUND(tab!$D$99*tab!E72,2)</f>
        <v>1206.33</v>
      </c>
      <c r="N72" s="9">
        <f>ROUND(tab!D72*tab!$D$100,2)</f>
        <v>81.58</v>
      </c>
      <c r="O72" s="9">
        <f>ROUND(tab!E72*tab!$D$100,2)</f>
        <v>54.65</v>
      </c>
      <c r="P72" s="9">
        <f>+tab!E318</f>
        <v>392.18</v>
      </c>
      <c r="Q72" s="9">
        <f>+tab!F318</f>
        <v>262.5</v>
      </c>
      <c r="S72" s="11" t="s">
        <v>118</v>
      </c>
      <c r="T72" s="9">
        <f>+tab!L72+ROUND(tab!N72*tab!$R$25,2)</f>
        <v>5158.87</v>
      </c>
      <c r="U72" s="9">
        <f>+tab!M72+ROUND(tab!O72*tab!$R$25,2)</f>
        <v>3455.72</v>
      </c>
    </row>
    <row r="73" spans="1:21">
      <c r="A73" s="10" t="s">
        <v>116</v>
      </c>
      <c r="D73" s="8">
        <v>8.5099999999999995E-2</v>
      </c>
      <c r="E73" s="8">
        <v>5.7000000000000002E-2</v>
      </c>
      <c r="K73" s="11" t="s">
        <v>116</v>
      </c>
      <c r="L73" s="9">
        <f>ROUND(tab!$D$99*tab!D73,2)</f>
        <v>1801.04</v>
      </c>
      <c r="M73" s="9">
        <f>ROUND(tab!$D$99*tab!E73,2)</f>
        <v>1206.33</v>
      </c>
      <c r="N73" s="9">
        <f>ROUND(tab!D73*tab!$D$100,2)</f>
        <v>81.58</v>
      </c>
      <c r="O73" s="9">
        <f>ROUND(tab!E73*tab!$D$100,2)</f>
        <v>54.65</v>
      </c>
      <c r="P73" s="9">
        <f>+tab!E319</f>
        <v>392.18</v>
      </c>
      <c r="Q73" s="9">
        <f>+tab!F319</f>
        <v>262.5</v>
      </c>
      <c r="S73" s="11" t="s">
        <v>116</v>
      </c>
      <c r="T73" s="9">
        <f>+tab!L73+ROUND(tab!N73*tab!$R$25,2)</f>
        <v>5158.87</v>
      </c>
      <c r="U73" s="9">
        <f>+tab!M73+ROUND(tab!O73*tab!$R$25,2)</f>
        <v>3455.72</v>
      </c>
    </row>
    <row r="74" spans="1:21">
      <c r="A74" s="10" t="s">
        <v>119</v>
      </c>
      <c r="D74" s="8">
        <v>8.5099999999999995E-2</v>
      </c>
      <c r="E74" s="8">
        <v>5.7000000000000002E-2</v>
      </c>
      <c r="K74" s="11" t="s">
        <v>119</v>
      </c>
      <c r="L74" s="9">
        <f>ROUND(tab!$D$99*tab!D74,2)</f>
        <v>1801.04</v>
      </c>
      <c r="M74" s="9">
        <f>ROUND(tab!$D$99*tab!E74,2)</f>
        <v>1206.33</v>
      </c>
      <c r="N74" s="9">
        <f>ROUND(tab!D74*tab!$D$100,2)</f>
        <v>81.58</v>
      </c>
      <c r="O74" s="9">
        <f>ROUND(tab!E74*tab!$D$100,2)</f>
        <v>54.65</v>
      </c>
      <c r="P74" s="9">
        <f>+tab!E320</f>
        <v>392.18</v>
      </c>
      <c r="Q74" s="9">
        <f>+tab!F320</f>
        <v>262.5</v>
      </c>
      <c r="S74" s="11" t="s">
        <v>119</v>
      </c>
      <c r="T74" s="9">
        <f>+tab!L74+ROUND(tab!N74*tab!$R$25,2)</f>
        <v>5158.87</v>
      </c>
      <c r="U74" s="9">
        <f>+tab!M74+ROUND(tab!O74*tab!$R$25,2)</f>
        <v>3455.72</v>
      </c>
    </row>
    <row r="75" spans="1:21">
      <c r="P75" s="2" t="s">
        <v>198</v>
      </c>
    </row>
    <row r="77" spans="1:21">
      <c r="A77" s="2" t="s">
        <v>275</v>
      </c>
      <c r="D77" s="9">
        <f>ROUND(tab!D99*tab!$D$84,2)</f>
        <v>24833.57</v>
      </c>
    </row>
    <row r="78" spans="1:21">
      <c r="A78" s="2" t="s">
        <v>274</v>
      </c>
      <c r="D78" s="9">
        <f>ROUND(tab!D100*tab!$D$84,2)</f>
        <v>1124.93</v>
      </c>
    </row>
    <row r="79" spans="1:21">
      <c r="A79" s="2" t="s">
        <v>276</v>
      </c>
      <c r="D79" s="9">
        <f>ROUND(tab!$D$83*tab!D99,2)</f>
        <v>814.81</v>
      </c>
    </row>
    <row r="80" spans="1:21">
      <c r="A80" s="2" t="s">
        <v>277</v>
      </c>
      <c r="D80" s="9">
        <f>ROUND(tab!$D$83*tab!D100,2)</f>
        <v>36.909999999999997</v>
      </c>
    </row>
    <row r="83" spans="1:15">
      <c r="A83" s="7" t="s">
        <v>154</v>
      </c>
      <c r="D83" s="8">
        <v>3.85E-2</v>
      </c>
    </row>
    <row r="84" spans="1:15">
      <c r="A84" s="7" t="s">
        <v>155</v>
      </c>
      <c r="D84" s="8">
        <v>1.1734</v>
      </c>
    </row>
    <row r="85" spans="1:15">
      <c r="K85" s="13" t="s">
        <v>176</v>
      </c>
    </row>
    <row r="86" spans="1:15">
      <c r="A86" s="2" t="s">
        <v>156</v>
      </c>
      <c r="K86" s="7" t="s">
        <v>157</v>
      </c>
      <c r="L86" s="2" t="s">
        <v>158</v>
      </c>
      <c r="M86" s="2" t="s">
        <v>159</v>
      </c>
      <c r="N86" s="7" t="s">
        <v>160</v>
      </c>
      <c r="O86" s="7" t="s">
        <v>161</v>
      </c>
    </row>
    <row r="87" spans="1:15">
      <c r="A87" s="7" t="s">
        <v>157</v>
      </c>
      <c r="D87" s="2" t="s">
        <v>158</v>
      </c>
      <c r="E87" s="2" t="s">
        <v>159</v>
      </c>
      <c r="F87" s="7" t="s">
        <v>160</v>
      </c>
      <c r="G87" s="2" t="s">
        <v>161</v>
      </c>
      <c r="K87" s="7">
        <v>0</v>
      </c>
      <c r="L87" s="2">
        <v>0</v>
      </c>
      <c r="M87" s="2">
        <v>0</v>
      </c>
      <c r="N87" s="7">
        <v>0</v>
      </c>
      <c r="O87" s="7">
        <v>0</v>
      </c>
    </row>
    <row r="88" spans="1:15">
      <c r="A88" s="7" t="s">
        <v>162</v>
      </c>
      <c r="D88" s="2">
        <v>1</v>
      </c>
      <c r="E88" s="2">
        <v>1</v>
      </c>
      <c r="F88" s="2">
        <v>2</v>
      </c>
      <c r="G88" s="2">
        <v>2</v>
      </c>
      <c r="K88" s="7">
        <v>1</v>
      </c>
      <c r="L88" s="9">
        <f>(tab!$D$88*tab!D95)+$D$96</f>
        <v>20241.28</v>
      </c>
      <c r="M88" s="9">
        <f>(tab!$E$88*tab!D95)+$D$96</f>
        <v>20241.28</v>
      </c>
      <c r="N88" s="9">
        <f>(tab!$F$88*tab!D95)+$D$96</f>
        <v>37994.559999999998</v>
      </c>
      <c r="O88" s="9">
        <f>(tab!$G$88*tab!D95)+$D$96</f>
        <v>37994.559999999998</v>
      </c>
    </row>
    <row r="89" spans="1:15">
      <c r="A89" s="7" t="s">
        <v>163</v>
      </c>
      <c r="D89" s="2">
        <v>2</v>
      </c>
      <c r="E89" s="2">
        <v>3</v>
      </c>
      <c r="F89" s="2">
        <v>2</v>
      </c>
      <c r="G89" s="2">
        <v>3</v>
      </c>
      <c r="K89" s="7">
        <v>50</v>
      </c>
      <c r="L89" s="9">
        <f>(tab!$D$89*tab!D95)+$D$96</f>
        <v>37994.559999999998</v>
      </c>
      <c r="M89" s="9">
        <f>(tab!$E$89*tab!D95)+$D$96</f>
        <v>55747.839999999997</v>
      </c>
      <c r="N89" s="9">
        <f>(tab!$F$89*tab!D95)+$D$96</f>
        <v>37994.559999999998</v>
      </c>
      <c r="O89" s="9">
        <f>(tab!$G$89*tab!D95)+$D$96</f>
        <v>55747.839999999997</v>
      </c>
    </row>
    <row r="92" spans="1:15">
      <c r="A92" s="2" t="s">
        <v>164</v>
      </c>
    </row>
    <row r="93" spans="1:15">
      <c r="A93" s="2" t="s">
        <v>165</v>
      </c>
      <c r="D93" s="58">
        <v>78376.69</v>
      </c>
    </row>
    <row r="94" spans="1:15">
      <c r="A94" s="2" t="s">
        <v>166</v>
      </c>
      <c r="D94" s="58">
        <v>60623.41</v>
      </c>
    </row>
    <row r="95" spans="1:15">
      <c r="A95" s="2" t="s">
        <v>167</v>
      </c>
      <c r="D95" s="64">
        <f>+D93-D94</f>
        <v>17753.28</v>
      </c>
    </row>
    <row r="96" spans="1:15">
      <c r="A96" s="2" t="s">
        <v>737</v>
      </c>
      <c r="D96" s="58">
        <v>2488</v>
      </c>
    </row>
    <row r="97" spans="1:6">
      <c r="D97" s="9"/>
    </row>
    <row r="98" spans="1:6">
      <c r="A98" s="2" t="s">
        <v>168</v>
      </c>
      <c r="D98" s="58">
        <v>36356.82</v>
      </c>
    </row>
    <row r="99" spans="1:6">
      <c r="A99" s="2" t="s">
        <v>170</v>
      </c>
      <c r="D99" s="58">
        <v>21163.77</v>
      </c>
    </row>
    <row r="100" spans="1:6">
      <c r="A100" s="7" t="s">
        <v>171</v>
      </c>
      <c r="D100" s="58">
        <v>958.69</v>
      </c>
    </row>
    <row r="101" spans="1:6">
      <c r="A101" s="7" t="s">
        <v>172</v>
      </c>
      <c r="D101" s="57">
        <v>41.16</v>
      </c>
    </row>
    <row r="103" spans="1:6">
      <c r="A103" s="1072" t="s">
        <v>834</v>
      </c>
      <c r="B103" s="1073"/>
      <c r="C103" s="1074"/>
      <c r="D103" s="1072"/>
      <c r="E103" s="1072"/>
    </row>
    <row r="104" spans="1:6">
      <c r="A104" s="1075" t="s">
        <v>816</v>
      </c>
      <c r="B104" s="1076"/>
      <c r="C104" s="1077"/>
      <c r="D104" s="1089">
        <v>113.23</v>
      </c>
      <c r="E104" s="1081"/>
    </row>
    <row r="105" spans="1:6">
      <c r="A105" s="1" t="s">
        <v>817</v>
      </c>
      <c r="B105" s="1079"/>
      <c r="C105" s="1080"/>
      <c r="D105" s="1089">
        <v>3396</v>
      </c>
      <c r="E105" s="1078"/>
    </row>
    <row r="108" spans="1:6">
      <c r="A108" s="2" t="s">
        <v>326</v>
      </c>
      <c r="D108" s="14">
        <v>0.6</v>
      </c>
      <c r="F108" s="15"/>
    </row>
    <row r="109" spans="1:6">
      <c r="A109" s="2" t="s">
        <v>327</v>
      </c>
      <c r="D109" s="14">
        <v>0.35</v>
      </c>
    </row>
    <row r="110" spans="1:6">
      <c r="A110" s="2" t="s">
        <v>328</v>
      </c>
      <c r="D110" s="16">
        <f>D108-D109</f>
        <v>0.25</v>
      </c>
      <c r="E110" s="47">
        <f>(1+$D$108-D109)/(1+$D$108)</f>
        <v>0.78125</v>
      </c>
    </row>
    <row r="111" spans="1:6">
      <c r="A111" s="2" t="s">
        <v>326</v>
      </c>
      <c r="D111" s="15">
        <f>tab!D108</f>
        <v>0.6</v>
      </c>
    </row>
    <row r="112" spans="1:6">
      <c r="A112" s="2" t="s">
        <v>327</v>
      </c>
      <c r="D112" s="14">
        <v>0.25</v>
      </c>
      <c r="E112" s="47">
        <f>(1+$D$108-D112)/(1+$D$108)</f>
        <v>0.84375</v>
      </c>
    </row>
    <row r="113" spans="1:24">
      <c r="A113" s="2" t="s">
        <v>328</v>
      </c>
      <c r="D113" s="16">
        <f>D111-D112</f>
        <v>0.35</v>
      </c>
      <c r="E113" s="47"/>
    </row>
    <row r="116" spans="1:24">
      <c r="A116" s="980" t="s">
        <v>329</v>
      </c>
      <c r="B116" s="6"/>
      <c r="C116" s="1180">
        <v>40909</v>
      </c>
      <c r="D116" s="1180"/>
      <c r="E116" s="6"/>
    </row>
    <row r="117" spans="1:24">
      <c r="C117" s="17"/>
    </row>
    <row r="118" spans="1:24">
      <c r="A118" s="6" t="s">
        <v>330</v>
      </c>
      <c r="B118" s="6"/>
      <c r="C118" s="18"/>
      <c r="D118" s="19">
        <v>1</v>
      </c>
      <c r="E118" s="19">
        <v>2</v>
      </c>
      <c r="F118" s="19">
        <v>3</v>
      </c>
      <c r="G118" s="19">
        <v>4</v>
      </c>
      <c r="H118" s="19">
        <v>5</v>
      </c>
      <c r="I118" s="19">
        <v>6</v>
      </c>
      <c r="J118" s="19">
        <v>7</v>
      </c>
      <c r="K118" s="19">
        <v>8</v>
      </c>
      <c r="L118" s="19">
        <v>9</v>
      </c>
      <c r="M118" s="19">
        <v>10</v>
      </c>
      <c r="N118" s="19">
        <v>11</v>
      </c>
      <c r="O118" s="19">
        <v>12</v>
      </c>
      <c r="P118" s="19">
        <v>13</v>
      </c>
      <c r="Q118" s="19">
        <v>14</v>
      </c>
      <c r="R118" s="19">
        <v>15</v>
      </c>
      <c r="S118" s="19">
        <v>16</v>
      </c>
      <c r="T118" s="19">
        <v>17</v>
      </c>
      <c r="U118" s="19">
        <v>18</v>
      </c>
      <c r="V118" s="19">
        <v>19</v>
      </c>
      <c r="W118" s="19">
        <v>20</v>
      </c>
      <c r="X118" s="19" t="s">
        <v>331</v>
      </c>
    </row>
    <row r="119" spans="1:24">
      <c r="A119" s="20" t="s">
        <v>332</v>
      </c>
      <c r="B119" s="20"/>
      <c r="D119" s="1086">
        <v>2332</v>
      </c>
      <c r="E119" s="1086">
        <v>2439</v>
      </c>
      <c r="F119" s="1086">
        <v>2549</v>
      </c>
      <c r="G119" s="1086">
        <v>2666</v>
      </c>
      <c r="H119" s="1086">
        <v>2797</v>
      </c>
      <c r="I119" s="1086">
        <v>2908</v>
      </c>
      <c r="J119" s="1086">
        <v>3022</v>
      </c>
      <c r="K119" s="1086">
        <v>3129</v>
      </c>
      <c r="L119" s="1086">
        <v>3235</v>
      </c>
      <c r="M119" s="1086">
        <v>3353</v>
      </c>
      <c r="N119" s="1086">
        <v>3456</v>
      </c>
      <c r="O119" s="1086"/>
      <c r="P119" s="1086"/>
      <c r="Q119" s="1086"/>
      <c r="R119" s="1086"/>
      <c r="S119" s="1086"/>
      <c r="T119" s="1086"/>
      <c r="U119" s="1086"/>
      <c r="V119" s="1086"/>
      <c r="W119" s="1086"/>
      <c r="X119" s="46">
        <f t="shared" ref="X119:X159" si="0">COUNTA(D119:W119)</f>
        <v>11</v>
      </c>
    </row>
    <row r="120" spans="1:24">
      <c r="A120" s="20" t="s">
        <v>333</v>
      </c>
      <c r="B120" s="20"/>
      <c r="D120" s="1086">
        <v>2385</v>
      </c>
      <c r="E120" s="1086">
        <v>2493</v>
      </c>
      <c r="F120" s="1086">
        <v>2611</v>
      </c>
      <c r="G120" s="1086">
        <v>2741</v>
      </c>
      <c r="H120" s="1086">
        <v>2852</v>
      </c>
      <c r="I120" s="1086">
        <v>2966</v>
      </c>
      <c r="J120" s="1086">
        <v>3072</v>
      </c>
      <c r="K120" s="1086">
        <v>3179</v>
      </c>
      <c r="L120" s="1086">
        <v>3294</v>
      </c>
      <c r="M120" s="1086">
        <v>3400</v>
      </c>
      <c r="N120" s="1086">
        <v>3503</v>
      </c>
      <c r="O120" s="1086">
        <v>3608</v>
      </c>
      <c r="P120" s="1086">
        <v>3723</v>
      </c>
      <c r="Q120" s="1086"/>
      <c r="R120" s="1086"/>
      <c r="S120" s="1086"/>
      <c r="T120" s="1086"/>
      <c r="U120" s="1086"/>
      <c r="V120" s="1086"/>
      <c r="W120" s="1086"/>
      <c r="X120" s="46">
        <f t="shared" si="0"/>
        <v>13</v>
      </c>
    </row>
    <row r="121" spans="1:24">
      <c r="A121" s="20" t="s">
        <v>334</v>
      </c>
      <c r="B121" s="20"/>
      <c r="D121" s="1086">
        <v>2436</v>
      </c>
      <c r="E121" s="1086">
        <v>2556</v>
      </c>
      <c r="F121" s="1086">
        <v>2683</v>
      </c>
      <c r="G121" s="1086">
        <v>2797</v>
      </c>
      <c r="H121" s="1086">
        <v>2909</v>
      </c>
      <c r="I121" s="1086">
        <v>3018</v>
      </c>
      <c r="J121" s="1086">
        <v>3123</v>
      </c>
      <c r="K121" s="1086">
        <v>3240</v>
      </c>
      <c r="L121" s="1086">
        <v>3344</v>
      </c>
      <c r="M121" s="1086">
        <v>3449</v>
      </c>
      <c r="N121" s="1086">
        <v>3554</v>
      </c>
      <c r="O121" s="1086">
        <v>3669</v>
      </c>
      <c r="P121" s="1086">
        <v>3786</v>
      </c>
      <c r="Q121" s="1086">
        <v>3897</v>
      </c>
      <c r="R121" s="1086">
        <v>4006</v>
      </c>
      <c r="S121" s="1086">
        <v>4114</v>
      </c>
      <c r="T121" s="1086">
        <v>4220</v>
      </c>
      <c r="U121" s="1086">
        <v>4275</v>
      </c>
      <c r="V121" s="1086"/>
      <c r="W121" s="1086"/>
      <c r="X121" s="46">
        <f t="shared" si="0"/>
        <v>18</v>
      </c>
    </row>
    <row r="122" spans="1:24">
      <c r="A122" s="20" t="s">
        <v>335</v>
      </c>
      <c r="B122" s="20"/>
      <c r="D122" s="1086">
        <v>2556</v>
      </c>
      <c r="E122" s="1086">
        <v>2683</v>
      </c>
      <c r="F122" s="1086">
        <v>2909</v>
      </c>
      <c r="G122" s="1086">
        <v>3123</v>
      </c>
      <c r="H122" s="1086">
        <v>3240</v>
      </c>
      <c r="I122" s="1086">
        <v>3344</v>
      </c>
      <c r="J122" s="1086">
        <v>3449</v>
      </c>
      <c r="K122" s="1086">
        <v>3554</v>
      </c>
      <c r="L122" s="1086">
        <v>3669</v>
      </c>
      <c r="M122" s="1086">
        <v>3786</v>
      </c>
      <c r="N122" s="1086">
        <v>3897</v>
      </c>
      <c r="O122" s="1086">
        <v>4006</v>
      </c>
      <c r="P122" s="1086">
        <v>4114</v>
      </c>
      <c r="Q122" s="1086">
        <v>4220</v>
      </c>
      <c r="R122" s="1086">
        <v>4331</v>
      </c>
      <c r="S122" s="1086">
        <v>4441</v>
      </c>
      <c r="T122" s="1086">
        <v>4545</v>
      </c>
      <c r="U122" s="1086">
        <v>4655</v>
      </c>
      <c r="V122" s="1086">
        <v>4792</v>
      </c>
      <c r="W122" s="1086">
        <v>4859</v>
      </c>
      <c r="X122" s="46">
        <f t="shared" si="0"/>
        <v>20</v>
      </c>
    </row>
    <row r="123" spans="1:24">
      <c r="A123" s="20" t="s">
        <v>336</v>
      </c>
      <c r="B123" s="20"/>
      <c r="D123" s="1086">
        <v>2683</v>
      </c>
      <c r="E123" s="1086">
        <v>2909</v>
      </c>
      <c r="F123" s="1086">
        <v>3123</v>
      </c>
      <c r="G123" s="1086">
        <v>3344</v>
      </c>
      <c r="H123" s="1086">
        <v>3554</v>
      </c>
      <c r="I123" s="1086">
        <v>2622</v>
      </c>
      <c r="J123" s="1086">
        <v>3897</v>
      </c>
      <c r="K123" s="1086">
        <v>4006</v>
      </c>
      <c r="L123" s="1086">
        <v>4114</v>
      </c>
      <c r="M123" s="1086">
        <v>4220</v>
      </c>
      <c r="N123" s="1086">
        <v>4331</v>
      </c>
      <c r="O123" s="1086">
        <v>4441</v>
      </c>
      <c r="P123" s="1086">
        <v>4545</v>
      </c>
      <c r="Q123" s="1086">
        <v>4655</v>
      </c>
      <c r="R123" s="1086">
        <v>4792</v>
      </c>
      <c r="S123" s="1086">
        <v>4927</v>
      </c>
      <c r="T123" s="1086">
        <v>5064</v>
      </c>
      <c r="U123" s="1086">
        <v>5201</v>
      </c>
      <c r="V123" s="1086">
        <v>5266</v>
      </c>
      <c r="W123" s="1086"/>
      <c r="X123" s="46">
        <f t="shared" si="0"/>
        <v>19</v>
      </c>
    </row>
    <row r="124" spans="1:24">
      <c r="A124" s="20" t="s">
        <v>337</v>
      </c>
      <c r="B124" s="20"/>
      <c r="D124" s="1086">
        <v>2605</v>
      </c>
      <c r="E124" s="1086">
        <v>2707</v>
      </c>
      <c r="F124" s="1086">
        <v>2811</v>
      </c>
      <c r="G124" s="1086">
        <v>2912</v>
      </c>
      <c r="H124" s="1086">
        <v>3014</v>
      </c>
      <c r="I124" s="1086">
        <v>3118</v>
      </c>
      <c r="J124" s="1086">
        <v>3220</v>
      </c>
      <c r="K124" s="1086">
        <v>3323</v>
      </c>
      <c r="L124" s="1086">
        <v>3424</v>
      </c>
      <c r="M124" s="1086">
        <v>3527</v>
      </c>
      <c r="N124" s="1086">
        <v>3631</v>
      </c>
      <c r="O124" s="1086">
        <v>3733</v>
      </c>
      <c r="P124" s="1086">
        <v>3837</v>
      </c>
      <c r="Q124" s="1086"/>
      <c r="R124" s="1086"/>
      <c r="S124" s="1086"/>
      <c r="T124" s="1086"/>
      <c r="U124" s="1086"/>
      <c r="V124" s="1086"/>
      <c r="W124" s="1086"/>
      <c r="X124" s="46">
        <f t="shared" si="0"/>
        <v>13</v>
      </c>
    </row>
    <row r="125" spans="1:24">
      <c r="A125" s="20" t="s">
        <v>338</v>
      </c>
      <c r="B125" s="20"/>
      <c r="C125" s="6"/>
      <c r="D125" s="1086">
        <v>2707</v>
      </c>
      <c r="E125" s="1086">
        <v>2912</v>
      </c>
      <c r="F125" s="1086">
        <v>3118</v>
      </c>
      <c r="G125" s="1086">
        <v>3220</v>
      </c>
      <c r="H125" s="1086">
        <v>3323</v>
      </c>
      <c r="I125" s="1086">
        <v>3424</v>
      </c>
      <c r="J125" s="1086">
        <v>3527</v>
      </c>
      <c r="K125" s="1086">
        <v>3631</v>
      </c>
      <c r="L125" s="1086">
        <v>3733</v>
      </c>
      <c r="M125" s="1086">
        <v>3837</v>
      </c>
      <c r="N125" s="1086">
        <v>3940</v>
      </c>
      <c r="O125" s="1086">
        <v>4041</v>
      </c>
      <c r="P125" s="1086">
        <v>4144</v>
      </c>
      <c r="Q125" s="1086">
        <v>4245</v>
      </c>
      <c r="R125" s="1086">
        <v>4350</v>
      </c>
      <c r="S125" s="1086"/>
      <c r="T125" s="1086"/>
      <c r="U125" s="1086"/>
      <c r="V125" s="1086"/>
      <c r="W125" s="1086"/>
      <c r="X125" s="46">
        <f t="shared" si="0"/>
        <v>15</v>
      </c>
    </row>
    <row r="126" spans="1:24">
      <c r="A126" s="20" t="s">
        <v>339</v>
      </c>
      <c r="B126" s="20"/>
      <c r="C126" s="6"/>
      <c r="D126" s="1086">
        <v>2707</v>
      </c>
      <c r="E126" s="1086">
        <v>2912</v>
      </c>
      <c r="F126" s="1086">
        <v>3118</v>
      </c>
      <c r="G126" s="1086">
        <v>3220</v>
      </c>
      <c r="H126" s="1086">
        <v>3323</v>
      </c>
      <c r="I126" s="1086">
        <v>3424</v>
      </c>
      <c r="J126" s="1086">
        <v>3527</v>
      </c>
      <c r="K126" s="1086">
        <v>3631</v>
      </c>
      <c r="L126" s="1086">
        <v>3733</v>
      </c>
      <c r="M126" s="1086">
        <v>3837</v>
      </c>
      <c r="N126" s="1086">
        <v>3940</v>
      </c>
      <c r="O126" s="1086">
        <v>4041</v>
      </c>
      <c r="P126" s="1086">
        <v>4144</v>
      </c>
      <c r="Q126" s="1086">
        <v>4245</v>
      </c>
      <c r="R126" s="1086">
        <v>4350</v>
      </c>
      <c r="S126" s="1086">
        <v>4452</v>
      </c>
      <c r="T126" s="1086">
        <v>4555</v>
      </c>
      <c r="U126" s="1086"/>
      <c r="V126" s="1086"/>
      <c r="W126" s="1086"/>
      <c r="X126" s="46">
        <f t="shared" si="0"/>
        <v>17</v>
      </c>
    </row>
    <row r="127" spans="1:24">
      <c r="A127" s="20" t="s">
        <v>320</v>
      </c>
      <c r="B127" s="20"/>
      <c r="D127" s="1086">
        <v>2811</v>
      </c>
      <c r="E127" s="1086">
        <v>3118</v>
      </c>
      <c r="F127" s="1086">
        <v>3323</v>
      </c>
      <c r="G127" s="1086">
        <v>3527</v>
      </c>
      <c r="H127" s="1086">
        <v>3733</v>
      </c>
      <c r="I127" s="1086">
        <v>3837</v>
      </c>
      <c r="J127" s="1086">
        <v>3940</v>
      </c>
      <c r="K127" s="1086">
        <v>4041</v>
      </c>
      <c r="L127" s="1086">
        <v>4144</v>
      </c>
      <c r="M127" s="1086">
        <v>4245</v>
      </c>
      <c r="N127" s="1086">
        <v>4350</v>
      </c>
      <c r="O127" s="1086">
        <v>4452</v>
      </c>
      <c r="P127" s="1086">
        <v>4555</v>
      </c>
      <c r="Q127" s="1086">
        <v>4656</v>
      </c>
      <c r="R127" s="1086">
        <v>4759</v>
      </c>
      <c r="S127" s="1086">
        <v>4863</v>
      </c>
      <c r="T127" s="1086"/>
      <c r="U127" s="1086"/>
      <c r="V127" s="1086"/>
      <c r="W127" s="1086"/>
      <c r="X127" s="46">
        <f t="shared" si="0"/>
        <v>16</v>
      </c>
    </row>
    <row r="128" spans="1:24">
      <c r="A128" s="20" t="s">
        <v>340</v>
      </c>
      <c r="B128" s="20"/>
      <c r="D128" s="1086">
        <v>2811</v>
      </c>
      <c r="E128" s="1086">
        <v>3118</v>
      </c>
      <c r="F128" s="1086">
        <v>3323</v>
      </c>
      <c r="G128" s="1086">
        <v>3527</v>
      </c>
      <c r="H128" s="1086">
        <v>3733</v>
      </c>
      <c r="I128" s="1086">
        <v>3837</v>
      </c>
      <c r="J128" s="1086">
        <v>3940</v>
      </c>
      <c r="K128" s="1086">
        <v>4041</v>
      </c>
      <c r="L128" s="1086">
        <v>4144</v>
      </c>
      <c r="M128" s="1086">
        <v>4245</v>
      </c>
      <c r="N128" s="1086">
        <v>4350</v>
      </c>
      <c r="O128" s="1086">
        <v>4452</v>
      </c>
      <c r="P128" s="1086">
        <v>4555</v>
      </c>
      <c r="Q128" s="1086">
        <v>4656</v>
      </c>
      <c r="R128" s="1086">
        <v>4759</v>
      </c>
      <c r="S128" s="1086">
        <v>4863</v>
      </c>
      <c r="T128" s="1086">
        <v>4965</v>
      </c>
      <c r="U128" s="1086">
        <v>5067</v>
      </c>
      <c r="V128" s="1086"/>
      <c r="W128" s="1086"/>
      <c r="X128" s="46">
        <f t="shared" si="0"/>
        <v>18</v>
      </c>
    </row>
    <row r="129" spans="1:24">
      <c r="A129" s="20" t="s">
        <v>341</v>
      </c>
      <c r="B129" s="20"/>
      <c r="D129" s="1086">
        <v>2854</v>
      </c>
      <c r="E129" s="1086">
        <v>3067</v>
      </c>
      <c r="F129" s="1086">
        <v>3285</v>
      </c>
      <c r="G129" s="1086">
        <v>3494</v>
      </c>
      <c r="H129" s="1086">
        <v>3725</v>
      </c>
      <c r="I129" s="1086">
        <v>3837</v>
      </c>
      <c r="J129" s="1086">
        <v>3944</v>
      </c>
      <c r="K129" s="1086">
        <v>4053</v>
      </c>
      <c r="L129" s="1086">
        <v>4157</v>
      </c>
      <c r="M129" s="1086">
        <v>4269</v>
      </c>
      <c r="N129" s="1086">
        <v>4377</v>
      </c>
      <c r="O129" s="1086">
        <v>4482</v>
      </c>
      <c r="P129" s="1086">
        <v>4590</v>
      </c>
      <c r="Q129" s="1086">
        <v>4726</v>
      </c>
      <c r="R129" s="1086">
        <v>4862</v>
      </c>
      <c r="S129" s="1086">
        <v>4997</v>
      </c>
      <c r="T129" s="1086">
        <v>5133</v>
      </c>
      <c r="U129" s="1086">
        <v>5198</v>
      </c>
      <c r="V129" s="1086"/>
      <c r="W129" s="1086"/>
      <c r="X129" s="46">
        <f t="shared" si="0"/>
        <v>18</v>
      </c>
    </row>
    <row r="130" spans="1:24">
      <c r="A130" s="20" t="s">
        <v>342</v>
      </c>
      <c r="B130" s="20"/>
      <c r="C130" s="6"/>
      <c r="D130" s="1086">
        <v>2961</v>
      </c>
      <c r="E130" s="1086">
        <v>3182</v>
      </c>
      <c r="F130" s="1086">
        <v>3390</v>
      </c>
      <c r="G130" s="1086">
        <v>3609</v>
      </c>
      <c r="H130" s="1086">
        <v>3837</v>
      </c>
      <c r="I130" s="1086">
        <v>4053</v>
      </c>
      <c r="J130" s="1086">
        <v>4269</v>
      </c>
      <c r="K130" s="1086">
        <v>4377</v>
      </c>
      <c r="L130" s="1086">
        <v>4482</v>
      </c>
      <c r="M130" s="1086">
        <v>4590</v>
      </c>
      <c r="N130" s="1086">
        <v>4726</v>
      </c>
      <c r="O130" s="1086">
        <v>4862</v>
      </c>
      <c r="P130" s="1086">
        <v>4997</v>
      </c>
      <c r="Q130" s="1086">
        <v>5133</v>
      </c>
      <c r="R130" s="1086">
        <v>5270</v>
      </c>
      <c r="S130" s="1086">
        <v>5414</v>
      </c>
      <c r="T130" s="1086">
        <v>5561</v>
      </c>
      <c r="U130" s="1086">
        <v>5713</v>
      </c>
      <c r="V130" s="1086"/>
      <c r="W130" s="1086"/>
      <c r="X130" s="46">
        <f t="shared" si="0"/>
        <v>18</v>
      </c>
    </row>
    <row r="131" spans="1:24">
      <c r="A131" s="1" t="s">
        <v>343</v>
      </c>
      <c r="D131" s="1087">
        <f>+D146</f>
        <v>1456.2</v>
      </c>
      <c r="E131" s="1087">
        <f t="shared" ref="E131:K133" si="1">+E146</f>
        <v>1477</v>
      </c>
      <c r="F131" s="1087">
        <f t="shared" si="1"/>
        <v>1538</v>
      </c>
      <c r="G131" s="1087">
        <f t="shared" si="1"/>
        <v>1566</v>
      </c>
      <c r="H131" s="1087">
        <f t="shared" si="1"/>
        <v>1598</v>
      </c>
      <c r="I131" s="1087">
        <f t="shared" si="1"/>
        <v>1631</v>
      </c>
      <c r="J131" s="1087">
        <f t="shared" si="1"/>
        <v>1674</v>
      </c>
      <c r="K131" s="1086"/>
      <c r="L131" s="1086"/>
      <c r="M131" s="1086"/>
      <c r="N131" s="1086"/>
      <c r="O131" s="1086"/>
      <c r="P131" s="1086"/>
      <c r="Q131" s="1086"/>
      <c r="R131" s="1086"/>
      <c r="S131" s="1086"/>
      <c r="T131" s="1086"/>
      <c r="U131" s="1086"/>
      <c r="V131" s="1086"/>
      <c r="W131" s="1086"/>
      <c r="X131" s="46">
        <f t="shared" si="0"/>
        <v>7</v>
      </c>
    </row>
    <row r="132" spans="1:24">
      <c r="A132" s="2" t="s">
        <v>344</v>
      </c>
      <c r="D132" s="1087">
        <f>+D147</f>
        <v>1456.2</v>
      </c>
      <c r="E132" s="1087">
        <f t="shared" si="1"/>
        <v>1508</v>
      </c>
      <c r="F132" s="1087">
        <f t="shared" si="1"/>
        <v>1566</v>
      </c>
      <c r="G132" s="1087">
        <f t="shared" si="1"/>
        <v>1631</v>
      </c>
      <c r="H132" s="1087">
        <f t="shared" si="1"/>
        <v>1674</v>
      </c>
      <c r="I132" s="1087">
        <f t="shared" si="1"/>
        <v>1723</v>
      </c>
      <c r="J132" s="1087">
        <f t="shared" si="1"/>
        <v>1783</v>
      </c>
      <c r="K132" s="1087">
        <f t="shared" si="1"/>
        <v>1840</v>
      </c>
      <c r="L132" s="1086"/>
      <c r="M132" s="1086"/>
      <c r="N132" s="1086"/>
      <c r="O132" s="1086"/>
      <c r="P132" s="1086"/>
      <c r="Q132" s="1086"/>
      <c r="R132" s="1086"/>
      <c r="S132" s="1086"/>
      <c r="T132" s="1086"/>
      <c r="U132" s="1086"/>
      <c r="V132" s="1086"/>
      <c r="W132" s="1086"/>
      <c r="X132" s="46">
        <f t="shared" si="0"/>
        <v>8</v>
      </c>
    </row>
    <row r="133" spans="1:24">
      <c r="A133" s="2" t="s">
        <v>345</v>
      </c>
      <c r="D133" s="1087">
        <f>+D148</f>
        <v>1456.2</v>
      </c>
      <c r="E133" s="1087">
        <f t="shared" si="1"/>
        <v>1566</v>
      </c>
      <c r="F133" s="1087">
        <f t="shared" si="1"/>
        <v>1631</v>
      </c>
      <c r="G133" s="1087">
        <f t="shared" si="1"/>
        <v>1723</v>
      </c>
      <c r="H133" s="1087">
        <f t="shared" si="1"/>
        <v>1783</v>
      </c>
      <c r="I133" s="1087">
        <f t="shared" si="1"/>
        <v>1840</v>
      </c>
      <c r="J133" s="1087">
        <f t="shared" si="1"/>
        <v>1896</v>
      </c>
      <c r="K133" s="1086"/>
      <c r="L133" s="1086"/>
      <c r="M133" s="1086"/>
      <c r="N133" s="1086"/>
      <c r="O133" s="1086"/>
      <c r="P133" s="1086"/>
      <c r="Q133" s="1086"/>
      <c r="R133" s="1086"/>
      <c r="S133" s="1086"/>
      <c r="T133" s="1086"/>
      <c r="U133" s="1086"/>
      <c r="V133" s="1086"/>
      <c r="W133" s="1086"/>
      <c r="X133" s="46">
        <f t="shared" si="0"/>
        <v>7</v>
      </c>
    </row>
    <row r="134" spans="1:24">
      <c r="A134" s="20" t="s">
        <v>346</v>
      </c>
      <c r="B134" s="20"/>
      <c r="D134" s="1086">
        <v>2290</v>
      </c>
      <c r="E134" s="1086">
        <v>2336</v>
      </c>
      <c r="F134" s="1086">
        <v>2387</v>
      </c>
      <c r="G134" s="1086">
        <v>2438</v>
      </c>
      <c r="H134" s="1086">
        <v>2489</v>
      </c>
      <c r="I134" s="1086">
        <v>2548</v>
      </c>
      <c r="J134" s="1086">
        <v>2610</v>
      </c>
      <c r="K134" s="1086">
        <v>2677</v>
      </c>
      <c r="L134" s="1086">
        <v>2752</v>
      </c>
      <c r="M134" s="1086">
        <v>2829</v>
      </c>
      <c r="N134" s="1086">
        <v>2914</v>
      </c>
      <c r="O134" s="1086">
        <v>3003</v>
      </c>
      <c r="P134" s="1086">
        <v>3099</v>
      </c>
      <c r="Q134" s="1086">
        <v>3198</v>
      </c>
      <c r="R134" s="1086">
        <v>3274</v>
      </c>
      <c r="S134" s="1086"/>
      <c r="T134" s="1086"/>
      <c r="U134" s="1086"/>
      <c r="V134" s="1086"/>
      <c r="W134" s="1086"/>
      <c r="X134" s="46">
        <f t="shared" si="0"/>
        <v>15</v>
      </c>
    </row>
    <row r="135" spans="1:24">
      <c r="A135" s="20" t="s">
        <v>322</v>
      </c>
      <c r="B135" s="20"/>
      <c r="D135" s="1086">
        <v>2374</v>
      </c>
      <c r="E135" s="1086">
        <v>2431</v>
      </c>
      <c r="F135" s="1086">
        <v>2496</v>
      </c>
      <c r="G135" s="1086">
        <v>2559</v>
      </c>
      <c r="H135" s="1086">
        <v>2622</v>
      </c>
      <c r="I135" s="1086">
        <v>2694</v>
      </c>
      <c r="J135" s="1086">
        <v>2771</v>
      </c>
      <c r="K135" s="1086">
        <v>2855</v>
      </c>
      <c r="L135" s="1086">
        <v>2953</v>
      </c>
      <c r="M135" s="1086">
        <v>3052</v>
      </c>
      <c r="N135" s="1086">
        <v>3159</v>
      </c>
      <c r="O135" s="1086">
        <v>3269</v>
      </c>
      <c r="P135" s="1086">
        <v>3384</v>
      </c>
      <c r="Q135" s="1086">
        <v>3504</v>
      </c>
      <c r="R135" s="1086">
        <v>3597</v>
      </c>
      <c r="S135" s="1086"/>
      <c r="T135" s="1086"/>
      <c r="U135" s="1086"/>
      <c r="V135" s="1086"/>
      <c r="W135" s="1086"/>
      <c r="X135" s="46">
        <f t="shared" si="0"/>
        <v>15</v>
      </c>
    </row>
    <row r="136" spans="1:24">
      <c r="A136" s="20" t="s">
        <v>347</v>
      </c>
      <c r="B136" s="20"/>
      <c r="D136" s="1086">
        <v>2387</v>
      </c>
      <c r="E136" s="1086">
        <v>2503</v>
      </c>
      <c r="F136" s="1086">
        <v>2621</v>
      </c>
      <c r="G136" s="1086">
        <v>2741</v>
      </c>
      <c r="H136" s="1086">
        <v>2859</v>
      </c>
      <c r="I136" s="1086">
        <v>2981</v>
      </c>
      <c r="J136" s="1086">
        <v>3106</v>
      </c>
      <c r="K136" s="1086">
        <v>3234</v>
      </c>
      <c r="L136" s="1086">
        <v>3368</v>
      </c>
      <c r="M136" s="1086">
        <v>3505</v>
      </c>
      <c r="N136" s="1086">
        <v>3642</v>
      </c>
      <c r="O136" s="1086">
        <v>3786</v>
      </c>
      <c r="P136" s="1086">
        <v>3933</v>
      </c>
      <c r="Q136" s="1086">
        <v>4082</v>
      </c>
      <c r="R136" s="1086">
        <v>4197</v>
      </c>
      <c r="S136" s="1086"/>
      <c r="T136" s="1086"/>
      <c r="U136" s="1086"/>
      <c r="V136" s="1086"/>
      <c r="W136" s="1086"/>
      <c r="X136" s="46">
        <f t="shared" si="0"/>
        <v>15</v>
      </c>
    </row>
    <row r="137" spans="1:24">
      <c r="A137" s="20" t="s">
        <v>348</v>
      </c>
      <c r="B137" s="20"/>
      <c r="D137" s="1086">
        <v>2396</v>
      </c>
      <c r="E137" s="1086">
        <v>2540</v>
      </c>
      <c r="F137" s="1086">
        <v>2688</v>
      </c>
      <c r="G137" s="1086">
        <v>2838</v>
      </c>
      <c r="H137" s="1086">
        <v>2988</v>
      </c>
      <c r="I137" s="1086">
        <v>3145</v>
      </c>
      <c r="J137" s="1086">
        <v>3308</v>
      </c>
      <c r="K137" s="1086">
        <v>3473</v>
      </c>
      <c r="L137" s="1086">
        <v>3647</v>
      </c>
      <c r="M137" s="1086">
        <v>3828</v>
      </c>
      <c r="N137" s="1086">
        <v>4014</v>
      </c>
      <c r="O137" s="1086">
        <v>4206</v>
      </c>
      <c r="P137" s="1086">
        <v>4405</v>
      </c>
      <c r="Q137" s="1086">
        <v>4609</v>
      </c>
      <c r="R137" s="1086">
        <v>4775</v>
      </c>
      <c r="S137" s="1086"/>
      <c r="T137" s="1086"/>
      <c r="U137" s="1086"/>
      <c r="V137" s="1086"/>
      <c r="W137" s="1086"/>
      <c r="X137" s="46">
        <f t="shared" si="0"/>
        <v>15</v>
      </c>
    </row>
    <row r="138" spans="1:24">
      <c r="A138" s="20" t="s">
        <v>349</v>
      </c>
      <c r="B138" s="20"/>
      <c r="D138" s="1086">
        <v>3083</v>
      </c>
      <c r="E138" s="1086">
        <v>3200</v>
      </c>
      <c r="F138" s="1086">
        <v>3304</v>
      </c>
      <c r="G138" s="1086">
        <v>3514</v>
      </c>
      <c r="H138" s="1086">
        <v>3746</v>
      </c>
      <c r="I138" s="1086">
        <v>3892</v>
      </c>
      <c r="J138" s="1086">
        <v>4040</v>
      </c>
      <c r="K138" s="1086">
        <v>4188</v>
      </c>
      <c r="L138" s="1086">
        <v>4336</v>
      </c>
      <c r="M138" s="1086">
        <v>4483</v>
      </c>
      <c r="N138" s="1086">
        <v>4632</v>
      </c>
      <c r="O138" s="1086">
        <v>4781</v>
      </c>
      <c r="P138" s="1086">
        <v>4930</v>
      </c>
      <c r="Q138" s="1086">
        <v>5077</v>
      </c>
      <c r="R138" s="1086">
        <v>5178</v>
      </c>
      <c r="S138" s="1086"/>
      <c r="T138" s="1086"/>
      <c r="U138" s="1086"/>
      <c r="V138" s="1086"/>
      <c r="W138" s="1086"/>
      <c r="X138" s="46">
        <f t="shared" si="0"/>
        <v>15</v>
      </c>
    </row>
    <row r="139" spans="1:24">
      <c r="A139" s="2" t="s">
        <v>350</v>
      </c>
      <c r="D139" s="1087">
        <f>+D134/2</f>
        <v>1145</v>
      </c>
      <c r="E139" s="1088"/>
      <c r="F139" s="1088"/>
      <c r="G139" s="1088"/>
      <c r="H139" s="1088"/>
      <c r="I139" s="1088"/>
      <c r="J139" s="1088"/>
      <c r="K139" s="1088"/>
      <c r="L139" s="1088"/>
      <c r="M139" s="1088"/>
      <c r="N139" s="1088"/>
      <c r="O139" s="1088"/>
      <c r="P139" s="1088"/>
      <c r="Q139" s="1088"/>
      <c r="R139" s="1088"/>
      <c r="S139" s="1086"/>
      <c r="T139" s="1088"/>
      <c r="U139" s="1088"/>
      <c r="V139" s="1088"/>
      <c r="W139" s="1088"/>
      <c r="X139" s="46">
        <f t="shared" si="0"/>
        <v>1</v>
      </c>
    </row>
    <row r="140" spans="1:24">
      <c r="A140" s="2" t="s">
        <v>351</v>
      </c>
      <c r="D140" s="1087">
        <f>+D135/2</f>
        <v>1187</v>
      </c>
      <c r="E140" s="1088"/>
      <c r="F140" s="1088"/>
      <c r="G140" s="1088"/>
      <c r="H140" s="1088"/>
      <c r="I140" s="1088"/>
      <c r="J140" s="1088"/>
      <c r="K140" s="1088"/>
      <c r="L140" s="1088"/>
      <c r="M140" s="1088"/>
      <c r="N140" s="1088"/>
      <c r="O140" s="1088"/>
      <c r="P140" s="1088"/>
      <c r="Q140" s="1088"/>
      <c r="R140" s="1088"/>
      <c r="S140" s="1086"/>
      <c r="T140" s="1088"/>
      <c r="U140" s="1088"/>
      <c r="V140" s="1088"/>
      <c r="W140" s="1088"/>
      <c r="X140" s="46">
        <f t="shared" si="0"/>
        <v>1</v>
      </c>
    </row>
    <row r="141" spans="1:24">
      <c r="A141" s="21" t="s">
        <v>352</v>
      </c>
      <c r="B141" s="6"/>
      <c r="C141" s="18"/>
      <c r="D141" s="1086">
        <v>2605</v>
      </c>
      <c r="E141" s="1086">
        <v>2707</v>
      </c>
      <c r="F141" s="1086">
        <v>2811</v>
      </c>
      <c r="G141" s="1086">
        <v>2912</v>
      </c>
      <c r="H141" s="1086">
        <v>3014</v>
      </c>
      <c r="I141" s="1086">
        <v>3118</v>
      </c>
      <c r="J141" s="1086">
        <v>3220</v>
      </c>
      <c r="K141" s="1086">
        <v>3323</v>
      </c>
      <c r="L141" s="1086">
        <v>3424</v>
      </c>
      <c r="M141" s="1086">
        <v>3527</v>
      </c>
      <c r="N141" s="1086">
        <v>3631</v>
      </c>
      <c r="O141" s="1086"/>
      <c r="P141" s="1086"/>
      <c r="Q141" s="1086"/>
      <c r="R141" s="1086"/>
      <c r="S141" s="1086"/>
      <c r="T141" s="1086"/>
      <c r="U141" s="1086"/>
      <c r="V141" s="1086"/>
      <c r="W141" s="1086"/>
      <c r="X141" s="46">
        <f t="shared" si="0"/>
        <v>11</v>
      </c>
    </row>
    <row r="142" spans="1:24">
      <c r="A142" s="21" t="s">
        <v>353</v>
      </c>
      <c r="B142" s="6"/>
      <c r="C142" s="18"/>
      <c r="D142" s="1086">
        <v>2707</v>
      </c>
      <c r="E142" s="1086">
        <v>2912</v>
      </c>
      <c r="F142" s="1086">
        <v>3118</v>
      </c>
      <c r="G142" s="1086">
        <v>3220</v>
      </c>
      <c r="H142" s="1086">
        <v>3323</v>
      </c>
      <c r="I142" s="1086">
        <v>3424</v>
      </c>
      <c r="J142" s="1086">
        <v>3527</v>
      </c>
      <c r="K142" s="1086">
        <v>3631</v>
      </c>
      <c r="L142" s="1086">
        <v>3733</v>
      </c>
      <c r="M142" s="1086">
        <v>3837</v>
      </c>
      <c r="N142" s="1086"/>
      <c r="O142" s="1086"/>
      <c r="P142" s="1086"/>
      <c r="Q142" s="1086"/>
      <c r="R142" s="1086"/>
      <c r="S142" s="1086"/>
      <c r="T142" s="1086"/>
      <c r="U142" s="1086"/>
      <c r="V142" s="1086"/>
      <c r="W142" s="1086"/>
      <c r="X142" s="46">
        <f t="shared" si="0"/>
        <v>10</v>
      </c>
    </row>
    <row r="143" spans="1:24">
      <c r="A143" s="21" t="s">
        <v>354</v>
      </c>
      <c r="B143" s="6"/>
      <c r="C143" s="18"/>
      <c r="D143" s="1086">
        <v>2707</v>
      </c>
      <c r="E143" s="1086">
        <v>2912</v>
      </c>
      <c r="F143" s="1086">
        <v>3118</v>
      </c>
      <c r="G143" s="1086">
        <v>3220</v>
      </c>
      <c r="H143" s="1086">
        <v>3323</v>
      </c>
      <c r="I143" s="1086">
        <v>3424</v>
      </c>
      <c r="J143" s="1086">
        <v>3527</v>
      </c>
      <c r="K143" s="1086">
        <v>3631</v>
      </c>
      <c r="L143" s="1086">
        <v>3733</v>
      </c>
      <c r="M143" s="1086">
        <v>3837</v>
      </c>
      <c r="N143" s="1086">
        <v>3940</v>
      </c>
      <c r="O143" s="1086"/>
      <c r="P143" s="1086"/>
      <c r="Q143" s="1086"/>
      <c r="R143" s="1086"/>
      <c r="S143" s="1086"/>
      <c r="T143" s="1086"/>
      <c r="U143" s="1086"/>
      <c r="V143" s="1086"/>
      <c r="W143" s="1086"/>
      <c r="X143" s="46">
        <f t="shared" si="0"/>
        <v>11</v>
      </c>
    </row>
    <row r="144" spans="1:24">
      <c r="A144" s="21" t="s">
        <v>28</v>
      </c>
      <c r="B144" s="6"/>
      <c r="C144" s="18"/>
      <c r="D144" s="1086">
        <v>2811</v>
      </c>
      <c r="E144" s="1086">
        <v>3118</v>
      </c>
      <c r="F144" s="1086">
        <v>3323</v>
      </c>
      <c r="G144" s="1086">
        <v>3527</v>
      </c>
      <c r="H144" s="1086">
        <v>3733</v>
      </c>
      <c r="I144" s="1086">
        <v>3837</v>
      </c>
      <c r="J144" s="1086">
        <v>3940</v>
      </c>
      <c r="K144" s="1086">
        <v>4041</v>
      </c>
      <c r="L144" s="1086">
        <v>4144</v>
      </c>
      <c r="M144" s="1086">
        <v>4245</v>
      </c>
      <c r="N144" s="1086">
        <v>4350</v>
      </c>
      <c r="O144" s="1086">
        <v>4452</v>
      </c>
      <c r="P144" s="1086">
        <v>4555</v>
      </c>
      <c r="Q144" s="1086"/>
      <c r="R144" s="1086"/>
      <c r="S144" s="1086"/>
      <c r="T144" s="1086"/>
      <c r="U144" s="1086"/>
      <c r="V144" s="1086"/>
      <c r="W144" s="1086"/>
      <c r="X144" s="46">
        <f t="shared" si="0"/>
        <v>13</v>
      </c>
    </row>
    <row r="145" spans="1:24">
      <c r="A145" s="21" t="s">
        <v>355</v>
      </c>
      <c r="B145" s="6"/>
      <c r="C145" s="18"/>
      <c r="D145" s="1086">
        <v>2811</v>
      </c>
      <c r="E145" s="1086">
        <v>3118</v>
      </c>
      <c r="F145" s="1086">
        <v>3323</v>
      </c>
      <c r="G145" s="1086">
        <v>3527</v>
      </c>
      <c r="H145" s="1086">
        <v>3733</v>
      </c>
      <c r="I145" s="1086">
        <v>3837</v>
      </c>
      <c r="J145" s="1086">
        <v>3940</v>
      </c>
      <c r="K145" s="1086">
        <v>4041</v>
      </c>
      <c r="L145" s="1086">
        <v>4144</v>
      </c>
      <c r="M145" s="1086">
        <v>4245</v>
      </c>
      <c r="N145" s="1086">
        <v>4350</v>
      </c>
      <c r="O145" s="1086">
        <v>4452</v>
      </c>
      <c r="P145" s="1086">
        <v>4555</v>
      </c>
      <c r="Q145" s="1086">
        <v>4656</v>
      </c>
      <c r="R145" s="1086">
        <v>4759</v>
      </c>
      <c r="S145" s="1086"/>
      <c r="T145" s="1086"/>
      <c r="U145" s="1086"/>
      <c r="V145" s="1086"/>
      <c r="W145" s="1086"/>
      <c r="X145" s="46">
        <f t="shared" si="0"/>
        <v>15</v>
      </c>
    </row>
    <row r="146" spans="1:24">
      <c r="A146" s="2">
        <v>1</v>
      </c>
      <c r="D146" s="1086">
        <v>1456.2</v>
      </c>
      <c r="E146" s="1086">
        <v>1477</v>
      </c>
      <c r="F146" s="1086">
        <v>1538</v>
      </c>
      <c r="G146" s="1086">
        <v>1566</v>
      </c>
      <c r="H146" s="1086">
        <v>1598</v>
      </c>
      <c r="I146" s="1086">
        <v>1631</v>
      </c>
      <c r="J146" s="1086">
        <v>1674</v>
      </c>
      <c r="K146" s="1086"/>
      <c r="L146" s="1086"/>
      <c r="M146" s="1086"/>
      <c r="N146" s="1086"/>
      <c r="O146" s="1086"/>
      <c r="P146" s="1086"/>
      <c r="Q146" s="1086"/>
      <c r="R146" s="1086"/>
      <c r="S146" s="1086"/>
      <c r="T146" s="1086"/>
      <c r="U146" s="1086"/>
      <c r="V146" s="1086"/>
      <c r="W146" s="1086"/>
      <c r="X146" s="46">
        <f t="shared" si="0"/>
        <v>7</v>
      </c>
    </row>
    <row r="147" spans="1:24">
      <c r="A147" s="2">
        <v>2</v>
      </c>
      <c r="D147" s="1086">
        <v>1456.2</v>
      </c>
      <c r="E147" s="1086">
        <v>1508</v>
      </c>
      <c r="F147" s="1086">
        <v>1566</v>
      </c>
      <c r="G147" s="1086">
        <v>1631</v>
      </c>
      <c r="H147" s="1086">
        <v>1674</v>
      </c>
      <c r="I147" s="1086">
        <v>1723</v>
      </c>
      <c r="J147" s="1086">
        <v>1783</v>
      </c>
      <c r="K147" s="1086">
        <v>1840</v>
      </c>
      <c r="L147" s="1086"/>
      <c r="M147" s="1086"/>
      <c r="N147" s="1086"/>
      <c r="O147" s="1086"/>
      <c r="P147" s="1086"/>
      <c r="Q147" s="1086"/>
      <c r="R147" s="1086"/>
      <c r="S147" s="1086"/>
      <c r="T147" s="1086"/>
      <c r="U147" s="1086"/>
      <c r="V147" s="1086"/>
      <c r="W147" s="1086"/>
      <c r="X147" s="46">
        <f t="shared" si="0"/>
        <v>8</v>
      </c>
    </row>
    <row r="148" spans="1:24">
      <c r="A148" s="2">
        <v>3</v>
      </c>
      <c r="D148" s="1086">
        <v>1456.2</v>
      </c>
      <c r="E148" s="1086">
        <v>1566</v>
      </c>
      <c r="F148" s="1086">
        <v>1631</v>
      </c>
      <c r="G148" s="1086">
        <v>1723</v>
      </c>
      <c r="H148" s="1086">
        <v>1783</v>
      </c>
      <c r="I148" s="1086">
        <v>1840</v>
      </c>
      <c r="J148" s="1086">
        <v>1896</v>
      </c>
      <c r="K148" s="1086">
        <v>1950</v>
      </c>
      <c r="L148" s="1086">
        <v>2004</v>
      </c>
      <c r="M148" s="1086"/>
      <c r="N148" s="1086"/>
      <c r="O148" s="1086"/>
      <c r="P148" s="1086"/>
      <c r="Q148" s="1086"/>
      <c r="R148" s="1086"/>
      <c r="S148" s="1086"/>
      <c r="T148" s="1086"/>
      <c r="U148" s="1086"/>
      <c r="V148" s="1086"/>
      <c r="W148" s="1086"/>
      <c r="X148" s="46">
        <f t="shared" si="0"/>
        <v>9</v>
      </c>
    </row>
    <row r="149" spans="1:24">
      <c r="A149" s="2">
        <v>4</v>
      </c>
      <c r="D149" s="1086">
        <v>1477</v>
      </c>
      <c r="E149" s="1086">
        <v>1538</v>
      </c>
      <c r="F149" s="1086">
        <v>1598</v>
      </c>
      <c r="G149" s="1086">
        <v>1674</v>
      </c>
      <c r="H149" s="1086">
        <v>1783</v>
      </c>
      <c r="I149" s="1086">
        <v>1840</v>
      </c>
      <c r="J149" s="1086">
        <v>1896</v>
      </c>
      <c r="K149" s="1086">
        <v>1950</v>
      </c>
      <c r="L149" s="1086">
        <v>2004</v>
      </c>
      <c r="M149" s="1086">
        <v>2056</v>
      </c>
      <c r="N149" s="1086">
        <v>2108</v>
      </c>
      <c r="O149" s="1086"/>
      <c r="P149" s="1086"/>
      <c r="Q149" s="1086"/>
      <c r="R149" s="1086"/>
      <c r="S149" s="1086"/>
      <c r="T149" s="1086"/>
      <c r="U149" s="1086"/>
      <c r="V149" s="1086"/>
      <c r="W149" s="1086"/>
      <c r="X149" s="46">
        <f t="shared" si="0"/>
        <v>11</v>
      </c>
    </row>
    <row r="150" spans="1:24">
      <c r="A150" s="2">
        <v>5</v>
      </c>
      <c r="D150" s="1086">
        <v>1508</v>
      </c>
      <c r="E150" s="1086">
        <v>1538</v>
      </c>
      <c r="F150" s="1086">
        <v>1631</v>
      </c>
      <c r="G150" s="1086">
        <v>1723</v>
      </c>
      <c r="H150" s="1086">
        <v>1840</v>
      </c>
      <c r="I150" s="1086">
        <v>1896</v>
      </c>
      <c r="J150" s="1086">
        <v>1950</v>
      </c>
      <c r="K150" s="1086">
        <v>2004</v>
      </c>
      <c r="L150" s="1086">
        <v>2056</v>
      </c>
      <c r="M150" s="1086">
        <v>2108</v>
      </c>
      <c r="N150" s="1086">
        <v>2158</v>
      </c>
      <c r="O150" s="1086">
        <v>2216</v>
      </c>
      <c r="P150" s="1086"/>
      <c r="Q150" s="1086"/>
      <c r="R150" s="1086"/>
      <c r="S150" s="1086"/>
      <c r="T150" s="1086"/>
      <c r="U150" s="1086"/>
      <c r="V150" s="1086"/>
      <c r="W150" s="1086"/>
      <c r="X150" s="46">
        <f t="shared" si="0"/>
        <v>12</v>
      </c>
    </row>
    <row r="151" spans="1:24">
      <c r="A151" s="2">
        <v>6</v>
      </c>
      <c r="D151" s="1086">
        <v>1566</v>
      </c>
      <c r="E151" s="1086">
        <v>1631</v>
      </c>
      <c r="F151" s="1086">
        <v>1840</v>
      </c>
      <c r="G151" s="1086">
        <v>1950</v>
      </c>
      <c r="H151" s="1086">
        <v>2004</v>
      </c>
      <c r="I151" s="1086">
        <v>2056</v>
      </c>
      <c r="J151" s="1086">
        <v>2108</v>
      </c>
      <c r="K151" s="1086">
        <v>2158</v>
      </c>
      <c r="L151" s="1086">
        <v>2216</v>
      </c>
      <c r="M151" s="1086">
        <v>2270</v>
      </c>
      <c r="N151" s="1086">
        <v>2322</v>
      </c>
      <c r="O151" s="1086"/>
      <c r="P151" s="1086"/>
      <c r="Q151" s="1086"/>
      <c r="R151" s="1086"/>
      <c r="S151" s="1086"/>
      <c r="T151" s="1086"/>
      <c r="U151" s="1086"/>
      <c r="V151" s="1086"/>
      <c r="W151" s="1086"/>
      <c r="X151" s="46">
        <f t="shared" si="0"/>
        <v>11</v>
      </c>
    </row>
    <row r="152" spans="1:24">
      <c r="A152" s="2">
        <v>7</v>
      </c>
      <c r="D152" s="1086">
        <v>1674</v>
      </c>
      <c r="E152" s="1086">
        <v>1723</v>
      </c>
      <c r="F152" s="1086">
        <v>1840</v>
      </c>
      <c r="G152" s="1086">
        <v>2056</v>
      </c>
      <c r="H152" s="1086">
        <v>2158</v>
      </c>
      <c r="I152" s="1086">
        <v>2216</v>
      </c>
      <c r="J152" s="1086">
        <v>2270</v>
      </c>
      <c r="K152" s="1086">
        <v>2322</v>
      </c>
      <c r="L152" s="1086">
        <v>2376</v>
      </c>
      <c r="M152" s="1086">
        <v>2434</v>
      </c>
      <c r="N152" s="1086">
        <v>2494</v>
      </c>
      <c r="O152" s="1086">
        <v>2560</v>
      </c>
      <c r="P152" s="1086"/>
      <c r="Q152" s="1086"/>
      <c r="R152" s="1086"/>
      <c r="S152" s="1086"/>
      <c r="T152" s="1086"/>
      <c r="U152" s="1086"/>
      <c r="V152" s="1086"/>
      <c r="W152" s="1086"/>
      <c r="X152" s="46">
        <f t="shared" si="0"/>
        <v>12</v>
      </c>
    </row>
    <row r="153" spans="1:24">
      <c r="A153" s="2">
        <v>8</v>
      </c>
      <c r="D153" s="1086">
        <v>1896</v>
      </c>
      <c r="E153" s="1086">
        <v>1950</v>
      </c>
      <c r="F153" s="1086">
        <v>2056</v>
      </c>
      <c r="G153" s="1086">
        <v>2270</v>
      </c>
      <c r="H153" s="1086">
        <v>2376</v>
      </c>
      <c r="I153" s="1086">
        <v>2494</v>
      </c>
      <c r="J153" s="1086">
        <v>2560</v>
      </c>
      <c r="K153" s="1086">
        <v>2621</v>
      </c>
      <c r="L153" s="1086">
        <v>2675</v>
      </c>
      <c r="M153" s="1086">
        <v>2733</v>
      </c>
      <c r="N153" s="1086">
        <v>2791</v>
      </c>
      <c r="O153" s="1086">
        <v>2845</v>
      </c>
      <c r="P153" s="1086">
        <v>2896</v>
      </c>
      <c r="Q153" s="1086"/>
      <c r="R153" s="1086"/>
      <c r="S153" s="1086"/>
      <c r="T153" s="1086"/>
      <c r="U153" s="1086"/>
      <c r="V153" s="1086"/>
      <c r="W153" s="1086"/>
      <c r="X153" s="46">
        <f t="shared" si="0"/>
        <v>13</v>
      </c>
    </row>
    <row r="154" spans="1:24">
      <c r="A154" s="2">
        <v>9</v>
      </c>
      <c r="D154" s="1086">
        <f>2158+22</f>
        <v>2180</v>
      </c>
      <c r="E154" s="1086">
        <f>2270+22</f>
        <v>2292</v>
      </c>
      <c r="F154" s="1086">
        <f>2494+24</f>
        <v>2518</v>
      </c>
      <c r="G154" s="1086">
        <f>2621+26</f>
        <v>2647</v>
      </c>
      <c r="H154" s="1086">
        <f>2733+26</f>
        <v>2759</v>
      </c>
      <c r="I154" s="1086">
        <f>2845+28</f>
        <v>2873</v>
      </c>
      <c r="J154" s="1086">
        <f>2952+28</f>
        <v>2980</v>
      </c>
      <c r="K154" s="1086">
        <f>3057+30</f>
        <v>3087</v>
      </c>
      <c r="L154" s="1086">
        <f>3172+32</f>
        <v>3204</v>
      </c>
      <c r="M154" s="1086">
        <f>3274+32</f>
        <v>3306</v>
      </c>
      <c r="N154" s="1086"/>
      <c r="O154" s="1086"/>
      <c r="P154" s="1086"/>
      <c r="Q154" s="1086"/>
      <c r="R154" s="1086"/>
      <c r="S154" s="1086"/>
      <c r="T154" s="1086"/>
      <c r="U154" s="1086"/>
      <c r="V154" s="1086"/>
      <c r="W154" s="1086"/>
      <c r="X154" s="46">
        <f t="shared" si="0"/>
        <v>10</v>
      </c>
    </row>
    <row r="155" spans="1:24">
      <c r="A155" s="2">
        <v>10</v>
      </c>
      <c r="D155" s="1086">
        <f>2158+22</f>
        <v>2180</v>
      </c>
      <c r="E155" s="1086">
        <f>2376+24</f>
        <v>2400</v>
      </c>
      <c r="F155" s="1086">
        <f>2494+24</f>
        <v>2518</v>
      </c>
      <c r="G155" s="1086">
        <f>2621+26</f>
        <v>2647</v>
      </c>
      <c r="H155" s="1086">
        <f>2733+26</f>
        <v>2759</v>
      </c>
      <c r="I155" s="1086">
        <f>2845+28</f>
        <v>2873</v>
      </c>
      <c r="J155" s="1086">
        <f>2952+28</f>
        <v>2980</v>
      </c>
      <c r="K155" s="1086">
        <f>3057+30</f>
        <v>3087</v>
      </c>
      <c r="L155" s="1086">
        <f>3172+32</f>
        <v>3204</v>
      </c>
      <c r="M155" s="1086">
        <f>3274+32</f>
        <v>3306</v>
      </c>
      <c r="N155" s="1086">
        <f>3379+34</f>
        <v>3413</v>
      </c>
      <c r="O155" s="1086">
        <f>3482+34</f>
        <v>3516</v>
      </c>
      <c r="P155" s="1086">
        <f>3597+36</f>
        <v>3633</v>
      </c>
      <c r="Q155" s="1086"/>
      <c r="R155" s="1086"/>
      <c r="S155" s="1086"/>
      <c r="T155" s="1086"/>
      <c r="U155" s="1086"/>
      <c r="V155" s="1086"/>
      <c r="W155" s="1086"/>
      <c r="X155" s="46">
        <f t="shared" si="0"/>
        <v>13</v>
      </c>
    </row>
    <row r="156" spans="1:24">
      <c r="A156" s="2">
        <v>11</v>
      </c>
      <c r="D156" s="1086">
        <f>2270+22</f>
        <v>2292</v>
      </c>
      <c r="E156" s="1086">
        <f>2376+24</f>
        <v>2400</v>
      </c>
      <c r="F156" s="1086">
        <f>2494+24</f>
        <v>2518</v>
      </c>
      <c r="G156" s="1086">
        <f>2621+26</f>
        <v>2647</v>
      </c>
      <c r="H156" s="1086">
        <f>2733+26</f>
        <v>2759</v>
      </c>
      <c r="I156" s="1086">
        <f>2845+28</f>
        <v>2873</v>
      </c>
      <c r="J156" s="1086">
        <f>2952+28</f>
        <v>2980</v>
      </c>
      <c r="K156" s="1086">
        <f>3172+32</f>
        <v>3204</v>
      </c>
      <c r="L156" s="1086">
        <f>3274+32</f>
        <v>3306</v>
      </c>
      <c r="M156" s="1086">
        <f>3379+34</f>
        <v>3413</v>
      </c>
      <c r="N156" s="1086">
        <f>3482+34</f>
        <v>3516</v>
      </c>
      <c r="O156" s="1086">
        <f>3597+36</f>
        <v>3633</v>
      </c>
      <c r="P156" s="1086">
        <f>3712+36</f>
        <v>3748</v>
      </c>
      <c r="Q156" s="1086">
        <f>3823+38</f>
        <v>3861</v>
      </c>
      <c r="R156" s="1086">
        <f>3930+38</f>
        <v>3968</v>
      </c>
      <c r="S156" s="1086">
        <f>4038+40</f>
        <v>4078</v>
      </c>
      <c r="T156" s="1086">
        <f>4142+40</f>
        <v>4182</v>
      </c>
      <c r="U156" s="1086">
        <f>4197+42</f>
        <v>4239</v>
      </c>
      <c r="V156" s="1086"/>
      <c r="W156" s="1086"/>
      <c r="X156" s="46">
        <f t="shared" si="0"/>
        <v>18</v>
      </c>
    </row>
    <row r="157" spans="1:24">
      <c r="A157" s="2">
        <v>12</v>
      </c>
      <c r="D157" s="1086">
        <f>3057+30</f>
        <v>3087</v>
      </c>
      <c r="E157" s="1086">
        <f>3172+32</f>
        <v>3204</v>
      </c>
      <c r="F157" s="1086">
        <f>3274+32</f>
        <v>3306</v>
      </c>
      <c r="G157" s="1086">
        <f>3379+34</f>
        <v>3413</v>
      </c>
      <c r="H157" s="1086">
        <f>3482+34</f>
        <v>3516</v>
      </c>
      <c r="I157" s="1086">
        <f>3597+36</f>
        <v>3633</v>
      </c>
      <c r="J157" s="1086">
        <f>3823+38</f>
        <v>3861</v>
      </c>
      <c r="K157" s="1086">
        <f>3930+38</f>
        <v>3968</v>
      </c>
      <c r="L157" s="1086">
        <f>4038+40</f>
        <v>4078</v>
      </c>
      <c r="M157" s="1086">
        <f>4142+40</f>
        <v>4182</v>
      </c>
      <c r="N157" s="1086">
        <f>4253+42</f>
        <v>4295</v>
      </c>
      <c r="O157" s="1086">
        <f>4361+44</f>
        <v>4405</v>
      </c>
      <c r="P157" s="1086">
        <f>4465+44</f>
        <v>4509</v>
      </c>
      <c r="Q157" s="1086">
        <f>4573+46</f>
        <v>4619</v>
      </c>
      <c r="R157" s="1086">
        <f>4708+46</f>
        <v>4754</v>
      </c>
      <c r="S157" s="1086">
        <f>4775+48</f>
        <v>4823</v>
      </c>
      <c r="T157" s="1086"/>
      <c r="U157" s="1086"/>
      <c r="V157" s="1086"/>
      <c r="W157" s="1086"/>
      <c r="X157" s="46">
        <f t="shared" si="0"/>
        <v>16</v>
      </c>
    </row>
    <row r="158" spans="1:24">
      <c r="A158" s="2">
        <v>13</v>
      </c>
      <c r="D158" s="1086">
        <f>3712+36</f>
        <v>3748</v>
      </c>
      <c r="E158" s="1086">
        <f>3823+38</f>
        <v>3861</v>
      </c>
      <c r="F158" s="1086">
        <f>3930+38</f>
        <v>3968</v>
      </c>
      <c r="G158" s="1086">
        <f>4038+40</f>
        <v>4078</v>
      </c>
      <c r="H158" s="1086">
        <f>4142+40</f>
        <v>4182</v>
      </c>
      <c r="I158" s="1086">
        <f>4361+44</f>
        <v>4405</v>
      </c>
      <c r="J158" s="1086">
        <f>4465+44</f>
        <v>4509</v>
      </c>
      <c r="K158" s="1086">
        <f>4573+46</f>
        <v>4619</v>
      </c>
      <c r="L158" s="1086">
        <f>4708+46</f>
        <v>4754</v>
      </c>
      <c r="M158" s="1086">
        <f>4843+48</f>
        <v>4891</v>
      </c>
      <c r="N158" s="1086">
        <f>4978+50</f>
        <v>5028</v>
      </c>
      <c r="O158" s="1086">
        <f>5113+50</f>
        <v>5163</v>
      </c>
      <c r="P158" s="1086">
        <f>5178+52</f>
        <v>5230</v>
      </c>
      <c r="Q158" s="1086"/>
      <c r="R158" s="1086"/>
      <c r="S158" s="1086"/>
      <c r="T158" s="1086"/>
      <c r="U158" s="1086"/>
      <c r="V158" s="1086"/>
      <c r="W158" s="1086"/>
      <c r="X158" s="46">
        <f t="shared" si="0"/>
        <v>13</v>
      </c>
    </row>
    <row r="159" spans="1:24">
      <c r="A159" s="2">
        <v>14</v>
      </c>
      <c r="D159" s="1086">
        <f>4253+42</f>
        <v>4295</v>
      </c>
      <c r="E159" s="1086">
        <f>4361+44</f>
        <v>4405</v>
      </c>
      <c r="F159" s="1086">
        <f>4573+46</f>
        <v>4619</v>
      </c>
      <c r="G159" s="1086">
        <f>4708+46</f>
        <v>4754</v>
      </c>
      <c r="H159" s="1086">
        <f>4843+48</f>
        <v>4891</v>
      </c>
      <c r="I159" s="1086">
        <f>4978+50</f>
        <v>5028</v>
      </c>
      <c r="J159" s="1086">
        <f>5113+50</f>
        <v>5163</v>
      </c>
      <c r="K159" s="1086">
        <f>5249+52</f>
        <v>5301</v>
      </c>
      <c r="L159" s="1086">
        <f>5393+54</f>
        <v>5447</v>
      </c>
      <c r="M159" s="1086">
        <f>5539+54</f>
        <v>5593</v>
      </c>
      <c r="N159" s="1086">
        <f>5690+56</f>
        <v>5746</v>
      </c>
      <c r="O159" s="1086"/>
      <c r="P159" s="1086"/>
      <c r="Q159" s="1086"/>
      <c r="R159" s="1086"/>
      <c r="S159" s="1086"/>
      <c r="T159" s="1086"/>
      <c r="U159" s="1086"/>
      <c r="V159" s="1086"/>
      <c r="W159" s="1086"/>
      <c r="X159" s="46">
        <f t="shared" si="0"/>
        <v>11</v>
      </c>
    </row>
    <row r="162" spans="1:6">
      <c r="A162" s="6" t="s">
        <v>761</v>
      </c>
    </row>
    <row r="163" spans="1:6">
      <c r="A163" s="2" t="s">
        <v>399</v>
      </c>
      <c r="C163" s="32" t="s">
        <v>868</v>
      </c>
      <c r="D163" s="58">
        <v>31087.68</v>
      </c>
    </row>
    <row r="164" spans="1:6">
      <c r="A164" s="2" t="s">
        <v>128</v>
      </c>
      <c r="C164" s="32"/>
      <c r="D164" s="58">
        <v>466.8</v>
      </c>
    </row>
    <row r="165" spans="1:6">
      <c r="C165" s="32"/>
      <c r="D165" s="971"/>
    </row>
    <row r="166" spans="1:6">
      <c r="C166" s="32"/>
      <c r="D166" s="971"/>
    </row>
    <row r="167" spans="1:6">
      <c r="A167" s="22" t="s">
        <v>180</v>
      </c>
      <c r="B167" s="21"/>
      <c r="C167" s="975"/>
      <c r="D167" s="972"/>
      <c r="F167" s="23"/>
    </row>
    <row r="168" spans="1:6">
      <c r="A168" s="21" t="s">
        <v>181</v>
      </c>
      <c r="B168" s="21"/>
      <c r="C168" s="975" t="s">
        <v>762</v>
      </c>
      <c r="D168" s="61">
        <v>32282</v>
      </c>
      <c r="F168" s="23"/>
    </row>
    <row r="169" spans="1:6">
      <c r="A169" s="21" t="s">
        <v>182</v>
      </c>
      <c r="B169" s="21"/>
      <c r="C169" s="975"/>
      <c r="D169" s="61">
        <v>10800</v>
      </c>
      <c r="F169" s="23"/>
    </row>
    <row r="170" spans="1:6">
      <c r="A170" s="21" t="s">
        <v>183</v>
      </c>
      <c r="B170" s="21"/>
      <c r="C170" s="975"/>
      <c r="D170" s="61">
        <v>183</v>
      </c>
      <c r="F170" s="23"/>
    </row>
    <row r="171" spans="1:6">
      <c r="A171" s="1091" t="s">
        <v>184</v>
      </c>
      <c r="B171" s="1091"/>
      <c r="C171" s="1092"/>
      <c r="D171" s="1093">
        <v>0</v>
      </c>
      <c r="F171" s="23"/>
    </row>
    <row r="172" spans="1:6">
      <c r="A172" s="21"/>
      <c r="B172" s="21"/>
      <c r="C172" s="975"/>
      <c r="D172" s="21"/>
      <c r="F172" s="23"/>
    </row>
    <row r="173" spans="1:6">
      <c r="A173" s="22" t="s">
        <v>588</v>
      </c>
      <c r="B173" s="21"/>
      <c r="C173" s="975"/>
      <c r="D173" s="23"/>
    </row>
    <row r="174" spans="1:6">
      <c r="A174" s="21" t="s">
        <v>589</v>
      </c>
      <c r="B174" s="21"/>
      <c r="C174" s="975" t="s">
        <v>869</v>
      </c>
      <c r="D174" s="59">
        <v>0</v>
      </c>
    </row>
    <row r="175" spans="1:6">
      <c r="A175" s="21" t="s">
        <v>590</v>
      </c>
      <c r="B175" s="21"/>
      <c r="C175" s="975"/>
      <c r="D175" s="24">
        <f>ROUND(+D174/195,4)</f>
        <v>0</v>
      </c>
      <c r="F175" s="23"/>
    </row>
    <row r="176" spans="1:6">
      <c r="A176" s="21" t="s">
        <v>591</v>
      </c>
      <c r="B176" s="21"/>
      <c r="C176" s="975"/>
      <c r="D176" s="25">
        <f>+D175*tab!D94</f>
        <v>0</v>
      </c>
      <c r="F176" s="23"/>
    </row>
    <row r="177" spans="1:10">
      <c r="C177" s="32"/>
    </row>
    <row r="179" spans="1:10">
      <c r="A179" s="6" t="s">
        <v>7</v>
      </c>
    </row>
    <row r="180" spans="1:10">
      <c r="C180" s="6"/>
      <c r="D180" s="60" t="s">
        <v>575</v>
      </c>
      <c r="E180" s="23"/>
    </row>
    <row r="181" spans="1:10">
      <c r="D181" s="26"/>
      <c r="E181" s="27" t="s">
        <v>576</v>
      </c>
      <c r="G181" s="2" t="s">
        <v>577</v>
      </c>
      <c r="I181" s="28"/>
      <c r="J181" s="28"/>
    </row>
    <row r="182" spans="1:10">
      <c r="D182" s="26" t="s">
        <v>150</v>
      </c>
      <c r="E182" s="27" t="s">
        <v>663</v>
      </c>
      <c r="F182" s="27" t="s">
        <v>664</v>
      </c>
      <c r="G182" s="27" t="s">
        <v>663</v>
      </c>
      <c r="H182" s="27" t="s">
        <v>664</v>
      </c>
      <c r="I182" s="28"/>
      <c r="J182" s="28"/>
    </row>
    <row r="183" spans="1:10">
      <c r="D183" s="26" t="s">
        <v>107</v>
      </c>
      <c r="E183" s="974">
        <v>5159.87</v>
      </c>
      <c r="F183" s="974">
        <v>3439.92</v>
      </c>
      <c r="G183" s="974">
        <v>559</v>
      </c>
      <c r="H183" s="974">
        <v>373</v>
      </c>
      <c r="I183" s="28"/>
      <c r="J183" s="28"/>
    </row>
    <row r="184" spans="1:10">
      <c r="D184" s="26" t="s">
        <v>108</v>
      </c>
      <c r="E184" s="974">
        <v>3337.35</v>
      </c>
      <c r="F184" s="974">
        <v>2224.9</v>
      </c>
      <c r="G184" s="974">
        <v>216</v>
      </c>
      <c r="H184" s="974">
        <v>144</v>
      </c>
      <c r="I184" s="28"/>
      <c r="J184" s="28"/>
    </row>
    <row r="185" spans="1:10">
      <c r="D185" s="26" t="s">
        <v>109</v>
      </c>
      <c r="E185" s="974">
        <v>3337.35</v>
      </c>
      <c r="F185" s="974">
        <v>2224.9</v>
      </c>
      <c r="G185" s="974">
        <v>274</v>
      </c>
      <c r="H185" s="974">
        <v>183</v>
      </c>
      <c r="I185" s="28"/>
      <c r="J185" s="28"/>
    </row>
    <row r="186" spans="1:10">
      <c r="D186" s="26" t="s">
        <v>110</v>
      </c>
      <c r="E186" s="974">
        <v>4517.25</v>
      </c>
      <c r="F186" s="974">
        <v>3011.5</v>
      </c>
      <c r="G186" s="974">
        <v>405</v>
      </c>
      <c r="H186" s="974">
        <v>270</v>
      </c>
      <c r="I186" s="28"/>
      <c r="J186" s="28"/>
    </row>
    <row r="187" spans="1:10">
      <c r="D187" s="26" t="s">
        <v>112</v>
      </c>
      <c r="E187" s="974">
        <v>2921.51</v>
      </c>
      <c r="F187" s="974">
        <v>1947.67</v>
      </c>
      <c r="G187" s="974">
        <v>236</v>
      </c>
      <c r="H187" s="974">
        <v>157</v>
      </c>
      <c r="I187" s="28"/>
      <c r="J187" s="28"/>
    </row>
    <row r="188" spans="1:10">
      <c r="D188" s="26" t="s">
        <v>113</v>
      </c>
      <c r="E188" s="974">
        <v>2921.51</v>
      </c>
      <c r="F188" s="974">
        <v>1947.67</v>
      </c>
      <c r="G188" s="974">
        <v>236</v>
      </c>
      <c r="H188" s="974">
        <v>157</v>
      </c>
      <c r="I188" s="28"/>
      <c r="J188" s="28"/>
    </row>
    <row r="189" spans="1:10">
      <c r="D189" s="26" t="s">
        <v>111</v>
      </c>
      <c r="E189" s="974">
        <v>2921.51</v>
      </c>
      <c r="F189" s="974">
        <v>1947.67</v>
      </c>
      <c r="G189" s="974">
        <v>128</v>
      </c>
      <c r="H189" s="974">
        <v>85</v>
      </c>
      <c r="I189" s="28"/>
      <c r="J189" s="28"/>
    </row>
    <row r="190" spans="1:10">
      <c r="D190" s="26" t="s">
        <v>114</v>
      </c>
      <c r="E190" s="974">
        <v>2921.51</v>
      </c>
      <c r="F190" s="974">
        <v>1947.67</v>
      </c>
      <c r="G190" s="974">
        <v>236</v>
      </c>
      <c r="H190" s="974">
        <v>157</v>
      </c>
      <c r="I190" s="28"/>
      <c r="J190" s="28"/>
    </row>
    <row r="191" spans="1:10">
      <c r="D191" s="26" t="s">
        <v>115</v>
      </c>
      <c r="E191" s="974">
        <v>2921.51</v>
      </c>
      <c r="F191" s="974">
        <v>1947.67</v>
      </c>
      <c r="G191" s="974">
        <v>236</v>
      </c>
      <c r="H191" s="974">
        <v>157</v>
      </c>
      <c r="I191" s="28"/>
      <c r="J191" s="28"/>
    </row>
    <row r="192" spans="1:10">
      <c r="D192" s="29" t="s">
        <v>117</v>
      </c>
      <c r="E192" s="974">
        <v>3337.35</v>
      </c>
      <c r="F192" s="974">
        <v>2224.9</v>
      </c>
      <c r="G192" s="974">
        <v>274</v>
      </c>
      <c r="H192" s="974">
        <v>183</v>
      </c>
      <c r="I192" s="28"/>
      <c r="J192" s="28"/>
    </row>
    <row r="193" spans="4:10">
      <c r="D193" s="29" t="s">
        <v>119</v>
      </c>
      <c r="E193" s="974">
        <v>3337.35</v>
      </c>
      <c r="F193" s="974">
        <v>2224.9</v>
      </c>
      <c r="G193" s="974">
        <v>274</v>
      </c>
      <c r="H193" s="974">
        <v>183</v>
      </c>
      <c r="I193" s="28"/>
      <c r="J193" s="28"/>
    </row>
    <row r="194" spans="4:10">
      <c r="D194" s="29" t="s">
        <v>118</v>
      </c>
      <c r="E194" s="974">
        <v>3337.35</v>
      </c>
      <c r="F194" s="974">
        <v>2224.9</v>
      </c>
      <c r="G194" s="974">
        <v>274</v>
      </c>
      <c r="H194" s="974">
        <v>183</v>
      </c>
      <c r="I194" s="28"/>
      <c r="J194" s="28"/>
    </row>
    <row r="195" spans="4:10">
      <c r="D195" s="29" t="s">
        <v>116</v>
      </c>
      <c r="E195" s="974">
        <v>2921.51</v>
      </c>
      <c r="F195" s="974">
        <v>1947.67</v>
      </c>
      <c r="G195" s="974">
        <v>236</v>
      </c>
      <c r="H195" s="974">
        <v>157</v>
      </c>
      <c r="I195" s="28"/>
      <c r="J195" s="28"/>
    </row>
    <row r="196" spans="4:10">
      <c r="G196" s="2" t="s">
        <v>198</v>
      </c>
    </row>
    <row r="198" spans="4:10">
      <c r="E198" s="2" t="s">
        <v>174</v>
      </c>
      <c r="F198" s="12">
        <f>+tab!D101</f>
        <v>41.16</v>
      </c>
      <c r="G198" s="1" t="s">
        <v>870</v>
      </c>
      <c r="H198" s="12"/>
    </row>
    <row r="199" spans="4:10">
      <c r="D199" s="6" t="s">
        <v>153</v>
      </c>
      <c r="E199" s="2" t="s">
        <v>177</v>
      </c>
      <c r="G199" s="2" t="s">
        <v>197</v>
      </c>
    </row>
    <row r="200" spans="4:10">
      <c r="D200" s="2" t="s">
        <v>150</v>
      </c>
      <c r="E200" s="7" t="s">
        <v>270</v>
      </c>
      <c r="F200" s="2" t="s">
        <v>586</v>
      </c>
      <c r="G200" s="7" t="s">
        <v>270</v>
      </c>
      <c r="H200" s="2" t="s">
        <v>586</v>
      </c>
    </row>
    <row r="201" spans="4:10">
      <c r="D201" s="2" t="s">
        <v>107</v>
      </c>
      <c r="E201" s="9">
        <f>ROUND(+tab!D46*tab!$D$94,2)</f>
        <v>11191.08</v>
      </c>
      <c r="F201" s="9">
        <f>ROUND(+tab!E46*tab!$D$94,2)</f>
        <v>5286.36</v>
      </c>
      <c r="G201" s="51">
        <v>1445</v>
      </c>
      <c r="H201" s="51">
        <v>580</v>
      </c>
    </row>
    <row r="202" spans="4:10">
      <c r="D202" s="2" t="s">
        <v>108</v>
      </c>
      <c r="E202" s="9">
        <f>ROUND(+tab!D47*tab!$D$94,2)</f>
        <v>4977.18</v>
      </c>
      <c r="F202" s="9">
        <f>ROUND(+tab!E47*tab!$D$94,2)</f>
        <v>3419.16</v>
      </c>
      <c r="G202" s="51">
        <v>531</v>
      </c>
      <c r="H202" s="51">
        <v>224</v>
      </c>
    </row>
    <row r="203" spans="4:10">
      <c r="D203" s="2" t="s">
        <v>109</v>
      </c>
      <c r="E203" s="9">
        <f>ROUND(+tab!D48*tab!$D$94,2)</f>
        <v>4977.18</v>
      </c>
      <c r="F203" s="9">
        <f>ROUND(+tab!E48*tab!$D$94,2)</f>
        <v>0</v>
      </c>
      <c r="G203" s="51">
        <v>531</v>
      </c>
      <c r="H203" s="51">
        <v>0</v>
      </c>
    </row>
    <row r="204" spans="4:10">
      <c r="D204" s="2" t="s">
        <v>110</v>
      </c>
      <c r="E204" s="9">
        <f>ROUND(+tab!D49*tab!$D$94,2)</f>
        <v>4298.2</v>
      </c>
      <c r="F204" s="9">
        <f>ROUND(+tab!E49*tab!$D$94,2)</f>
        <v>4564.9399999999996</v>
      </c>
      <c r="G204" s="51">
        <v>511</v>
      </c>
      <c r="H204" s="51">
        <v>421</v>
      </c>
    </row>
    <row r="205" spans="4:10">
      <c r="D205" s="7" t="s">
        <v>112</v>
      </c>
      <c r="E205" s="9">
        <f>ROUND(+tab!D50*tab!$D$94,2)</f>
        <v>4298.2</v>
      </c>
      <c r="F205" s="9">
        <f>ROUND(+tab!E50*tab!$D$94,2)</f>
        <v>2952.36</v>
      </c>
      <c r="G205" s="51">
        <v>460</v>
      </c>
      <c r="H205" s="51">
        <v>246</v>
      </c>
    </row>
    <row r="206" spans="4:10">
      <c r="D206" s="7" t="s">
        <v>113</v>
      </c>
      <c r="E206" s="9">
        <f>ROUND(+tab!D51*tab!$D$94,2)</f>
        <v>4298.2</v>
      </c>
      <c r="F206" s="9">
        <f>ROUND(+tab!E51*tab!$D$94,2)</f>
        <v>2952.36</v>
      </c>
      <c r="G206" s="51">
        <v>460</v>
      </c>
      <c r="H206" s="51">
        <v>246</v>
      </c>
    </row>
    <row r="207" spans="4:10">
      <c r="D207" s="2" t="s">
        <v>111</v>
      </c>
      <c r="E207" s="9">
        <f>ROUND(+tab!D52*tab!$D$94,2)</f>
        <v>4298.2</v>
      </c>
      <c r="F207" s="9">
        <f>ROUND(+tab!E52*tab!$D$94,2)</f>
        <v>2952.36</v>
      </c>
      <c r="G207" s="51">
        <v>307</v>
      </c>
      <c r="H207" s="51">
        <v>134</v>
      </c>
    </row>
    <row r="208" spans="4:10">
      <c r="D208" s="2" t="s">
        <v>114</v>
      </c>
      <c r="E208" s="9">
        <f>ROUND(+tab!D53*tab!$D$94,2)</f>
        <v>4298.2</v>
      </c>
      <c r="F208" s="9">
        <f>ROUND(+tab!E53*tab!$D$94,2)</f>
        <v>2952.36</v>
      </c>
      <c r="G208" s="51">
        <v>460</v>
      </c>
      <c r="H208" s="51">
        <v>246</v>
      </c>
    </row>
    <row r="209" spans="1:8">
      <c r="D209" s="2" t="s">
        <v>115</v>
      </c>
      <c r="E209" s="9">
        <f>ROUND(+tab!D54*tab!$D$94,2)</f>
        <v>4298.2</v>
      </c>
      <c r="F209" s="9">
        <f>ROUND(+tab!E54*tab!$D$94,2)</f>
        <v>2952.36</v>
      </c>
      <c r="G209" s="51">
        <v>460</v>
      </c>
      <c r="H209" s="51">
        <v>246</v>
      </c>
    </row>
    <row r="210" spans="1:8">
      <c r="D210" s="11" t="s">
        <v>117</v>
      </c>
      <c r="E210" s="9">
        <f>ROUND(+tab!D55*tab!$D$94,2)</f>
        <v>4977.18</v>
      </c>
      <c r="F210" s="9">
        <f>ROUND(+tab!E55*tab!$D$94,2)</f>
        <v>3419.16</v>
      </c>
      <c r="G210" s="51">
        <v>531</v>
      </c>
      <c r="H210" s="51">
        <v>285</v>
      </c>
    </row>
    <row r="211" spans="1:8">
      <c r="D211" s="11" t="s">
        <v>118</v>
      </c>
      <c r="E211" s="9">
        <f>ROUND(+tab!D56*tab!$D$94,2)</f>
        <v>4977.18</v>
      </c>
      <c r="F211" s="9">
        <f>ROUND(+tab!E56*tab!$D$94,2)</f>
        <v>3419.16</v>
      </c>
      <c r="G211" s="51">
        <v>531</v>
      </c>
      <c r="H211" s="51">
        <v>285</v>
      </c>
    </row>
    <row r="212" spans="1:8">
      <c r="D212" s="11" t="s">
        <v>116</v>
      </c>
      <c r="E212" s="9">
        <f>ROUND(+tab!D57*tab!$D$94,2)</f>
        <v>4298.2</v>
      </c>
      <c r="F212" s="9">
        <f>ROUND(+tab!E57*tab!$D$94,2)</f>
        <v>2952.36</v>
      </c>
      <c r="G212" s="51">
        <v>460</v>
      </c>
      <c r="H212" s="51">
        <v>246</v>
      </c>
    </row>
    <row r="213" spans="1:8">
      <c r="D213" s="11" t="s">
        <v>119</v>
      </c>
      <c r="E213" s="9">
        <f>ROUND(+tab!D58*tab!$D$94,2)</f>
        <v>4977.18</v>
      </c>
      <c r="F213" s="9">
        <f>ROUND(+tab!E58*tab!$D$94,2)</f>
        <v>3419.16</v>
      </c>
      <c r="G213" s="51">
        <v>531</v>
      </c>
      <c r="H213" s="51">
        <v>285</v>
      </c>
    </row>
    <row r="214" spans="1:8">
      <c r="G214" s="2" t="s">
        <v>198</v>
      </c>
    </row>
    <row r="216" spans="1:8" s="6" customFormat="1">
      <c r="A216" s="6" t="s">
        <v>578</v>
      </c>
      <c r="E216" s="2" t="s">
        <v>871</v>
      </c>
    </row>
    <row r="217" spans="1:8">
      <c r="C217" s="6"/>
      <c r="E217" s="30"/>
      <c r="F217" s="6" t="s">
        <v>188</v>
      </c>
      <c r="G217" s="6"/>
    </row>
    <row r="218" spans="1:8">
      <c r="E218" s="6" t="s">
        <v>103</v>
      </c>
      <c r="F218" s="6" t="s">
        <v>120</v>
      </c>
      <c r="G218" s="2" t="s">
        <v>189</v>
      </c>
      <c r="H218" s="2" t="s">
        <v>190</v>
      </c>
    </row>
    <row r="219" spans="1:8">
      <c r="E219" s="2" t="s">
        <v>191</v>
      </c>
      <c r="F219" s="2" t="s">
        <v>191</v>
      </c>
      <c r="G219" s="2" t="s">
        <v>192</v>
      </c>
      <c r="H219" s="2" t="s">
        <v>193</v>
      </c>
    </row>
    <row r="220" spans="1:8">
      <c r="D220" s="2" t="s">
        <v>107</v>
      </c>
      <c r="E220" s="62">
        <v>1074.08</v>
      </c>
      <c r="F220" s="62">
        <v>1074.08</v>
      </c>
      <c r="G220" s="62">
        <v>174.9</v>
      </c>
      <c r="H220" s="62">
        <v>124.68</v>
      </c>
    </row>
    <row r="221" spans="1:8">
      <c r="D221" s="2" t="s">
        <v>108</v>
      </c>
      <c r="E221" s="62">
        <v>808.23</v>
      </c>
      <c r="F221" s="62">
        <v>910.52</v>
      </c>
      <c r="G221" s="976">
        <f>G220</f>
        <v>174.9</v>
      </c>
      <c r="H221" s="976">
        <f t="shared" ref="H221:H232" si="2">H220</f>
        <v>124.68</v>
      </c>
    </row>
    <row r="222" spans="1:8">
      <c r="D222" s="2" t="s">
        <v>109</v>
      </c>
      <c r="E222" s="62">
        <v>791.19</v>
      </c>
      <c r="F222" s="62">
        <v>0</v>
      </c>
      <c r="G222" s="976">
        <f t="shared" ref="G222:G232" si="3">G221</f>
        <v>174.9</v>
      </c>
      <c r="H222" s="976">
        <f t="shared" si="2"/>
        <v>124.68</v>
      </c>
    </row>
    <row r="223" spans="1:8">
      <c r="D223" s="2" t="s">
        <v>110</v>
      </c>
      <c r="E223" s="62">
        <v>937.68</v>
      </c>
      <c r="F223" s="62">
        <v>1039.95</v>
      </c>
      <c r="G223" s="976">
        <f t="shared" si="3"/>
        <v>174.9</v>
      </c>
      <c r="H223" s="976">
        <f t="shared" si="2"/>
        <v>124.68</v>
      </c>
    </row>
    <row r="224" spans="1:8">
      <c r="C224" s="7"/>
      <c r="D224" s="2" t="s">
        <v>112</v>
      </c>
      <c r="E224" s="62">
        <v>791.19</v>
      </c>
      <c r="F224" s="62">
        <v>893.49</v>
      </c>
      <c r="G224" s="976">
        <f t="shared" si="3"/>
        <v>174.9</v>
      </c>
      <c r="H224" s="976">
        <f t="shared" si="2"/>
        <v>124.68</v>
      </c>
    </row>
    <row r="225" spans="1:14">
      <c r="C225" s="7"/>
      <c r="D225" s="2" t="s">
        <v>113</v>
      </c>
      <c r="E225" s="62">
        <v>808.23</v>
      </c>
      <c r="F225" s="62">
        <v>893.49</v>
      </c>
      <c r="G225" s="976">
        <f t="shared" si="3"/>
        <v>174.9</v>
      </c>
      <c r="H225" s="976">
        <f t="shared" si="2"/>
        <v>124.68</v>
      </c>
    </row>
    <row r="226" spans="1:14">
      <c r="C226" s="7"/>
      <c r="D226" s="2" t="s">
        <v>111</v>
      </c>
      <c r="E226" s="62">
        <v>791.19</v>
      </c>
      <c r="F226" s="62">
        <v>808.23</v>
      </c>
      <c r="G226" s="976">
        <f t="shared" si="3"/>
        <v>174.9</v>
      </c>
      <c r="H226" s="976">
        <f t="shared" si="2"/>
        <v>124.68</v>
      </c>
    </row>
    <row r="227" spans="1:14">
      <c r="D227" s="2" t="s">
        <v>114</v>
      </c>
      <c r="E227" s="62">
        <v>808.23</v>
      </c>
      <c r="F227" s="62">
        <v>893.49</v>
      </c>
      <c r="G227" s="976">
        <f t="shared" si="3"/>
        <v>174.9</v>
      </c>
      <c r="H227" s="976">
        <f t="shared" si="2"/>
        <v>124.68</v>
      </c>
    </row>
    <row r="228" spans="1:14">
      <c r="D228" s="2" t="s">
        <v>115</v>
      </c>
      <c r="E228" s="62">
        <v>808.23</v>
      </c>
      <c r="F228" s="62">
        <v>893.49</v>
      </c>
      <c r="G228" s="976">
        <f t="shared" si="3"/>
        <v>174.9</v>
      </c>
      <c r="H228" s="976">
        <f t="shared" si="2"/>
        <v>124.68</v>
      </c>
    </row>
    <row r="229" spans="1:14">
      <c r="C229" s="11"/>
      <c r="D229" s="11" t="s">
        <v>117</v>
      </c>
      <c r="E229" s="62">
        <v>1516.16</v>
      </c>
      <c r="F229" s="62">
        <v>1516.16</v>
      </c>
      <c r="G229" s="976">
        <f t="shared" si="3"/>
        <v>174.9</v>
      </c>
      <c r="H229" s="976">
        <f t="shared" si="2"/>
        <v>124.68</v>
      </c>
    </row>
    <row r="230" spans="1:14">
      <c r="C230" s="11"/>
      <c r="D230" s="11" t="s">
        <v>119</v>
      </c>
      <c r="E230" s="62">
        <v>1998.13</v>
      </c>
      <c r="F230" s="62">
        <v>1998.13</v>
      </c>
      <c r="G230" s="976">
        <f t="shared" si="3"/>
        <v>174.9</v>
      </c>
      <c r="H230" s="976">
        <f t="shared" si="2"/>
        <v>124.68</v>
      </c>
    </row>
    <row r="231" spans="1:14">
      <c r="C231" s="11"/>
      <c r="D231" s="11" t="s">
        <v>118</v>
      </c>
      <c r="E231" s="62">
        <v>1022.94</v>
      </c>
      <c r="F231" s="62">
        <v>1039.95</v>
      </c>
      <c r="G231" s="976">
        <f t="shared" si="3"/>
        <v>174.9</v>
      </c>
      <c r="H231" s="976">
        <f t="shared" si="2"/>
        <v>124.68</v>
      </c>
    </row>
    <row r="232" spans="1:14">
      <c r="C232" s="11"/>
      <c r="D232" s="11" t="s">
        <v>116</v>
      </c>
      <c r="E232" s="62">
        <v>1152.3800000000001</v>
      </c>
      <c r="F232" s="62">
        <v>1169.42</v>
      </c>
      <c r="G232" s="976">
        <f t="shared" si="3"/>
        <v>174.9</v>
      </c>
      <c r="H232" s="976">
        <f t="shared" si="2"/>
        <v>124.68</v>
      </c>
    </row>
    <row r="236" spans="1:14" s="979" customFormat="1">
      <c r="A236" s="977" t="s">
        <v>196</v>
      </c>
      <c r="B236" s="978"/>
      <c r="F236" s="980"/>
      <c r="G236" s="981"/>
      <c r="I236" s="980"/>
    </row>
    <row r="237" spans="1:14">
      <c r="E237" s="6" t="s">
        <v>763</v>
      </c>
      <c r="F237" s="6"/>
      <c r="G237" s="6"/>
      <c r="H237" s="6">
        <v>2013</v>
      </c>
    </row>
    <row r="238" spans="1:14">
      <c r="E238" s="11" t="s">
        <v>121</v>
      </c>
      <c r="F238" s="11" t="s">
        <v>123</v>
      </c>
      <c r="G238" s="11" t="s">
        <v>124</v>
      </c>
      <c r="H238" s="11"/>
      <c r="I238" s="2" t="s">
        <v>125</v>
      </c>
      <c r="L238" s="6" t="s">
        <v>126</v>
      </c>
      <c r="M238" s="11"/>
    </row>
    <row r="239" spans="1:14">
      <c r="A239" s="32" t="s">
        <v>36</v>
      </c>
      <c r="E239" s="11"/>
      <c r="F239" s="11"/>
      <c r="G239" s="11" t="s">
        <v>104</v>
      </c>
      <c r="H239" s="11" t="s">
        <v>122</v>
      </c>
      <c r="I239" s="11" t="s">
        <v>104</v>
      </c>
      <c r="J239" s="11" t="s">
        <v>122</v>
      </c>
      <c r="L239" s="33" t="s">
        <v>261</v>
      </c>
      <c r="M239" s="33" t="s">
        <v>279</v>
      </c>
      <c r="N239" s="33" t="s">
        <v>579</v>
      </c>
    </row>
    <row r="240" spans="1:14">
      <c r="A240" s="32" t="s">
        <v>37</v>
      </c>
      <c r="D240" s="40">
        <v>1.7999999999999999E-2</v>
      </c>
      <c r="E240" s="11" t="s">
        <v>105</v>
      </c>
      <c r="F240" s="63">
        <v>0</v>
      </c>
      <c r="G240" s="63">
        <v>0</v>
      </c>
      <c r="H240" s="63">
        <v>0</v>
      </c>
      <c r="I240" s="63">
        <v>0</v>
      </c>
      <c r="J240" s="63">
        <v>0</v>
      </c>
      <c r="L240" s="2" t="s">
        <v>105</v>
      </c>
      <c r="M240" s="2">
        <v>1</v>
      </c>
      <c r="N240" s="1">
        <v>1</v>
      </c>
    </row>
    <row r="241" spans="1:14">
      <c r="A241" s="32" t="s">
        <v>38</v>
      </c>
      <c r="E241" s="11" t="s">
        <v>106</v>
      </c>
      <c r="F241" s="63">
        <v>0</v>
      </c>
      <c r="G241" s="63">
        <v>0</v>
      </c>
      <c r="H241" s="63">
        <v>0</v>
      </c>
      <c r="I241" s="63">
        <v>0</v>
      </c>
      <c r="J241" s="63">
        <v>0</v>
      </c>
      <c r="L241" s="2" t="s">
        <v>106</v>
      </c>
      <c r="M241" s="2">
        <v>1</v>
      </c>
      <c r="N241" s="1">
        <v>1</v>
      </c>
    </row>
    <row r="242" spans="1:14">
      <c r="A242" s="34">
        <f>1/(1+D240)</f>
        <v>0.98231827111984282</v>
      </c>
      <c r="D242" s="2" t="s">
        <v>680</v>
      </c>
      <c r="E242" s="11" t="s">
        <v>107</v>
      </c>
      <c r="F242" s="48">
        <v>17264.62</v>
      </c>
      <c r="G242" s="48">
        <v>3246.73</v>
      </c>
      <c r="H242" s="48">
        <v>4045.23</v>
      </c>
      <c r="I242" s="48">
        <v>5000.01</v>
      </c>
      <c r="J242" s="48">
        <v>3987.83</v>
      </c>
      <c r="L242" s="35" t="s">
        <v>107</v>
      </c>
      <c r="M242" s="2">
        <v>6</v>
      </c>
      <c r="N242" s="1">
        <v>6</v>
      </c>
    </row>
    <row r="243" spans="1:14">
      <c r="D243" s="2" t="s">
        <v>423</v>
      </c>
      <c r="E243" s="11" t="s">
        <v>108</v>
      </c>
      <c r="F243" s="48">
        <v>8113.36</v>
      </c>
      <c r="G243" s="48">
        <v>3214.28</v>
      </c>
      <c r="H243" s="48">
        <v>5222.3100000000004</v>
      </c>
      <c r="I243" s="48">
        <v>5244.06</v>
      </c>
      <c r="J243" s="48">
        <v>4004.98</v>
      </c>
      <c r="L243" s="35" t="s">
        <v>108</v>
      </c>
      <c r="M243" s="2">
        <v>12</v>
      </c>
      <c r="N243" s="1">
        <v>7</v>
      </c>
    </row>
    <row r="244" spans="1:14">
      <c r="D244" s="2" t="s">
        <v>424</v>
      </c>
      <c r="E244" s="11" t="s">
        <v>109</v>
      </c>
      <c r="F244" s="48">
        <v>8189.99</v>
      </c>
      <c r="G244" s="48">
        <v>3267.35</v>
      </c>
      <c r="H244" s="48">
        <v>5308.52</v>
      </c>
      <c r="I244" s="48" t="s">
        <v>319</v>
      </c>
      <c r="J244" s="48" t="s">
        <v>319</v>
      </c>
      <c r="L244" s="35" t="s">
        <v>109</v>
      </c>
      <c r="M244" s="2">
        <v>12</v>
      </c>
      <c r="N244" s="1">
        <v>7</v>
      </c>
    </row>
    <row r="245" spans="1:14">
      <c r="D245" s="2" t="s">
        <v>425</v>
      </c>
      <c r="E245" s="11" t="s">
        <v>110</v>
      </c>
      <c r="F245" s="48">
        <v>14833.84</v>
      </c>
      <c r="G245" s="48">
        <v>7545.27</v>
      </c>
      <c r="H245" s="48">
        <v>7206.35</v>
      </c>
      <c r="I245" s="48">
        <v>6316.65</v>
      </c>
      <c r="J245" s="48">
        <v>5559.47</v>
      </c>
      <c r="L245" s="35" t="s">
        <v>110</v>
      </c>
      <c r="M245" s="2">
        <v>12</v>
      </c>
      <c r="N245" s="1">
        <v>7</v>
      </c>
    </row>
    <row r="246" spans="1:14">
      <c r="D246" s="2" t="s">
        <v>426</v>
      </c>
      <c r="E246" s="11" t="s">
        <v>111</v>
      </c>
      <c r="F246" s="48">
        <v>8028</v>
      </c>
      <c r="G246" s="48">
        <v>4269.28</v>
      </c>
      <c r="H246" s="48">
        <v>5200.8</v>
      </c>
      <c r="I246" s="48">
        <v>5763.93</v>
      </c>
      <c r="J246" s="48">
        <v>4983.3500000000004</v>
      </c>
      <c r="L246" s="35" t="s">
        <v>111</v>
      </c>
      <c r="M246" s="2">
        <v>12</v>
      </c>
      <c r="N246" s="1">
        <v>7</v>
      </c>
    </row>
    <row r="247" spans="1:14">
      <c r="D247" s="2" t="s">
        <v>427</v>
      </c>
      <c r="E247" s="11" t="s">
        <v>112</v>
      </c>
      <c r="F247" s="48">
        <v>8692.39</v>
      </c>
      <c r="G247" s="48">
        <v>4674.03</v>
      </c>
      <c r="H247" s="48">
        <v>5901.41</v>
      </c>
      <c r="I247" s="48">
        <v>5684.12</v>
      </c>
      <c r="J247" s="48">
        <v>4688.12</v>
      </c>
      <c r="L247" s="35" t="s">
        <v>112</v>
      </c>
      <c r="M247" s="2">
        <v>13</v>
      </c>
      <c r="N247" s="1">
        <v>7</v>
      </c>
    </row>
    <row r="248" spans="1:14">
      <c r="D248" s="2" t="s">
        <v>428</v>
      </c>
      <c r="E248" s="35" t="s">
        <v>113</v>
      </c>
      <c r="F248" s="48">
        <v>6839.42</v>
      </c>
      <c r="G248" s="48">
        <v>4459.46</v>
      </c>
      <c r="H248" s="48">
        <v>5190.43</v>
      </c>
      <c r="I248" s="48">
        <v>6629.43</v>
      </c>
      <c r="J248" s="48">
        <v>3701.57</v>
      </c>
      <c r="L248" s="35" t="s">
        <v>113</v>
      </c>
      <c r="M248" s="2">
        <v>12</v>
      </c>
      <c r="N248" s="1">
        <v>7</v>
      </c>
    </row>
    <row r="249" spans="1:14">
      <c r="D249" s="2" t="s">
        <v>429</v>
      </c>
      <c r="E249" s="35" t="s">
        <v>114</v>
      </c>
      <c r="F249" s="48">
        <v>6839.42</v>
      </c>
      <c r="G249" s="48">
        <v>4459.46</v>
      </c>
      <c r="H249" s="48">
        <v>5190.43</v>
      </c>
      <c r="I249" s="48">
        <v>6629.43</v>
      </c>
      <c r="J249" s="48">
        <v>3701.57</v>
      </c>
      <c r="L249" s="35" t="s">
        <v>114</v>
      </c>
      <c r="M249" s="2">
        <v>12</v>
      </c>
      <c r="N249" s="1">
        <v>7</v>
      </c>
    </row>
    <row r="250" spans="1:14">
      <c r="D250" s="2" t="s">
        <v>430</v>
      </c>
      <c r="E250" s="35" t="s">
        <v>115</v>
      </c>
      <c r="F250" s="48">
        <v>6839.42</v>
      </c>
      <c r="G250" s="48">
        <v>4459.46</v>
      </c>
      <c r="H250" s="48">
        <v>5190.43</v>
      </c>
      <c r="I250" s="48">
        <v>6629.43</v>
      </c>
      <c r="J250" s="48">
        <v>3701.57</v>
      </c>
      <c r="L250" s="35" t="s">
        <v>115</v>
      </c>
      <c r="M250" s="2">
        <v>12</v>
      </c>
      <c r="N250" s="1">
        <v>7</v>
      </c>
    </row>
    <row r="251" spans="1:14">
      <c r="D251" s="2" t="s">
        <v>431</v>
      </c>
      <c r="E251" s="11" t="s">
        <v>116</v>
      </c>
      <c r="F251" s="48">
        <v>12447.08</v>
      </c>
      <c r="G251" s="48">
        <v>3215.62</v>
      </c>
      <c r="H251" s="48">
        <v>6498.12</v>
      </c>
      <c r="I251" s="48">
        <v>5633.3</v>
      </c>
      <c r="J251" s="48">
        <v>5632.38</v>
      </c>
      <c r="L251" s="35" t="s">
        <v>116</v>
      </c>
      <c r="M251" s="2">
        <v>7</v>
      </c>
      <c r="N251" s="1">
        <v>7</v>
      </c>
    </row>
    <row r="252" spans="1:14">
      <c r="D252" s="2" t="s">
        <v>432</v>
      </c>
      <c r="E252" s="11" t="s">
        <v>117</v>
      </c>
      <c r="F252" s="48">
        <v>13570.08</v>
      </c>
      <c r="G252" s="48">
        <v>3655.75</v>
      </c>
      <c r="H252" s="48">
        <v>4507.45</v>
      </c>
      <c r="I252" s="48">
        <v>5305.58</v>
      </c>
      <c r="J252" s="48">
        <v>4386.04</v>
      </c>
      <c r="L252" s="35" t="s">
        <v>117</v>
      </c>
      <c r="M252" s="2">
        <v>3</v>
      </c>
      <c r="N252" s="1">
        <v>3</v>
      </c>
    </row>
    <row r="253" spans="1:14">
      <c r="D253" s="2" t="s">
        <v>433</v>
      </c>
      <c r="E253" s="11" t="s">
        <v>118</v>
      </c>
      <c r="F253" s="48">
        <v>8079.33</v>
      </c>
      <c r="G253" s="48">
        <v>3636.28</v>
      </c>
      <c r="H253" s="48">
        <v>5213.7</v>
      </c>
      <c r="I253" s="48">
        <v>5452.01</v>
      </c>
      <c r="J253" s="48">
        <v>4396.33</v>
      </c>
      <c r="L253" s="35" t="s">
        <v>118</v>
      </c>
      <c r="M253" s="2">
        <v>7</v>
      </c>
      <c r="N253" s="1">
        <v>7</v>
      </c>
    </row>
    <row r="254" spans="1:14">
      <c r="E254" s="11" t="s">
        <v>119</v>
      </c>
      <c r="F254" s="48">
        <v>17264.62</v>
      </c>
      <c r="G254" s="48">
        <v>3246.73</v>
      </c>
      <c r="H254" s="48">
        <v>4045.23</v>
      </c>
      <c r="I254" s="48">
        <v>5000.01</v>
      </c>
      <c r="J254" s="48">
        <v>3987.83</v>
      </c>
      <c r="L254" s="35" t="s">
        <v>119</v>
      </c>
      <c r="M254" s="2">
        <v>2</v>
      </c>
      <c r="N254" s="1">
        <v>2</v>
      </c>
    </row>
    <row r="256" spans="1:14">
      <c r="E256" s="18" t="s">
        <v>39</v>
      </c>
    </row>
    <row r="257" spans="4:13">
      <c r="E257" s="36" t="s">
        <v>121</v>
      </c>
      <c r="F257" s="36" t="s">
        <v>127</v>
      </c>
      <c r="G257" s="36" t="s">
        <v>124</v>
      </c>
      <c r="H257" s="36"/>
      <c r="I257" s="23" t="s">
        <v>125</v>
      </c>
    </row>
    <row r="258" spans="4:13">
      <c r="E258" s="36"/>
      <c r="F258" s="36"/>
      <c r="G258" s="36" t="s">
        <v>104</v>
      </c>
      <c r="H258" s="36" t="s">
        <v>128</v>
      </c>
      <c r="I258" s="36" t="s">
        <v>104</v>
      </c>
      <c r="J258" s="36" t="s">
        <v>128</v>
      </c>
      <c r="K258" s="36"/>
      <c r="L258" s="2" t="s">
        <v>261</v>
      </c>
      <c r="M258" s="6" t="s">
        <v>262</v>
      </c>
    </row>
    <row r="259" spans="4:13">
      <c r="E259" s="11" t="s">
        <v>105</v>
      </c>
      <c r="F259" s="63">
        <v>0</v>
      </c>
      <c r="G259" s="63">
        <v>0</v>
      </c>
      <c r="H259" s="63">
        <v>0</v>
      </c>
      <c r="I259" s="63">
        <v>0</v>
      </c>
      <c r="J259" s="63">
        <v>0</v>
      </c>
      <c r="L259" s="2" t="s">
        <v>105</v>
      </c>
      <c r="M259" s="51">
        <v>0</v>
      </c>
    </row>
    <row r="260" spans="4:13">
      <c r="E260" s="11" t="s">
        <v>106</v>
      </c>
      <c r="F260" s="63">
        <v>0</v>
      </c>
      <c r="G260" s="63">
        <v>0</v>
      </c>
      <c r="H260" s="63">
        <v>0</v>
      </c>
      <c r="I260" s="63">
        <v>0</v>
      </c>
      <c r="J260" s="63">
        <v>0</v>
      </c>
      <c r="L260" s="2" t="s">
        <v>106</v>
      </c>
      <c r="M260" s="51">
        <v>0</v>
      </c>
    </row>
    <row r="261" spans="4:13">
      <c r="D261" s="2" t="s">
        <v>680</v>
      </c>
      <c r="E261" s="36" t="s">
        <v>107</v>
      </c>
      <c r="F261" s="49">
        <v>11888.57</v>
      </c>
      <c r="G261" s="49">
        <v>6654</v>
      </c>
      <c r="H261" s="49">
        <v>1062.7</v>
      </c>
      <c r="I261" s="49">
        <v>7140</v>
      </c>
      <c r="J261" s="49">
        <v>1172.31</v>
      </c>
      <c r="K261" s="12"/>
      <c r="L261" s="35" t="s">
        <v>107</v>
      </c>
      <c r="M261" s="52">
        <v>634</v>
      </c>
    </row>
    <row r="262" spans="4:13">
      <c r="D262" s="2" t="s">
        <v>423</v>
      </c>
      <c r="E262" s="36" t="s">
        <v>108</v>
      </c>
      <c r="F262" s="49">
        <f>F261</f>
        <v>11888.57</v>
      </c>
      <c r="G262" s="49">
        <v>5808</v>
      </c>
      <c r="H262" s="49">
        <v>904.35</v>
      </c>
      <c r="I262" s="49">
        <v>6516</v>
      </c>
      <c r="J262" s="49">
        <v>1116.43</v>
      </c>
      <c r="K262" s="12"/>
      <c r="L262" s="35" t="s">
        <v>108</v>
      </c>
      <c r="M262" s="52">
        <v>0</v>
      </c>
    </row>
    <row r="263" spans="4:13">
      <c r="D263" s="2" t="s">
        <v>424</v>
      </c>
      <c r="E263" s="36" t="s">
        <v>109</v>
      </c>
      <c r="F263" s="49">
        <f>F261</f>
        <v>11888.57</v>
      </c>
      <c r="G263" s="49">
        <v>4964</v>
      </c>
      <c r="H263" s="49">
        <v>753.79</v>
      </c>
      <c r="I263" s="49" t="s">
        <v>319</v>
      </c>
      <c r="J263" s="49" t="s">
        <v>319</v>
      </c>
      <c r="K263" s="12"/>
      <c r="L263" s="35" t="s">
        <v>109</v>
      </c>
      <c r="M263" s="52">
        <v>0</v>
      </c>
    </row>
    <row r="264" spans="4:13">
      <c r="D264" s="2" t="s">
        <v>425</v>
      </c>
      <c r="E264" s="36" t="s">
        <v>110</v>
      </c>
      <c r="F264" s="49">
        <f>F261</f>
        <v>11888.57</v>
      </c>
      <c r="G264" s="49">
        <v>12681</v>
      </c>
      <c r="H264" s="49">
        <v>881.1</v>
      </c>
      <c r="I264" s="49">
        <v>13823</v>
      </c>
      <c r="J264" s="49">
        <v>986.66</v>
      </c>
      <c r="K264" s="12"/>
      <c r="L264" s="35" t="s">
        <v>110</v>
      </c>
      <c r="M264" s="52">
        <v>3134</v>
      </c>
    </row>
    <row r="265" spans="4:13">
      <c r="D265" s="2" t="s">
        <v>426</v>
      </c>
      <c r="E265" s="36" t="s">
        <v>111</v>
      </c>
      <c r="F265" s="49">
        <f>F261</f>
        <v>11888.57</v>
      </c>
      <c r="G265" s="49">
        <v>6027</v>
      </c>
      <c r="H265" s="49">
        <v>609.25</v>
      </c>
      <c r="I265" s="49">
        <v>7156</v>
      </c>
      <c r="J265" s="49">
        <v>942.32</v>
      </c>
      <c r="K265" s="12"/>
      <c r="L265" s="35" t="s">
        <v>111</v>
      </c>
      <c r="M265" s="52">
        <v>77</v>
      </c>
    </row>
    <row r="266" spans="4:13">
      <c r="D266" s="2" t="s">
        <v>427</v>
      </c>
      <c r="E266" s="36" t="s">
        <v>112</v>
      </c>
      <c r="F266" s="49">
        <f>F261</f>
        <v>11888.57</v>
      </c>
      <c r="G266" s="49">
        <v>3881</v>
      </c>
      <c r="H266" s="49">
        <v>600.08000000000004</v>
      </c>
      <c r="I266" s="49">
        <v>7661</v>
      </c>
      <c r="J266" s="49">
        <v>1066.3</v>
      </c>
      <c r="K266" s="12"/>
      <c r="L266" s="35" t="s">
        <v>112</v>
      </c>
      <c r="M266" s="52">
        <v>51</v>
      </c>
    </row>
    <row r="267" spans="4:13">
      <c r="D267" s="2" t="s">
        <v>428</v>
      </c>
      <c r="E267" s="35" t="s">
        <v>113</v>
      </c>
      <c r="F267" s="49">
        <f>F261</f>
        <v>11888.57</v>
      </c>
      <c r="G267" s="49">
        <v>3626</v>
      </c>
      <c r="H267" s="49">
        <v>593.95000000000005</v>
      </c>
      <c r="I267" s="49">
        <v>7637</v>
      </c>
      <c r="J267" s="49">
        <v>809.21</v>
      </c>
      <c r="K267" s="12"/>
      <c r="L267" s="35" t="s">
        <v>113</v>
      </c>
      <c r="M267" s="52">
        <v>11</v>
      </c>
    </row>
    <row r="268" spans="4:13">
      <c r="D268" s="2" t="s">
        <v>429</v>
      </c>
      <c r="E268" s="35" t="s">
        <v>114</v>
      </c>
      <c r="F268" s="49">
        <f>F261</f>
        <v>11888.57</v>
      </c>
      <c r="G268" s="49">
        <v>3626</v>
      </c>
      <c r="H268" s="49">
        <v>593.95000000000005</v>
      </c>
      <c r="I268" s="49">
        <v>7637</v>
      </c>
      <c r="J268" s="49">
        <v>809.21</v>
      </c>
      <c r="K268" s="12"/>
      <c r="L268" s="35" t="s">
        <v>114</v>
      </c>
      <c r="M268" s="52">
        <v>11</v>
      </c>
    </row>
    <row r="269" spans="4:13">
      <c r="D269" s="2" t="s">
        <v>430</v>
      </c>
      <c r="E269" s="35" t="s">
        <v>115</v>
      </c>
      <c r="F269" s="49">
        <f>F261</f>
        <v>11888.57</v>
      </c>
      <c r="G269" s="49">
        <v>3626</v>
      </c>
      <c r="H269" s="49">
        <v>593.95000000000005</v>
      </c>
      <c r="I269" s="49">
        <v>7637</v>
      </c>
      <c r="J269" s="49">
        <v>809.21</v>
      </c>
      <c r="K269" s="12"/>
      <c r="L269" s="35" t="s">
        <v>115</v>
      </c>
      <c r="M269" s="52">
        <v>11</v>
      </c>
    </row>
    <row r="270" spans="4:13">
      <c r="D270" s="2" t="s">
        <v>431</v>
      </c>
      <c r="E270" s="36" t="s">
        <v>116</v>
      </c>
      <c r="F270" s="49">
        <f>F261</f>
        <v>11888.57</v>
      </c>
      <c r="G270" s="49">
        <v>3934</v>
      </c>
      <c r="H270" s="49">
        <v>944.06</v>
      </c>
      <c r="I270" s="49">
        <v>4203</v>
      </c>
      <c r="J270" s="49">
        <v>1171.55</v>
      </c>
      <c r="K270" s="12"/>
      <c r="L270" s="35" t="s">
        <v>116</v>
      </c>
      <c r="M270" s="52">
        <v>1702</v>
      </c>
    </row>
    <row r="271" spans="4:13">
      <c r="D271" s="2" t="s">
        <v>432</v>
      </c>
      <c r="E271" s="36" t="s">
        <v>117</v>
      </c>
      <c r="F271" s="49">
        <f>F261</f>
        <v>11888.57</v>
      </c>
      <c r="G271" s="49">
        <v>10572</v>
      </c>
      <c r="H271" s="49">
        <v>1458.71</v>
      </c>
      <c r="I271" s="49">
        <v>11791</v>
      </c>
      <c r="J271" s="49">
        <v>1784.82</v>
      </c>
      <c r="K271" s="12"/>
      <c r="L271" s="35" t="s">
        <v>117</v>
      </c>
      <c r="M271" s="51">
        <v>0</v>
      </c>
    </row>
    <row r="272" spans="4:13">
      <c r="D272" s="2" t="s">
        <v>433</v>
      </c>
      <c r="E272" s="36" t="s">
        <v>118</v>
      </c>
      <c r="F272" s="49">
        <f>F261</f>
        <v>11888.57</v>
      </c>
      <c r="G272" s="49">
        <v>9726</v>
      </c>
      <c r="H272" s="49">
        <v>1300.3599999999999</v>
      </c>
      <c r="I272" s="49">
        <v>11167</v>
      </c>
      <c r="J272" s="49">
        <v>1728.94</v>
      </c>
      <c r="K272" s="12"/>
      <c r="L272" s="35" t="s">
        <v>118</v>
      </c>
      <c r="M272" s="51">
        <v>0</v>
      </c>
    </row>
    <row r="273" spans="4:13">
      <c r="E273" s="36" t="s">
        <v>119</v>
      </c>
      <c r="F273" s="49">
        <f>F261</f>
        <v>11888.57</v>
      </c>
      <c r="G273" s="49">
        <v>10979.1</v>
      </c>
      <c r="H273" s="49">
        <v>1753.46</v>
      </c>
      <c r="I273" s="49">
        <v>11781</v>
      </c>
      <c r="J273" s="49">
        <v>1934.31</v>
      </c>
      <c r="K273" s="12"/>
      <c r="L273" s="35" t="s">
        <v>119</v>
      </c>
      <c r="M273" s="51">
        <v>0</v>
      </c>
    </row>
    <row r="275" spans="4:13">
      <c r="D275" s="18" t="s">
        <v>129</v>
      </c>
      <c r="E275" s="30"/>
      <c r="F275" s="30"/>
      <c r="G275" s="30"/>
      <c r="H275" s="30"/>
    </row>
    <row r="276" spans="4:13">
      <c r="D276" s="36" t="s">
        <v>121</v>
      </c>
      <c r="E276" s="36"/>
      <c r="F276" s="36" t="s">
        <v>130</v>
      </c>
      <c r="G276" s="36" t="s">
        <v>206</v>
      </c>
      <c r="H276" s="36" t="s">
        <v>131</v>
      </c>
      <c r="I276" s="36" t="s">
        <v>442</v>
      </c>
      <c r="J276" s="36" t="s">
        <v>132</v>
      </c>
      <c r="K276" s="36" t="s">
        <v>133</v>
      </c>
      <c r="L276" s="36" t="s">
        <v>134</v>
      </c>
      <c r="M276" s="36"/>
    </row>
    <row r="277" spans="4:13">
      <c r="D277" s="11" t="s">
        <v>105</v>
      </c>
      <c r="E277" s="37">
        <v>0</v>
      </c>
      <c r="F277" s="36"/>
      <c r="G277" s="36"/>
      <c r="H277" s="36"/>
      <c r="I277" s="36"/>
      <c r="J277" s="36"/>
      <c r="K277" s="36"/>
      <c r="L277" s="36"/>
      <c r="M277" s="36"/>
    </row>
    <row r="278" spans="4:13">
      <c r="D278" s="11" t="s">
        <v>106</v>
      </c>
      <c r="E278" s="37">
        <v>0</v>
      </c>
      <c r="F278" s="36"/>
      <c r="G278" s="36"/>
      <c r="H278" s="36"/>
      <c r="I278" s="36"/>
      <c r="J278" s="36"/>
      <c r="K278" s="36"/>
      <c r="L278" s="36"/>
      <c r="M278" s="36"/>
    </row>
    <row r="279" spans="4:13">
      <c r="D279" s="36" t="s">
        <v>107</v>
      </c>
      <c r="E279" s="37">
        <v>0</v>
      </c>
      <c r="F279" s="36"/>
      <c r="G279" s="36"/>
      <c r="H279" s="36"/>
      <c r="I279" s="36"/>
      <c r="J279" s="36"/>
      <c r="K279" s="36"/>
      <c r="L279" s="36"/>
      <c r="M279" s="36"/>
    </row>
    <row r="280" spans="4:13">
      <c r="D280" s="36" t="s">
        <v>108</v>
      </c>
      <c r="E280" s="37">
        <v>0</v>
      </c>
      <c r="F280" s="36"/>
      <c r="G280" s="36"/>
      <c r="H280" s="36"/>
      <c r="I280" s="36"/>
      <c r="J280" s="36"/>
      <c r="K280" s="36"/>
      <c r="L280" s="36"/>
      <c r="M280" s="36"/>
    </row>
    <row r="281" spans="4:13">
      <c r="D281" s="36" t="s">
        <v>109</v>
      </c>
      <c r="E281" s="37">
        <v>0</v>
      </c>
      <c r="F281" s="36"/>
      <c r="G281" s="36"/>
      <c r="H281" s="36"/>
      <c r="I281" s="36"/>
      <c r="J281" s="36"/>
      <c r="K281" s="36"/>
      <c r="L281" s="36"/>
      <c r="M281" s="36"/>
    </row>
    <row r="282" spans="4:13">
      <c r="D282" s="36" t="s">
        <v>110</v>
      </c>
      <c r="E282" s="37">
        <f>+K282+L282</f>
        <v>41077.040000000001</v>
      </c>
      <c r="F282" s="36" t="s">
        <v>135</v>
      </c>
      <c r="G282" s="968">
        <v>85</v>
      </c>
      <c r="H282" s="969">
        <v>9657.24</v>
      </c>
      <c r="I282" s="969">
        <v>281.14999999999998</v>
      </c>
      <c r="J282" s="970">
        <v>85</v>
      </c>
      <c r="K282" s="9">
        <f>+H282+I282*J282</f>
        <v>33554.99</v>
      </c>
      <c r="L282" s="9">
        <f>+G$292+H$292*J282</f>
        <v>7522.05</v>
      </c>
      <c r="M282" s="23"/>
    </row>
    <row r="283" spans="4:13">
      <c r="D283" s="36" t="s">
        <v>111</v>
      </c>
      <c r="E283" s="37">
        <f t="shared" ref="E283:E291" si="4">+K283+L283</f>
        <v>26453.57</v>
      </c>
      <c r="F283" s="36" t="s">
        <v>136</v>
      </c>
      <c r="G283" s="968">
        <v>19</v>
      </c>
      <c r="H283" s="969">
        <v>20880.82</v>
      </c>
      <c r="I283" s="969">
        <v>163.41999999999999</v>
      </c>
      <c r="J283" s="970">
        <v>19</v>
      </c>
      <c r="K283" s="9">
        <f>+H283+I283*J283</f>
        <v>23985.8</v>
      </c>
      <c r="L283" s="9">
        <f>+G$292+H$292*J283</f>
        <v>2467.77</v>
      </c>
      <c r="M283" s="23"/>
    </row>
    <row r="284" spans="4:13">
      <c r="D284" s="36" t="s">
        <v>112</v>
      </c>
      <c r="E284" s="37">
        <f t="shared" si="4"/>
        <v>0</v>
      </c>
      <c r="K284" s="9"/>
      <c r="L284" s="9"/>
      <c r="M284" s="36"/>
    </row>
    <row r="285" spans="4:13">
      <c r="D285" s="36" t="s">
        <v>113</v>
      </c>
      <c r="E285" s="37">
        <f t="shared" si="4"/>
        <v>0</v>
      </c>
      <c r="K285" s="9"/>
      <c r="L285" s="9"/>
      <c r="M285" s="36"/>
    </row>
    <row r="286" spans="4:13">
      <c r="D286" s="36" t="s">
        <v>114</v>
      </c>
      <c r="E286" s="37">
        <f t="shared" si="4"/>
        <v>0</v>
      </c>
      <c r="K286" s="9"/>
      <c r="L286" s="9"/>
      <c r="M286" s="36"/>
    </row>
    <row r="287" spans="4:13">
      <c r="D287" s="36" t="s">
        <v>115</v>
      </c>
      <c r="E287" s="37">
        <f t="shared" si="4"/>
        <v>0</v>
      </c>
      <c r="K287" s="9"/>
      <c r="L287" s="9"/>
      <c r="M287" s="36"/>
    </row>
    <row r="288" spans="4:13">
      <c r="D288" s="36" t="s">
        <v>116</v>
      </c>
      <c r="E288" s="37">
        <f t="shared" si="4"/>
        <v>41077.040000000001</v>
      </c>
      <c r="F288" s="36" t="s">
        <v>135</v>
      </c>
      <c r="G288" s="55">
        <v>85</v>
      </c>
      <c r="H288" s="37">
        <f>+H282</f>
        <v>9657.24</v>
      </c>
      <c r="I288" s="37">
        <f>+I282</f>
        <v>281.14999999999998</v>
      </c>
      <c r="J288" s="38">
        <f>+G288</f>
        <v>85</v>
      </c>
      <c r="K288" s="9">
        <f>+H288+I288*J288</f>
        <v>33554.99</v>
      </c>
      <c r="L288" s="9">
        <f>+G$292+H$292*J288</f>
        <v>7522.05</v>
      </c>
      <c r="M288" s="23"/>
    </row>
    <row r="289" spans="4:16">
      <c r="D289" s="36" t="s">
        <v>117</v>
      </c>
      <c r="E289" s="37">
        <f t="shared" si="4"/>
        <v>26453.57</v>
      </c>
      <c r="F289" s="36" t="s">
        <v>136</v>
      </c>
      <c r="G289" s="55">
        <v>19</v>
      </c>
      <c r="H289" s="37">
        <f>+H283</f>
        <v>20880.82</v>
      </c>
      <c r="I289" s="37">
        <f>+I283</f>
        <v>163.41999999999999</v>
      </c>
      <c r="J289" s="38">
        <f>+G289</f>
        <v>19</v>
      </c>
      <c r="K289" s="9">
        <f>+H289+I289*J289</f>
        <v>23985.8</v>
      </c>
      <c r="L289" s="9">
        <f>+G$292+H$292*J289</f>
        <v>2467.77</v>
      </c>
      <c r="M289" s="23"/>
    </row>
    <row r="290" spans="4:16">
      <c r="D290" s="36" t="s">
        <v>118</v>
      </c>
      <c r="E290" s="37">
        <f t="shared" si="4"/>
        <v>26453.57</v>
      </c>
      <c r="F290" s="36" t="s">
        <v>136</v>
      </c>
      <c r="G290" s="55">
        <v>19</v>
      </c>
      <c r="H290" s="37">
        <f>+H283</f>
        <v>20880.82</v>
      </c>
      <c r="I290" s="37">
        <f>+I283</f>
        <v>163.41999999999999</v>
      </c>
      <c r="J290" s="38">
        <f>+G290</f>
        <v>19</v>
      </c>
      <c r="K290" s="9">
        <f>+H290+I290*J290</f>
        <v>23985.8</v>
      </c>
      <c r="L290" s="9">
        <f>+G$292+H$292*J290</f>
        <v>2467.77</v>
      </c>
      <c r="M290" s="23"/>
    </row>
    <row r="291" spans="4:16">
      <c r="D291" s="36" t="s">
        <v>119</v>
      </c>
      <c r="E291" s="37">
        <f t="shared" si="4"/>
        <v>0</v>
      </c>
      <c r="F291" s="36"/>
      <c r="G291" s="38"/>
      <c r="H291" s="36"/>
      <c r="I291" s="36"/>
      <c r="J291" s="38"/>
      <c r="K291" s="23"/>
      <c r="L291" s="23"/>
      <c r="M291" s="23"/>
    </row>
    <row r="292" spans="4:16">
      <c r="D292" s="30" t="s">
        <v>137</v>
      </c>
      <c r="E292" s="30"/>
      <c r="F292" s="30"/>
      <c r="G292" s="53">
        <v>1012.75</v>
      </c>
      <c r="H292" s="53">
        <v>76.58</v>
      </c>
      <c r="I292" s="36"/>
    </row>
    <row r="293" spans="4:16">
      <c r="D293" s="36" t="s">
        <v>138</v>
      </c>
      <c r="E293" s="30"/>
      <c r="F293" s="30"/>
      <c r="G293" s="54">
        <v>6218.14</v>
      </c>
      <c r="H293" s="9"/>
      <c r="I293" s="30"/>
    </row>
    <row r="295" spans="4:16">
      <c r="D295" s="6" t="s">
        <v>139</v>
      </c>
    </row>
    <row r="296" spans="4:16">
      <c r="D296" s="6" t="s">
        <v>140</v>
      </c>
    </row>
    <row r="297" spans="4:16">
      <c r="D297" s="2" t="s">
        <v>434</v>
      </c>
      <c r="G297" s="56">
        <v>1042.1199999999999</v>
      </c>
      <c r="H297" s="2" t="s">
        <v>141</v>
      </c>
    </row>
    <row r="299" spans="4:16">
      <c r="D299" s="6" t="s">
        <v>142</v>
      </c>
    </row>
    <row r="300" spans="4:16">
      <c r="F300" s="31">
        <v>2.46E-2</v>
      </c>
      <c r="G300" s="31">
        <v>3.3500000000000002E-2</v>
      </c>
      <c r="H300" s="31">
        <v>1.5599999999999999E-2</v>
      </c>
      <c r="I300" s="31">
        <v>1.6E-2</v>
      </c>
      <c r="J300" s="39">
        <v>3.9E-2</v>
      </c>
      <c r="K300" s="31">
        <v>-1.6999999999999999E-3</v>
      </c>
      <c r="L300" s="40">
        <v>1.9900000000000001E-2</v>
      </c>
      <c r="M300" s="40">
        <v>1.7999999999999999E-2</v>
      </c>
      <c r="N300" s="40">
        <v>0</v>
      </c>
      <c r="O300" s="40">
        <v>0</v>
      </c>
      <c r="P300" s="40">
        <v>0</v>
      </c>
    </row>
    <row r="301" spans="4:16">
      <c r="D301" s="2" t="s">
        <v>143</v>
      </c>
      <c r="E301" s="6">
        <v>2004</v>
      </c>
      <c r="F301" s="6">
        <v>2005</v>
      </c>
      <c r="G301" s="6">
        <v>2006</v>
      </c>
      <c r="H301" s="6">
        <v>2007</v>
      </c>
      <c r="I301" s="6">
        <v>2008</v>
      </c>
      <c r="J301" s="6">
        <v>2009</v>
      </c>
      <c r="K301" s="6">
        <v>2010</v>
      </c>
      <c r="L301" s="6">
        <v>2011</v>
      </c>
      <c r="M301" s="6">
        <v>2012</v>
      </c>
      <c r="N301" s="6">
        <v>2013</v>
      </c>
      <c r="O301" s="6">
        <v>2014</v>
      </c>
      <c r="P301" s="6">
        <v>2015</v>
      </c>
    </row>
    <row r="302" spans="4:16">
      <c r="D302" s="2" t="s">
        <v>112</v>
      </c>
      <c r="E302" s="2">
        <v>1</v>
      </c>
      <c r="F302" s="8">
        <f>ROUND(+E302*(1+F$300),4)</f>
        <v>1.0246</v>
      </c>
      <c r="G302" s="8">
        <f t="shared" ref="G302:N302" si="5">ROUND(+F302*(1+G$300),4)</f>
        <v>1.0589</v>
      </c>
      <c r="H302" s="8">
        <f t="shared" si="5"/>
        <v>1.0753999999999999</v>
      </c>
      <c r="I302" s="8">
        <f t="shared" si="5"/>
        <v>1.0926</v>
      </c>
      <c r="J302" s="8">
        <f t="shared" si="5"/>
        <v>1.1352</v>
      </c>
      <c r="K302" s="8">
        <f t="shared" si="5"/>
        <v>1.1333</v>
      </c>
      <c r="L302" s="8">
        <f t="shared" si="5"/>
        <v>1.1558999999999999</v>
      </c>
      <c r="M302" s="8">
        <f t="shared" si="5"/>
        <v>1.1767000000000001</v>
      </c>
      <c r="N302" s="8">
        <f t="shared" si="5"/>
        <v>1.1767000000000001</v>
      </c>
      <c r="O302" s="8">
        <f>ROUND(+N302*(1+O$300),4)</f>
        <v>1.1767000000000001</v>
      </c>
      <c r="P302" s="8">
        <f>ROUND(+O302*(1+P$300),4)</f>
        <v>1.1767000000000001</v>
      </c>
    </row>
    <row r="303" spans="4:16">
      <c r="D303" s="2" t="s">
        <v>115</v>
      </c>
      <c r="E303" s="2">
        <v>1</v>
      </c>
      <c r="F303" s="8">
        <f>ROUND(+E303*(1+F$300),4)</f>
        <v>1.0246</v>
      </c>
      <c r="G303" s="8">
        <f t="shared" ref="G303:N303" si="6">ROUND(+F303*(1+G$300),4)</f>
        <v>1.0589</v>
      </c>
      <c r="H303" s="8">
        <f t="shared" si="6"/>
        <v>1.0753999999999999</v>
      </c>
      <c r="I303" s="8">
        <f t="shared" si="6"/>
        <v>1.0926</v>
      </c>
      <c r="J303" s="8">
        <f t="shared" si="6"/>
        <v>1.1352</v>
      </c>
      <c r="K303" s="8">
        <f t="shared" si="6"/>
        <v>1.1333</v>
      </c>
      <c r="L303" s="8">
        <f t="shared" si="6"/>
        <v>1.1558999999999999</v>
      </c>
      <c r="M303" s="8">
        <f t="shared" si="6"/>
        <v>1.1767000000000001</v>
      </c>
      <c r="N303" s="8">
        <f t="shared" si="6"/>
        <v>1.1767000000000001</v>
      </c>
      <c r="O303" s="8">
        <f>ROUND(+N303*(1+O$300),4)</f>
        <v>1.1767000000000001</v>
      </c>
      <c r="P303" s="8">
        <f>ROUND(+O303*(1+P$300),4)</f>
        <v>1.1767000000000001</v>
      </c>
    </row>
    <row r="306" spans="3:6">
      <c r="D306" s="6" t="s">
        <v>186</v>
      </c>
    </row>
    <row r="307" spans="3:6">
      <c r="D307" s="2" t="s">
        <v>121</v>
      </c>
      <c r="E307" s="7" t="s">
        <v>270</v>
      </c>
      <c r="F307" s="2" t="s">
        <v>271</v>
      </c>
    </row>
    <row r="308" spans="3:6">
      <c r="C308" s="2" t="s">
        <v>680</v>
      </c>
      <c r="D308" s="2" t="s">
        <v>107</v>
      </c>
      <c r="E308" s="63">
        <v>1314.67</v>
      </c>
      <c r="F308" s="63">
        <v>601.63</v>
      </c>
    </row>
    <row r="309" spans="3:6">
      <c r="C309" s="2" t="s">
        <v>423</v>
      </c>
      <c r="D309" s="2" t="s">
        <v>108</v>
      </c>
      <c r="E309" s="63">
        <v>401.08</v>
      </c>
      <c r="F309" s="63">
        <v>200.55</v>
      </c>
    </row>
    <row r="310" spans="3:6">
      <c r="C310" s="2" t="s">
        <v>424</v>
      </c>
      <c r="D310" s="2" t="s">
        <v>109</v>
      </c>
      <c r="E310" s="63">
        <v>401.08</v>
      </c>
      <c r="F310" s="63">
        <v>200.55</v>
      </c>
    </row>
    <row r="311" spans="3:6">
      <c r="C311" s="2" t="s">
        <v>425</v>
      </c>
      <c r="D311" s="2" t="s">
        <v>110</v>
      </c>
      <c r="E311" s="63">
        <v>503.56</v>
      </c>
      <c r="F311" s="63">
        <v>503.55</v>
      </c>
    </row>
    <row r="312" spans="3:6">
      <c r="C312" s="2" t="s">
        <v>427</v>
      </c>
      <c r="D312" s="2" t="s">
        <v>112</v>
      </c>
      <c r="E312" s="63">
        <v>392.18</v>
      </c>
      <c r="F312" s="63">
        <v>262.5</v>
      </c>
    </row>
    <row r="313" spans="3:6">
      <c r="C313" s="2" t="s">
        <v>428</v>
      </c>
      <c r="D313" s="2" t="s">
        <v>113</v>
      </c>
      <c r="E313" s="63">
        <v>482.6</v>
      </c>
      <c r="F313" s="63">
        <v>268.72000000000003</v>
      </c>
    </row>
    <row r="314" spans="3:6">
      <c r="C314" s="2" t="s">
        <v>426</v>
      </c>
      <c r="D314" s="2" t="s">
        <v>111</v>
      </c>
      <c r="E314" s="63">
        <v>196.08</v>
      </c>
      <c r="F314" s="63">
        <v>129.22</v>
      </c>
    </row>
    <row r="315" spans="3:6">
      <c r="C315" s="2" t="s">
        <v>429</v>
      </c>
      <c r="D315" s="2" t="s">
        <v>114</v>
      </c>
      <c r="E315" s="63">
        <v>482.6</v>
      </c>
      <c r="F315" s="63">
        <v>268.72000000000003</v>
      </c>
    </row>
    <row r="316" spans="3:6">
      <c r="C316" s="2" t="s">
        <v>430</v>
      </c>
      <c r="D316" s="2" t="s">
        <v>115</v>
      </c>
      <c r="E316" s="63">
        <v>482.6</v>
      </c>
      <c r="F316" s="63">
        <v>268.72000000000003</v>
      </c>
    </row>
    <row r="317" spans="3:6">
      <c r="C317" s="2" t="s">
        <v>432</v>
      </c>
      <c r="D317" s="11" t="s">
        <v>117</v>
      </c>
      <c r="E317" s="63">
        <v>392.18</v>
      </c>
      <c r="F317" s="63">
        <v>262.5</v>
      </c>
    </row>
    <row r="318" spans="3:6">
      <c r="D318" s="11" t="s">
        <v>119</v>
      </c>
      <c r="E318" s="63">
        <v>392.18</v>
      </c>
      <c r="F318" s="63">
        <v>262.5</v>
      </c>
    </row>
    <row r="319" spans="3:6">
      <c r="C319" s="2" t="s">
        <v>433</v>
      </c>
      <c r="D319" s="11" t="s">
        <v>118</v>
      </c>
      <c r="E319" s="63">
        <v>392.18</v>
      </c>
      <c r="F319" s="63">
        <v>262.5</v>
      </c>
    </row>
    <row r="320" spans="3:6">
      <c r="C320" s="2" t="s">
        <v>431</v>
      </c>
      <c r="D320" s="11" t="s">
        <v>116</v>
      </c>
      <c r="E320" s="63">
        <v>392.18</v>
      </c>
      <c r="F320" s="63">
        <v>262.5</v>
      </c>
    </row>
    <row r="321" spans="4:13">
      <c r="H321" s="41"/>
      <c r="I321" s="41"/>
      <c r="J321" s="41"/>
      <c r="K321" s="41"/>
      <c r="L321" s="41" t="s">
        <v>701</v>
      </c>
      <c r="M321" s="41"/>
    </row>
    <row r="322" spans="4:13">
      <c r="H322" s="42" t="s">
        <v>537</v>
      </c>
      <c r="I322" s="41"/>
      <c r="J322" s="41"/>
      <c r="K322" s="41" t="s">
        <v>35</v>
      </c>
      <c r="L322" s="43">
        <v>1.018E-2</v>
      </c>
      <c r="M322" s="43">
        <f>1+L322</f>
        <v>1.0101800000000001</v>
      </c>
    </row>
    <row r="323" spans="4:13">
      <c r="D323" s="2" t="s">
        <v>153</v>
      </c>
      <c r="E323" s="2" t="s">
        <v>197</v>
      </c>
      <c r="H323" s="41" t="s">
        <v>153</v>
      </c>
      <c r="I323" s="41" t="s">
        <v>197</v>
      </c>
      <c r="J323" s="41"/>
      <c r="K323" s="41"/>
      <c r="L323" s="41"/>
      <c r="M323" s="41"/>
    </row>
    <row r="324" spans="4:13">
      <c r="D324" s="2" t="s">
        <v>150</v>
      </c>
      <c r="E324" s="5" t="s">
        <v>270</v>
      </c>
      <c r="F324" s="5" t="s">
        <v>271</v>
      </c>
      <c r="H324" s="44" t="s">
        <v>187</v>
      </c>
      <c r="I324" s="41" t="s">
        <v>270</v>
      </c>
      <c r="J324" s="41" t="s">
        <v>271</v>
      </c>
      <c r="K324" s="41"/>
      <c r="L324" s="41"/>
      <c r="M324" s="41"/>
    </row>
    <row r="325" spans="4:13">
      <c r="D325" s="2" t="s">
        <v>107</v>
      </c>
      <c r="E325" s="51">
        <v>1445</v>
      </c>
      <c r="F325" s="51">
        <v>580</v>
      </c>
      <c r="H325" s="41" t="s">
        <v>107</v>
      </c>
      <c r="I325" s="45">
        <f t="shared" ref="I325:I337" si="7">ROUND($M$322*E325,0)</f>
        <v>1460</v>
      </c>
      <c r="J325" s="45">
        <f t="shared" ref="J325:J337" si="8">ROUND($M$322*F325,0)</f>
        <v>586</v>
      </c>
      <c r="K325" s="41"/>
      <c r="L325" s="41"/>
      <c r="M325" s="41"/>
    </row>
    <row r="326" spans="4:13">
      <c r="D326" s="2" t="s">
        <v>108</v>
      </c>
      <c r="E326" s="51">
        <v>531</v>
      </c>
      <c r="F326" s="51">
        <v>224</v>
      </c>
      <c r="H326" s="41" t="s">
        <v>108</v>
      </c>
      <c r="I326" s="45">
        <f t="shared" si="7"/>
        <v>536</v>
      </c>
      <c r="J326" s="45">
        <f t="shared" si="8"/>
        <v>226</v>
      </c>
      <c r="K326" s="41"/>
      <c r="L326" s="41"/>
      <c r="M326" s="41"/>
    </row>
    <row r="327" spans="4:13">
      <c r="D327" s="2" t="s">
        <v>109</v>
      </c>
      <c r="E327" s="51">
        <v>531</v>
      </c>
      <c r="F327" s="51">
        <v>0</v>
      </c>
      <c r="H327" s="41" t="s">
        <v>109</v>
      </c>
      <c r="I327" s="45">
        <f t="shared" si="7"/>
        <v>536</v>
      </c>
      <c r="J327" s="45">
        <f t="shared" si="8"/>
        <v>0</v>
      </c>
      <c r="K327" s="41"/>
      <c r="L327" s="41"/>
      <c r="M327" s="41"/>
    </row>
    <row r="328" spans="4:13">
      <c r="D328" s="2" t="s">
        <v>110</v>
      </c>
      <c r="E328" s="51">
        <v>511</v>
      </c>
      <c r="F328" s="51">
        <v>421</v>
      </c>
      <c r="H328" s="41" t="s">
        <v>110</v>
      </c>
      <c r="I328" s="45">
        <f t="shared" si="7"/>
        <v>516</v>
      </c>
      <c r="J328" s="45">
        <f t="shared" si="8"/>
        <v>425</v>
      </c>
      <c r="K328" s="41"/>
      <c r="L328" s="41"/>
      <c r="M328" s="41"/>
    </row>
    <row r="329" spans="4:13">
      <c r="D329" s="2" t="s">
        <v>112</v>
      </c>
      <c r="E329" s="51">
        <v>460</v>
      </c>
      <c r="F329" s="51">
        <v>246</v>
      </c>
      <c r="H329" s="41" t="s">
        <v>112</v>
      </c>
      <c r="I329" s="45">
        <f t="shared" si="7"/>
        <v>465</v>
      </c>
      <c r="J329" s="45">
        <f t="shared" si="8"/>
        <v>249</v>
      </c>
      <c r="K329" s="41"/>
      <c r="L329" s="41"/>
      <c r="M329" s="41"/>
    </row>
    <row r="330" spans="4:13">
      <c r="D330" s="2" t="s">
        <v>113</v>
      </c>
      <c r="E330" s="51">
        <v>460</v>
      </c>
      <c r="F330" s="51">
        <v>246</v>
      </c>
      <c r="H330" s="41" t="s">
        <v>113</v>
      </c>
      <c r="I330" s="45">
        <f t="shared" si="7"/>
        <v>465</v>
      </c>
      <c r="J330" s="45">
        <f t="shared" si="8"/>
        <v>249</v>
      </c>
      <c r="K330" s="41"/>
      <c r="L330" s="41"/>
      <c r="M330" s="41"/>
    </row>
    <row r="331" spans="4:13">
      <c r="D331" s="2" t="s">
        <v>111</v>
      </c>
      <c r="E331" s="51">
        <v>307</v>
      </c>
      <c r="F331" s="51">
        <v>134</v>
      </c>
      <c r="H331" s="41" t="s">
        <v>111</v>
      </c>
      <c r="I331" s="45">
        <f t="shared" si="7"/>
        <v>310</v>
      </c>
      <c r="J331" s="45">
        <f t="shared" si="8"/>
        <v>135</v>
      </c>
      <c r="K331" s="41"/>
      <c r="L331" s="41"/>
      <c r="M331" s="41"/>
    </row>
    <row r="332" spans="4:13">
      <c r="D332" s="2" t="s">
        <v>114</v>
      </c>
      <c r="E332" s="51">
        <v>460</v>
      </c>
      <c r="F332" s="51">
        <v>246</v>
      </c>
      <c r="H332" s="41" t="s">
        <v>114</v>
      </c>
      <c r="I332" s="45">
        <f t="shared" si="7"/>
        <v>465</v>
      </c>
      <c r="J332" s="45">
        <f t="shared" si="8"/>
        <v>249</v>
      </c>
      <c r="K332" s="41"/>
      <c r="L332" s="41"/>
      <c r="M332" s="41"/>
    </row>
    <row r="333" spans="4:13">
      <c r="D333" s="2" t="s">
        <v>115</v>
      </c>
      <c r="E333" s="51">
        <v>460</v>
      </c>
      <c r="F333" s="51">
        <v>246</v>
      </c>
      <c r="H333" s="41" t="s">
        <v>115</v>
      </c>
      <c r="I333" s="45">
        <f t="shared" si="7"/>
        <v>465</v>
      </c>
      <c r="J333" s="45">
        <f t="shared" si="8"/>
        <v>249</v>
      </c>
      <c r="K333" s="41"/>
      <c r="L333" s="41"/>
      <c r="M333" s="41"/>
    </row>
    <row r="334" spans="4:13">
      <c r="D334" s="2" t="s">
        <v>117</v>
      </c>
      <c r="E334" s="51">
        <v>531</v>
      </c>
      <c r="F334" s="51">
        <v>285</v>
      </c>
      <c r="H334" s="41" t="s">
        <v>117</v>
      </c>
      <c r="I334" s="45">
        <f t="shared" si="7"/>
        <v>536</v>
      </c>
      <c r="J334" s="45">
        <f t="shared" si="8"/>
        <v>288</v>
      </c>
      <c r="K334" s="41"/>
      <c r="L334" s="41"/>
      <c r="M334" s="41"/>
    </row>
    <row r="335" spans="4:13">
      <c r="D335" s="2" t="s">
        <v>118</v>
      </c>
      <c r="E335" s="51">
        <v>531</v>
      </c>
      <c r="F335" s="51">
        <v>285</v>
      </c>
      <c r="H335" s="41" t="s">
        <v>118</v>
      </c>
      <c r="I335" s="45">
        <f t="shared" si="7"/>
        <v>536</v>
      </c>
      <c r="J335" s="45">
        <f t="shared" si="8"/>
        <v>288</v>
      </c>
      <c r="K335" s="41"/>
      <c r="L335" s="41"/>
      <c r="M335" s="41"/>
    </row>
    <row r="336" spans="4:13">
      <c r="D336" s="2" t="s">
        <v>116</v>
      </c>
      <c r="E336" s="51">
        <v>460</v>
      </c>
      <c r="F336" s="51">
        <v>246</v>
      </c>
      <c r="H336" s="41" t="s">
        <v>116</v>
      </c>
      <c r="I336" s="45">
        <f t="shared" si="7"/>
        <v>465</v>
      </c>
      <c r="J336" s="45">
        <f t="shared" si="8"/>
        <v>249</v>
      </c>
      <c r="K336" s="41"/>
      <c r="L336" s="41"/>
      <c r="M336" s="41"/>
    </row>
    <row r="337" spans="4:13">
      <c r="D337" s="2" t="s">
        <v>119</v>
      </c>
      <c r="E337" s="51">
        <v>531</v>
      </c>
      <c r="F337" s="51">
        <v>285</v>
      </c>
      <c r="H337" s="41" t="s">
        <v>119</v>
      </c>
      <c r="I337" s="45">
        <f t="shared" si="7"/>
        <v>536</v>
      </c>
      <c r="J337" s="45">
        <f t="shared" si="8"/>
        <v>288</v>
      </c>
      <c r="K337" s="41"/>
      <c r="L337" s="41"/>
      <c r="M337" s="41"/>
    </row>
    <row r="338" spans="4:13">
      <c r="E338" s="2" t="s">
        <v>198</v>
      </c>
      <c r="H338" s="41"/>
      <c r="I338" s="41" t="s">
        <v>198</v>
      </c>
      <c r="J338" s="41"/>
      <c r="K338" s="41"/>
      <c r="L338" s="41"/>
      <c r="M338" s="41"/>
    </row>
  </sheetData>
  <mergeCells count="1">
    <mergeCell ref="C116:D116"/>
  </mergeCells>
  <phoneticPr fontId="8" type="noConversion"/>
  <printOptions gridLines="1"/>
  <pageMargins left="0.75" right="0.75" top="1" bottom="1" header="0.5" footer="0.5"/>
  <pageSetup paperSize="9" scale="40" orientation="landscape" r:id="rId1"/>
  <headerFooter alignWithMargins="0">
    <oddHeader>&amp;L&amp;"Arial,Vet"&amp;F&amp;R&amp;"Arial,Vet"&amp;A</oddHeader>
    <oddFooter>&amp;L&amp;"Arial,Vet"keizer / goedhart&amp;C&amp;"Arial,Vet"&amp;D&amp;R&amp;"Arial,Vet"pagina &amp;P</oddFooter>
  </headerFooter>
  <rowBreaks count="3" manualBreakCount="3">
    <brk id="84" max="16383" man="1"/>
    <brk id="172" max="16383" man="1"/>
    <brk id="255" max="16383" man="1"/>
  </rowBreaks>
  <legacyDrawing r:id="rId2"/>
</worksheet>
</file>

<file path=xl/worksheets/sheet2.xml><?xml version="1.0" encoding="utf-8"?>
<worksheet xmlns="http://schemas.openxmlformats.org/spreadsheetml/2006/main" xmlns:r="http://schemas.openxmlformats.org/officeDocument/2006/relationships">
  <dimension ref="B1:AR270"/>
  <sheetViews>
    <sheetView tabSelected="1" zoomScale="85" zoomScaleNormal="85" workbookViewId="0">
      <pane ySplit="10" topLeftCell="A11" activePane="bottomLeft" state="frozen"/>
      <selection activeCell="B2" sqref="B2"/>
      <selection pane="bottomLeft" activeCell="B2" sqref="B2"/>
    </sheetView>
  </sheetViews>
  <sheetFormatPr defaultRowHeight="12.75"/>
  <cols>
    <col min="1" max="1" width="3.7109375" style="65" customWidth="1"/>
    <col min="2" max="3" width="2.7109375" style="65" customWidth="1"/>
    <col min="4" max="4" width="6.7109375" style="65" customWidth="1"/>
    <col min="5" max="7" width="12.7109375" style="65" customWidth="1"/>
    <col min="8" max="8" width="2.7109375" style="65" customWidth="1"/>
    <col min="9" max="10" width="13" style="67" customWidth="1"/>
    <col min="11" max="11" width="1.7109375" style="65" customWidth="1"/>
    <col min="12" max="13" width="13" style="67" customWidth="1"/>
    <col min="14" max="14" width="1.7109375" style="67" customWidth="1"/>
    <col min="15" max="16" width="13" style="67" customWidth="1"/>
    <col min="17" max="17" width="1.7109375" style="67" customWidth="1"/>
    <col min="18" max="19" width="13" style="67" customWidth="1"/>
    <col min="20" max="20" width="1.7109375" style="67" customWidth="1"/>
    <col min="21" max="22" width="13" style="67" customWidth="1"/>
    <col min="23" max="24" width="2.7109375" style="65" customWidth="1"/>
    <col min="25" max="44" width="10.7109375" style="65" customWidth="1"/>
    <col min="45" max="45" width="14.28515625" style="65" customWidth="1"/>
    <col min="46" max="51" width="10.7109375" style="65" customWidth="1"/>
    <col min="52" max="52" width="11.5703125" style="65" bestFit="1" customWidth="1"/>
    <col min="53" max="16384" width="9.140625" style="65"/>
  </cols>
  <sheetData>
    <row r="1" spans="2:24">
      <c r="E1" s="66" t="s">
        <v>199</v>
      </c>
    </row>
    <row r="2" spans="2:24">
      <c r="B2" s="87"/>
      <c r="C2" s="88"/>
      <c r="D2" s="88"/>
      <c r="E2" s="89"/>
      <c r="F2" s="88"/>
      <c r="G2" s="88"/>
      <c r="H2" s="88"/>
      <c r="I2" s="90"/>
      <c r="J2" s="90"/>
      <c r="K2" s="88"/>
      <c r="L2" s="90"/>
      <c r="M2" s="90"/>
      <c r="N2" s="90"/>
      <c r="O2" s="90"/>
      <c r="P2" s="90"/>
      <c r="Q2" s="90"/>
      <c r="R2" s="90"/>
      <c r="S2" s="90"/>
      <c r="T2" s="90"/>
      <c r="U2" s="90"/>
      <c r="V2" s="90"/>
      <c r="W2" s="88"/>
      <c r="X2" s="91"/>
    </row>
    <row r="3" spans="2:24">
      <c r="B3" s="92"/>
      <c r="C3" s="93"/>
      <c r="D3" s="93"/>
      <c r="E3" s="94"/>
      <c r="F3" s="93"/>
      <c r="G3" s="93"/>
      <c r="H3" s="93"/>
      <c r="I3" s="95"/>
      <c r="J3" s="95"/>
      <c r="K3" s="93"/>
      <c r="L3" s="95"/>
      <c r="M3" s="95"/>
      <c r="N3" s="95"/>
      <c r="O3" s="95"/>
      <c r="P3" s="96"/>
      <c r="Q3" s="95"/>
      <c r="R3" s="95"/>
      <c r="S3" s="95"/>
      <c r="T3" s="95"/>
      <c r="U3" s="95"/>
      <c r="V3" s="95"/>
      <c r="W3" s="93"/>
      <c r="X3" s="97"/>
    </row>
    <row r="4" spans="2:24" s="73" customFormat="1" ht="18.75">
      <c r="B4" s="98"/>
      <c r="C4" s="168" t="s">
        <v>31</v>
      </c>
      <c r="D4" s="100"/>
      <c r="E4" s="101"/>
      <c r="F4" s="100"/>
      <c r="G4" s="100"/>
      <c r="H4" s="100"/>
      <c r="I4" s="102"/>
      <c r="J4" s="102"/>
      <c r="K4" s="100"/>
      <c r="L4" s="102"/>
      <c r="M4" s="102"/>
      <c r="N4" s="102"/>
      <c r="O4" s="102"/>
      <c r="P4" s="103"/>
      <c r="Q4" s="102"/>
      <c r="R4" s="102"/>
      <c r="S4" s="102"/>
      <c r="T4" s="102"/>
      <c r="U4" s="102"/>
      <c r="V4" s="102"/>
      <c r="W4" s="100"/>
      <c r="X4" s="104"/>
    </row>
    <row r="5" spans="2:24" s="73" customFormat="1" ht="18.75">
      <c r="B5" s="98"/>
      <c r="C5" s="105" t="str">
        <f>geg!I12</f>
        <v>De speciale school</v>
      </c>
      <c r="D5" s="100"/>
      <c r="E5" s="101"/>
      <c r="F5" s="100"/>
      <c r="G5" s="100"/>
      <c r="H5" s="100"/>
      <c r="I5" s="102"/>
      <c r="J5" s="102"/>
      <c r="K5" s="100"/>
      <c r="L5" s="102"/>
      <c r="M5" s="102"/>
      <c r="N5" s="102"/>
      <c r="O5" s="102"/>
      <c r="P5" s="103"/>
      <c r="Q5" s="102"/>
      <c r="R5" s="102"/>
      <c r="S5" s="102"/>
      <c r="T5" s="102"/>
      <c r="U5" s="102"/>
      <c r="V5" s="102"/>
      <c r="W5" s="100"/>
      <c r="X5" s="104"/>
    </row>
    <row r="6" spans="2:24">
      <c r="B6" s="92"/>
      <c r="C6" s="93"/>
      <c r="D6" s="93"/>
      <c r="E6" s="94"/>
      <c r="F6" s="93"/>
      <c r="G6" s="93"/>
      <c r="H6" s="93"/>
      <c r="I6" s="93"/>
      <c r="J6" s="93"/>
      <c r="K6" s="93"/>
      <c r="L6" s="95"/>
      <c r="M6" s="95"/>
      <c r="N6" s="95"/>
      <c r="O6" s="95"/>
      <c r="P6" s="96"/>
      <c r="Q6" s="95"/>
      <c r="R6" s="95"/>
      <c r="S6" s="95"/>
      <c r="T6" s="95"/>
      <c r="U6" s="95"/>
      <c r="V6" s="95"/>
      <c r="W6" s="93"/>
      <c r="X6" s="97"/>
    </row>
    <row r="7" spans="2:24">
      <c r="B7" s="92"/>
      <c r="C7" s="93"/>
      <c r="D7" s="93"/>
      <c r="E7" s="94"/>
      <c r="F7" s="93"/>
      <c r="G7" s="93"/>
      <c r="H7" s="93"/>
      <c r="I7" s="93"/>
      <c r="J7" s="93"/>
      <c r="K7" s="93"/>
      <c r="L7" s="95"/>
      <c r="M7" s="95"/>
      <c r="N7" s="95"/>
      <c r="O7" s="95"/>
      <c r="P7" s="96"/>
      <c r="Q7" s="95"/>
      <c r="R7" s="95"/>
      <c r="S7" s="95"/>
      <c r="T7" s="95"/>
      <c r="U7" s="95"/>
      <c r="V7" s="95"/>
      <c r="W7" s="93"/>
      <c r="X7" s="97"/>
    </row>
    <row r="8" spans="2:24" s="75" customFormat="1">
      <c r="B8" s="106"/>
      <c r="C8" s="95"/>
      <c r="D8" s="95"/>
      <c r="E8" s="107"/>
      <c r="F8" s="95"/>
      <c r="G8" s="95"/>
      <c r="H8" s="95"/>
      <c r="I8" s="1169" t="str">
        <f>tab!D2</f>
        <v>2012/13</v>
      </c>
      <c r="J8" s="1170"/>
      <c r="K8" s="1069"/>
      <c r="L8" s="1169" t="str">
        <f>tab!E2</f>
        <v>2013/14</v>
      </c>
      <c r="M8" s="1170"/>
      <c r="N8" s="1069"/>
      <c r="O8" s="1171" t="str">
        <f>tab!F2</f>
        <v>2014/15</v>
      </c>
      <c r="P8" s="1172"/>
      <c r="Q8" s="1069"/>
      <c r="R8" s="1169" t="str">
        <f>tab!G2</f>
        <v>2015/16</v>
      </c>
      <c r="S8" s="1173"/>
      <c r="T8" s="1068"/>
      <c r="U8" s="1169" t="str">
        <f>tab!H2</f>
        <v>2016/17</v>
      </c>
      <c r="V8" s="1170"/>
      <c r="W8" s="95"/>
      <c r="X8" s="109"/>
    </row>
    <row r="9" spans="2:24">
      <c r="B9" s="92"/>
      <c r="C9" s="93"/>
      <c r="D9" s="93"/>
      <c r="E9" s="94"/>
      <c r="F9" s="93"/>
      <c r="G9" s="93"/>
      <c r="H9" s="93"/>
      <c r="I9" s="166">
        <f>tab!D3</f>
        <v>40817</v>
      </c>
      <c r="J9" s="166">
        <f>tab!D5</f>
        <v>40924</v>
      </c>
      <c r="K9" s="166"/>
      <c r="L9" s="166">
        <f>tab!E3</f>
        <v>41183</v>
      </c>
      <c r="M9" s="166">
        <f>tab!E5</f>
        <v>41290</v>
      </c>
      <c r="N9" s="166"/>
      <c r="O9" s="166">
        <f>tab!F3</f>
        <v>41548</v>
      </c>
      <c r="P9" s="166">
        <f>tab!F5</f>
        <v>41655</v>
      </c>
      <c r="Q9" s="166"/>
      <c r="R9" s="166">
        <f>tab!G3</f>
        <v>41913</v>
      </c>
      <c r="S9" s="166">
        <f>tab!G5</f>
        <v>42020</v>
      </c>
      <c r="T9" s="167"/>
      <c r="U9" s="166">
        <f>tab!H3</f>
        <v>42278</v>
      </c>
      <c r="V9" s="166">
        <f>tab!H5</f>
        <v>42385</v>
      </c>
      <c r="W9" s="93"/>
      <c r="X9" s="97"/>
    </row>
    <row r="10" spans="2:24">
      <c r="B10" s="92"/>
      <c r="C10" s="93"/>
      <c r="D10" s="93"/>
      <c r="E10" s="94"/>
      <c r="F10" s="93"/>
      <c r="G10" s="93"/>
      <c r="H10" s="93"/>
      <c r="I10" s="95"/>
      <c r="J10" s="95"/>
      <c r="K10" s="93"/>
      <c r="L10" s="95"/>
      <c r="M10" s="95"/>
      <c r="N10" s="95"/>
      <c r="O10" s="95"/>
      <c r="P10" s="96"/>
      <c r="Q10" s="95"/>
      <c r="R10" s="95"/>
      <c r="S10" s="95"/>
      <c r="T10" s="95"/>
      <c r="U10" s="95"/>
      <c r="V10" s="95"/>
      <c r="W10" s="93"/>
      <c r="X10" s="97"/>
    </row>
    <row r="11" spans="2:24" ht="12" customHeight="1">
      <c r="B11" s="92"/>
      <c r="C11" s="124"/>
      <c r="D11" s="127"/>
      <c r="E11" s="152"/>
      <c r="F11" s="127"/>
      <c r="G11" s="127"/>
      <c r="H11" s="127"/>
      <c r="I11" s="129"/>
      <c r="J11" s="129"/>
      <c r="K11" s="127"/>
      <c r="L11" s="129"/>
      <c r="M11" s="129"/>
      <c r="N11" s="129"/>
      <c r="O11" s="129"/>
      <c r="P11" s="153"/>
      <c r="Q11" s="129"/>
      <c r="R11" s="129"/>
      <c r="S11" s="129"/>
      <c r="T11" s="129"/>
      <c r="U11" s="129"/>
      <c r="V11" s="129"/>
      <c r="W11" s="130"/>
      <c r="X11" s="97"/>
    </row>
    <row r="12" spans="2:24" ht="12" customHeight="1">
      <c r="B12" s="92"/>
      <c r="C12" s="131"/>
      <c r="D12" s="133" t="s">
        <v>601</v>
      </c>
      <c r="E12" s="133"/>
      <c r="F12" s="133"/>
      <c r="G12" s="133"/>
      <c r="H12" s="133"/>
      <c r="I12" s="169" t="s">
        <v>690</v>
      </c>
      <c r="J12" s="170"/>
      <c r="K12" s="133"/>
      <c r="L12" s="133"/>
      <c r="M12" s="135"/>
      <c r="N12" s="135"/>
      <c r="O12" s="135"/>
      <c r="P12" s="139"/>
      <c r="Q12" s="135"/>
      <c r="R12" s="135"/>
      <c r="S12" s="135"/>
      <c r="T12" s="135"/>
      <c r="U12" s="135"/>
      <c r="V12" s="135"/>
      <c r="W12" s="136"/>
      <c r="X12" s="97"/>
    </row>
    <row r="13" spans="2:24" ht="12" customHeight="1">
      <c r="B13" s="92"/>
      <c r="C13" s="131"/>
      <c r="D13" s="133" t="s">
        <v>602</v>
      </c>
      <c r="E13" s="133"/>
      <c r="F13" s="133"/>
      <c r="G13" s="133"/>
      <c r="H13" s="133"/>
      <c r="I13" s="171" t="s">
        <v>689</v>
      </c>
      <c r="J13" s="172"/>
      <c r="K13" s="133"/>
      <c r="L13" s="133"/>
      <c r="M13" s="135"/>
      <c r="N13" s="135"/>
      <c r="O13" s="135"/>
      <c r="P13" s="139"/>
      <c r="Q13" s="135"/>
      <c r="R13" s="135"/>
      <c r="S13" s="135"/>
      <c r="T13" s="135"/>
      <c r="U13" s="135"/>
      <c r="V13" s="135"/>
      <c r="W13" s="136"/>
      <c r="X13" s="97"/>
    </row>
    <row r="14" spans="2:24" ht="12" customHeight="1">
      <c r="B14" s="92"/>
      <c r="C14" s="131"/>
      <c r="D14" s="154"/>
      <c r="E14" s="133"/>
      <c r="F14" s="133"/>
      <c r="G14" s="155"/>
      <c r="H14" s="133"/>
      <c r="I14" s="135"/>
      <c r="J14" s="135"/>
      <c r="K14" s="133"/>
      <c r="L14" s="133"/>
      <c r="M14" s="135"/>
      <c r="N14" s="135"/>
      <c r="O14" s="135"/>
      <c r="P14" s="139"/>
      <c r="Q14" s="135"/>
      <c r="R14" s="135"/>
      <c r="S14" s="135"/>
      <c r="T14" s="135"/>
      <c r="U14" s="135"/>
      <c r="V14" s="135"/>
      <c r="W14" s="136"/>
      <c r="X14" s="97"/>
    </row>
    <row r="15" spans="2:24" ht="12" customHeight="1">
      <c r="B15" s="92"/>
      <c r="C15" s="131"/>
      <c r="D15" s="155" t="s">
        <v>246</v>
      </c>
      <c r="E15" s="133"/>
      <c r="F15" s="133"/>
      <c r="G15" s="133"/>
      <c r="H15" s="133"/>
      <c r="I15" s="173" t="s">
        <v>120</v>
      </c>
      <c r="J15" s="133"/>
      <c r="K15" s="133"/>
      <c r="L15" s="133"/>
      <c r="M15" s="133"/>
      <c r="N15" s="133"/>
      <c r="O15" s="133"/>
      <c r="P15" s="135"/>
      <c r="Q15" s="135"/>
      <c r="R15" s="135"/>
      <c r="S15" s="135"/>
      <c r="T15" s="135"/>
      <c r="U15" s="135"/>
      <c r="V15" s="135"/>
      <c r="W15" s="136"/>
      <c r="X15" s="97"/>
    </row>
    <row r="16" spans="2:24" ht="12" customHeight="1">
      <c r="B16" s="92"/>
      <c r="C16" s="131"/>
      <c r="D16" s="156" t="s">
        <v>200</v>
      </c>
      <c r="E16" s="133"/>
      <c r="F16" s="133"/>
      <c r="G16" s="133"/>
      <c r="H16" s="133"/>
      <c r="I16" s="170" t="s">
        <v>114</v>
      </c>
      <c r="J16" s="135"/>
      <c r="K16" s="133"/>
      <c r="L16" s="133"/>
      <c r="M16" s="135"/>
      <c r="N16" s="135"/>
      <c r="O16" s="135"/>
      <c r="P16" s="135"/>
      <c r="Q16" s="135"/>
      <c r="R16" s="135"/>
      <c r="S16" s="135"/>
      <c r="T16" s="135"/>
      <c r="U16" s="135"/>
      <c r="V16" s="135"/>
      <c r="W16" s="136"/>
      <c r="X16" s="97"/>
    </row>
    <row r="17" spans="2:42" ht="12" customHeight="1">
      <c r="B17" s="92"/>
      <c r="C17" s="131"/>
      <c r="D17" s="156" t="s">
        <v>179</v>
      </c>
      <c r="E17" s="133"/>
      <c r="F17" s="133"/>
      <c r="G17" s="133"/>
      <c r="H17" s="133"/>
      <c r="I17" s="181">
        <f>IF(I15=F207,G207,G208)</f>
        <v>7</v>
      </c>
      <c r="J17" s="133"/>
      <c r="K17" s="133"/>
      <c r="L17" s="133"/>
      <c r="M17" s="133"/>
      <c r="N17" s="133"/>
      <c r="O17" s="133"/>
      <c r="P17" s="135"/>
      <c r="Q17" s="135"/>
      <c r="R17" s="135"/>
      <c r="S17" s="135"/>
      <c r="T17" s="135"/>
      <c r="U17" s="135"/>
      <c r="V17" s="135"/>
      <c r="W17" s="136"/>
      <c r="X17" s="97"/>
    </row>
    <row r="18" spans="2:42" ht="12" customHeight="1">
      <c r="B18" s="92"/>
      <c r="C18" s="141"/>
      <c r="D18" s="144"/>
      <c r="E18" s="161"/>
      <c r="F18" s="144"/>
      <c r="G18" s="144"/>
      <c r="H18" s="144"/>
      <c r="I18" s="146"/>
      <c r="J18" s="146"/>
      <c r="K18" s="144"/>
      <c r="L18" s="146"/>
      <c r="M18" s="146"/>
      <c r="N18" s="146"/>
      <c r="O18" s="146"/>
      <c r="P18" s="162"/>
      <c r="Q18" s="146"/>
      <c r="R18" s="146"/>
      <c r="S18" s="146"/>
      <c r="T18" s="146"/>
      <c r="U18" s="146"/>
      <c r="V18" s="146"/>
      <c r="W18" s="147"/>
      <c r="X18" s="97"/>
    </row>
    <row r="19" spans="2:42" ht="12" customHeight="1">
      <c r="B19" s="92"/>
      <c r="C19" s="93"/>
      <c r="D19" s="93"/>
      <c r="E19" s="94"/>
      <c r="F19" s="93"/>
      <c r="G19" s="93"/>
      <c r="H19" s="93"/>
      <c r="I19" s="95"/>
      <c r="J19" s="95"/>
      <c r="K19" s="93"/>
      <c r="L19" s="95"/>
      <c r="M19" s="95"/>
      <c r="N19" s="95"/>
      <c r="O19" s="95"/>
      <c r="P19" s="96"/>
      <c r="Q19" s="95"/>
      <c r="R19" s="95"/>
      <c r="S19" s="95"/>
      <c r="T19" s="95"/>
      <c r="U19" s="95"/>
      <c r="V19" s="95"/>
      <c r="W19" s="93"/>
      <c r="X19" s="97"/>
    </row>
    <row r="20" spans="2:42" ht="12" customHeight="1">
      <c r="B20" s="92"/>
      <c r="C20" s="124"/>
      <c r="D20" s="163"/>
      <c r="E20" s="126"/>
      <c r="F20" s="127"/>
      <c r="G20" s="127"/>
      <c r="H20" s="127"/>
      <c r="I20" s="129"/>
      <c r="J20" s="129"/>
      <c r="K20" s="127"/>
      <c r="L20" s="129"/>
      <c r="M20" s="129"/>
      <c r="N20" s="129"/>
      <c r="O20" s="129"/>
      <c r="P20" s="129"/>
      <c r="Q20" s="129"/>
      <c r="R20" s="129"/>
      <c r="S20" s="129"/>
      <c r="T20" s="129"/>
      <c r="U20" s="129"/>
      <c r="V20" s="129"/>
      <c r="W20" s="130"/>
      <c r="X20" s="97"/>
    </row>
    <row r="21" spans="2:42" ht="12" customHeight="1">
      <c r="B21" s="92"/>
      <c r="C21" s="131"/>
      <c r="D21" s="1090" t="s">
        <v>102</v>
      </c>
      <c r="E21" s="157"/>
      <c r="F21" s="133"/>
      <c r="G21" s="133"/>
      <c r="H21" s="133"/>
      <c r="I21" s="135"/>
      <c r="J21" s="135"/>
      <c r="K21" s="133"/>
      <c r="L21" s="135"/>
      <c r="M21" s="135"/>
      <c r="N21" s="135"/>
      <c r="O21" s="135"/>
      <c r="P21" s="135"/>
      <c r="Q21" s="135"/>
      <c r="R21" s="135"/>
      <c r="S21" s="135"/>
      <c r="T21" s="135"/>
      <c r="U21" s="135"/>
      <c r="V21" s="135"/>
      <c r="W21" s="136"/>
      <c r="X21" s="97"/>
    </row>
    <row r="22" spans="2:42" ht="12" customHeight="1">
      <c r="B22" s="92"/>
      <c r="C22" s="131"/>
      <c r="D22" s="138"/>
      <c r="E22" s="132"/>
      <c r="F22" s="133"/>
      <c r="G22" s="133"/>
      <c r="H22" s="133"/>
      <c r="I22" s="135"/>
      <c r="J22" s="135"/>
      <c r="K22" s="133"/>
      <c r="L22" s="135"/>
      <c r="M22" s="135"/>
      <c r="N22" s="135"/>
      <c r="O22" s="135"/>
      <c r="P22" s="135"/>
      <c r="Q22" s="135"/>
      <c r="R22" s="135"/>
      <c r="S22" s="135"/>
      <c r="T22" s="135"/>
      <c r="U22" s="135"/>
      <c r="V22" s="135"/>
      <c r="W22" s="136"/>
      <c r="X22" s="97"/>
    </row>
    <row r="23" spans="2:42" ht="12" customHeight="1">
      <c r="B23" s="92"/>
      <c r="C23" s="131"/>
      <c r="D23" s="138"/>
      <c r="E23" s="132"/>
      <c r="F23" s="133" t="s">
        <v>201</v>
      </c>
      <c r="G23" s="133" t="s">
        <v>202</v>
      </c>
      <c r="H23" s="133"/>
      <c r="I23" s="135"/>
      <c r="J23" s="135"/>
      <c r="K23" s="133"/>
      <c r="L23" s="135"/>
      <c r="M23" s="135"/>
      <c r="N23" s="135"/>
      <c r="O23" s="135"/>
      <c r="P23" s="135"/>
      <c r="Q23" s="135"/>
      <c r="R23" s="135"/>
      <c r="S23" s="135"/>
      <c r="T23" s="135"/>
      <c r="U23" s="135"/>
      <c r="V23" s="135"/>
      <c r="W23" s="136"/>
      <c r="X23" s="97"/>
    </row>
    <row r="24" spans="2:42" ht="12" customHeight="1">
      <c r="B24" s="92"/>
      <c r="C24" s="131" t="s">
        <v>211</v>
      </c>
      <c r="D24" s="175"/>
      <c r="E24" s="175"/>
      <c r="F24" s="176" t="str">
        <f>IF(MID(E24,1,2)="MG","ja","nee")</f>
        <v>nee</v>
      </c>
      <c r="G24" s="180" t="s">
        <v>195</v>
      </c>
      <c r="H24" s="133"/>
      <c r="I24" s="135"/>
      <c r="J24" s="135"/>
      <c r="K24" s="133"/>
      <c r="L24" s="135"/>
      <c r="M24" s="135"/>
      <c r="N24" s="135"/>
      <c r="O24" s="135"/>
      <c r="P24" s="135"/>
      <c r="Q24" s="135"/>
      <c r="R24" s="135"/>
      <c r="S24" s="135"/>
      <c r="T24" s="135"/>
      <c r="U24" s="135"/>
      <c r="V24" s="135"/>
      <c r="W24" s="136"/>
      <c r="X24" s="97"/>
    </row>
    <row r="25" spans="2:42" ht="12" customHeight="1">
      <c r="B25" s="92"/>
      <c r="C25" s="131"/>
      <c r="D25" s="133"/>
      <c r="E25" s="133"/>
      <c r="F25" s="133"/>
      <c r="G25" s="137" t="s">
        <v>207</v>
      </c>
      <c r="H25" s="133"/>
      <c r="I25" s="170">
        <v>0</v>
      </c>
      <c r="J25" s="170">
        <f>+I25</f>
        <v>0</v>
      </c>
      <c r="K25" s="133"/>
      <c r="L25" s="170">
        <v>0</v>
      </c>
      <c r="M25" s="170">
        <f>+L25</f>
        <v>0</v>
      </c>
      <c r="N25" s="150"/>
      <c r="O25" s="170">
        <f>+M25</f>
        <v>0</v>
      </c>
      <c r="P25" s="170">
        <f>+O25</f>
        <v>0</v>
      </c>
      <c r="Q25" s="150"/>
      <c r="R25" s="170">
        <f>+P25</f>
        <v>0</v>
      </c>
      <c r="S25" s="170">
        <f>+R25</f>
        <v>0</v>
      </c>
      <c r="T25" s="150"/>
      <c r="U25" s="170">
        <f>+S25</f>
        <v>0</v>
      </c>
      <c r="V25" s="170">
        <f>+U25</f>
        <v>0</v>
      </c>
      <c r="W25" s="158"/>
      <c r="X25" s="97"/>
    </row>
    <row r="26" spans="2:42" ht="12" customHeight="1">
      <c r="B26" s="92"/>
      <c r="C26" s="131"/>
      <c r="D26" s="133"/>
      <c r="E26" s="133"/>
      <c r="F26" s="133"/>
      <c r="G26" s="137" t="s">
        <v>208</v>
      </c>
      <c r="H26" s="133"/>
      <c r="I26" s="170">
        <v>0</v>
      </c>
      <c r="J26" s="170">
        <f>+I26</f>
        <v>0</v>
      </c>
      <c r="K26" s="133"/>
      <c r="L26" s="170">
        <v>0</v>
      </c>
      <c r="M26" s="170">
        <f>+L26</f>
        <v>0</v>
      </c>
      <c r="N26" s="150"/>
      <c r="O26" s="170">
        <f>+M26</f>
        <v>0</v>
      </c>
      <c r="P26" s="170">
        <f>+O26</f>
        <v>0</v>
      </c>
      <c r="Q26" s="150"/>
      <c r="R26" s="170">
        <f>+P26</f>
        <v>0</v>
      </c>
      <c r="S26" s="170">
        <f>+R26</f>
        <v>0</v>
      </c>
      <c r="T26" s="150"/>
      <c r="U26" s="170">
        <f>+S26</f>
        <v>0</v>
      </c>
      <c r="V26" s="170">
        <f>+U26</f>
        <v>0</v>
      </c>
      <c r="W26" s="136"/>
      <c r="X26" s="97"/>
      <c r="AN26" s="67"/>
      <c r="AO26" s="67"/>
    </row>
    <row r="27" spans="2:42" ht="12" customHeight="1">
      <c r="B27" s="92"/>
      <c r="C27" s="131"/>
      <c r="D27" s="133"/>
      <c r="E27" s="133"/>
      <c r="F27" s="133"/>
      <c r="G27" s="137" t="s">
        <v>205</v>
      </c>
      <c r="H27" s="133"/>
      <c r="I27" s="179">
        <f>SUM(I25:I26)</f>
        <v>0</v>
      </c>
      <c r="J27" s="179">
        <f>SUM(J25:J26)</f>
        <v>0</v>
      </c>
      <c r="K27" s="133"/>
      <c r="L27" s="179">
        <f>SUM(L25:L26)</f>
        <v>0</v>
      </c>
      <c r="M27" s="179">
        <f>SUM(M25:M26)</f>
        <v>0</v>
      </c>
      <c r="N27" s="135"/>
      <c r="O27" s="179">
        <f>SUM(O25:O26)</f>
        <v>0</v>
      </c>
      <c r="P27" s="179">
        <f>SUM(P25:P26)</f>
        <v>0</v>
      </c>
      <c r="Q27" s="135"/>
      <c r="R27" s="179">
        <f>SUM(R25:R26)</f>
        <v>0</v>
      </c>
      <c r="S27" s="179">
        <f>SUM(S25:S26)</f>
        <v>0</v>
      </c>
      <c r="T27" s="135"/>
      <c r="U27" s="179">
        <f>SUM(U25:U26)</f>
        <v>0</v>
      </c>
      <c r="V27" s="179">
        <f>SUM(V25:V26)</f>
        <v>0</v>
      </c>
      <c r="W27" s="136"/>
      <c r="X27" s="97"/>
      <c r="AN27" s="67"/>
      <c r="AO27" s="67"/>
      <c r="AP27" s="67"/>
    </row>
    <row r="28" spans="2:42" ht="12" customHeight="1">
      <c r="B28" s="92"/>
      <c r="C28" s="131"/>
      <c r="D28" s="133"/>
      <c r="E28" s="133"/>
      <c r="F28" s="133"/>
      <c r="G28" s="137" t="s">
        <v>209</v>
      </c>
      <c r="H28" s="133"/>
      <c r="I28" s="170">
        <v>0</v>
      </c>
      <c r="J28" s="170">
        <f>+I28</f>
        <v>0</v>
      </c>
      <c r="K28" s="149"/>
      <c r="L28" s="170">
        <v>0</v>
      </c>
      <c r="M28" s="170">
        <f>+L28</f>
        <v>0</v>
      </c>
      <c r="N28" s="150"/>
      <c r="O28" s="170">
        <f>+M28</f>
        <v>0</v>
      </c>
      <c r="P28" s="170">
        <f>+O28</f>
        <v>0</v>
      </c>
      <c r="Q28" s="150"/>
      <c r="R28" s="170">
        <f>+P28</f>
        <v>0</v>
      </c>
      <c r="S28" s="170">
        <f>+R28</f>
        <v>0</v>
      </c>
      <c r="T28" s="150"/>
      <c r="U28" s="170">
        <f>+S28</f>
        <v>0</v>
      </c>
      <c r="V28" s="170">
        <f>+U28</f>
        <v>0</v>
      </c>
      <c r="W28" s="136"/>
      <c r="X28" s="97"/>
    </row>
    <row r="29" spans="2:42" ht="12" customHeight="1">
      <c r="B29" s="92"/>
      <c r="C29" s="131"/>
      <c r="D29" s="214" t="s">
        <v>210</v>
      </c>
      <c r="E29" s="138"/>
      <c r="F29" s="133"/>
      <c r="G29" s="134" t="s">
        <v>204</v>
      </c>
      <c r="H29" s="133"/>
      <c r="I29" s="170">
        <v>0</v>
      </c>
      <c r="J29" s="170">
        <f>+I29</f>
        <v>0</v>
      </c>
      <c r="K29" s="149"/>
      <c r="L29" s="170">
        <v>0</v>
      </c>
      <c r="M29" s="170">
        <f>+L29</f>
        <v>0</v>
      </c>
      <c r="N29" s="150"/>
      <c r="O29" s="170">
        <f>+M29</f>
        <v>0</v>
      </c>
      <c r="P29" s="170">
        <f>+O29</f>
        <v>0</v>
      </c>
      <c r="Q29" s="150"/>
      <c r="R29" s="170">
        <f>+P29</f>
        <v>0</v>
      </c>
      <c r="S29" s="170">
        <f>+R29</f>
        <v>0</v>
      </c>
      <c r="T29" s="150"/>
      <c r="U29" s="170">
        <f>+S29</f>
        <v>0</v>
      </c>
      <c r="V29" s="170">
        <f>+U29</f>
        <v>0</v>
      </c>
      <c r="W29" s="136"/>
      <c r="X29" s="97"/>
    </row>
    <row r="30" spans="2:42" ht="12" customHeight="1">
      <c r="B30" s="92"/>
      <c r="C30" s="131"/>
      <c r="D30" s="213"/>
      <c r="E30" s="133"/>
      <c r="F30" s="138"/>
      <c r="G30" s="134" t="s">
        <v>203</v>
      </c>
      <c r="H30" s="133"/>
      <c r="I30" s="170">
        <v>0</v>
      </c>
      <c r="J30" s="170">
        <f>+I30</f>
        <v>0</v>
      </c>
      <c r="K30" s="149"/>
      <c r="L30" s="170">
        <v>0</v>
      </c>
      <c r="M30" s="170">
        <f>+L30</f>
        <v>0</v>
      </c>
      <c r="N30" s="150"/>
      <c r="O30" s="170">
        <f>+M30</f>
        <v>0</v>
      </c>
      <c r="P30" s="170">
        <f>+O30</f>
        <v>0</v>
      </c>
      <c r="Q30" s="150"/>
      <c r="R30" s="170">
        <f>+P30</f>
        <v>0</v>
      </c>
      <c r="S30" s="170">
        <f>+R30</f>
        <v>0</v>
      </c>
      <c r="T30" s="150"/>
      <c r="U30" s="170">
        <f>+S30</f>
        <v>0</v>
      </c>
      <c r="V30" s="170">
        <f>+U30</f>
        <v>0</v>
      </c>
      <c r="W30" s="136"/>
      <c r="X30" s="97"/>
    </row>
    <row r="31" spans="2:42" ht="12" customHeight="1">
      <c r="B31" s="92"/>
      <c r="C31" s="131"/>
      <c r="D31" s="213"/>
      <c r="E31" s="133"/>
      <c r="F31" s="138"/>
      <c r="G31" s="134" t="s">
        <v>190</v>
      </c>
      <c r="H31" s="133"/>
      <c r="I31" s="170">
        <v>0</v>
      </c>
      <c r="J31" s="170">
        <f>+I31</f>
        <v>0</v>
      </c>
      <c r="K31" s="149"/>
      <c r="L31" s="170">
        <v>0</v>
      </c>
      <c r="M31" s="170">
        <f>+L31</f>
        <v>0</v>
      </c>
      <c r="N31" s="150"/>
      <c r="O31" s="170">
        <f>+M31</f>
        <v>0</v>
      </c>
      <c r="P31" s="170">
        <f>+O31</f>
        <v>0</v>
      </c>
      <c r="Q31" s="150"/>
      <c r="R31" s="170">
        <f>+P31</f>
        <v>0</v>
      </c>
      <c r="S31" s="170">
        <f>+R31</f>
        <v>0</v>
      </c>
      <c r="T31" s="150"/>
      <c r="U31" s="170">
        <f>+S31</f>
        <v>0</v>
      </c>
      <c r="V31" s="170">
        <f>+U31</f>
        <v>0</v>
      </c>
      <c r="W31" s="136"/>
      <c r="X31" s="97"/>
    </row>
    <row r="32" spans="2:42" ht="12" customHeight="1">
      <c r="B32" s="92"/>
      <c r="C32" s="131"/>
      <c r="D32" s="214" t="s">
        <v>267</v>
      </c>
      <c r="E32" s="132"/>
      <c r="F32" s="133"/>
      <c r="G32" s="134" t="s">
        <v>266</v>
      </c>
      <c r="H32" s="133"/>
      <c r="I32" s="170">
        <v>0</v>
      </c>
      <c r="J32" s="177" t="s">
        <v>319</v>
      </c>
      <c r="K32" s="149"/>
      <c r="L32" s="170">
        <v>0</v>
      </c>
      <c r="M32" s="177" t="s">
        <v>319</v>
      </c>
      <c r="N32" s="150"/>
      <c r="O32" s="170">
        <f>+L32</f>
        <v>0</v>
      </c>
      <c r="P32" s="177" t="s">
        <v>319</v>
      </c>
      <c r="Q32" s="150"/>
      <c r="R32" s="170">
        <f>+O32</f>
        <v>0</v>
      </c>
      <c r="S32" s="177" t="s">
        <v>319</v>
      </c>
      <c r="T32" s="150"/>
      <c r="U32" s="170">
        <f>+R32</f>
        <v>0</v>
      </c>
      <c r="V32" s="177" t="s">
        <v>319</v>
      </c>
      <c r="W32" s="136"/>
      <c r="X32" s="97"/>
    </row>
    <row r="33" spans="2:24" ht="12" customHeight="1">
      <c r="B33" s="92"/>
      <c r="C33" s="131"/>
      <c r="D33" s="138"/>
      <c r="E33" s="132"/>
      <c r="F33" s="133"/>
      <c r="G33" s="134" t="s">
        <v>268</v>
      </c>
      <c r="H33" s="133"/>
      <c r="I33" s="170">
        <v>0</v>
      </c>
      <c r="J33" s="177" t="s">
        <v>319</v>
      </c>
      <c r="K33" s="149"/>
      <c r="L33" s="170">
        <v>0</v>
      </c>
      <c r="M33" s="177" t="s">
        <v>319</v>
      </c>
      <c r="N33" s="150"/>
      <c r="O33" s="170">
        <f>+L33</f>
        <v>0</v>
      </c>
      <c r="P33" s="177" t="s">
        <v>319</v>
      </c>
      <c r="Q33" s="150"/>
      <c r="R33" s="170">
        <f>+O33</f>
        <v>0</v>
      </c>
      <c r="S33" s="177" t="s">
        <v>319</v>
      </c>
      <c r="T33" s="150"/>
      <c r="U33" s="170">
        <f>+R33</f>
        <v>0</v>
      </c>
      <c r="V33" s="177" t="s">
        <v>319</v>
      </c>
      <c r="W33" s="136"/>
      <c r="X33" s="97"/>
    </row>
    <row r="34" spans="2:24" ht="12" customHeight="1">
      <c r="B34" s="92"/>
      <c r="C34" s="131"/>
      <c r="D34" s="133"/>
      <c r="E34" s="132"/>
      <c r="F34" s="133"/>
      <c r="G34" s="134" t="s">
        <v>148</v>
      </c>
      <c r="H34" s="133"/>
      <c r="I34" s="189">
        <f>+I27+I29</f>
        <v>0</v>
      </c>
      <c r="J34" s="189">
        <f>+J27+J29</f>
        <v>0</v>
      </c>
      <c r="K34" s="133"/>
      <c r="L34" s="189">
        <f>+L27+L29</f>
        <v>0</v>
      </c>
      <c r="M34" s="189">
        <f>+M27+M29</f>
        <v>0</v>
      </c>
      <c r="N34" s="135"/>
      <c r="O34" s="189">
        <f>+O27+O29</f>
        <v>0</v>
      </c>
      <c r="P34" s="189">
        <f>+P27+P29</f>
        <v>0</v>
      </c>
      <c r="Q34" s="135"/>
      <c r="R34" s="189">
        <f>+R27+R29</f>
        <v>0</v>
      </c>
      <c r="S34" s="189">
        <f>+S27+S29</f>
        <v>0</v>
      </c>
      <c r="T34" s="135"/>
      <c r="U34" s="189">
        <f>+U27+U29</f>
        <v>0</v>
      </c>
      <c r="V34" s="189">
        <f>+V27+V29</f>
        <v>0</v>
      </c>
      <c r="W34" s="136"/>
      <c r="X34" s="97"/>
    </row>
    <row r="35" spans="2:24" ht="12" customHeight="1">
      <c r="B35" s="92"/>
      <c r="C35" s="183"/>
      <c r="D35" s="184"/>
      <c r="E35" s="185"/>
      <c r="F35" s="186"/>
      <c r="G35" s="186"/>
      <c r="H35" s="186"/>
      <c r="I35" s="187"/>
      <c r="J35" s="187"/>
      <c r="K35" s="186"/>
      <c r="L35" s="187"/>
      <c r="M35" s="187"/>
      <c r="N35" s="187"/>
      <c r="O35" s="187"/>
      <c r="P35" s="187"/>
      <c r="Q35" s="187"/>
      <c r="R35" s="187"/>
      <c r="S35" s="187"/>
      <c r="T35" s="187"/>
      <c r="U35" s="187"/>
      <c r="V35" s="187"/>
      <c r="W35" s="188"/>
      <c r="X35" s="97"/>
    </row>
    <row r="36" spans="2:24" ht="12" customHeight="1">
      <c r="B36" s="92"/>
      <c r="C36" s="124"/>
      <c r="D36" s="125"/>
      <c r="E36" s="126"/>
      <c r="F36" s="127"/>
      <c r="G36" s="127"/>
      <c r="H36" s="127"/>
      <c r="I36" s="129"/>
      <c r="J36" s="129"/>
      <c r="K36" s="127"/>
      <c r="L36" s="129"/>
      <c r="M36" s="129"/>
      <c r="N36" s="129"/>
      <c r="O36" s="129"/>
      <c r="P36" s="129"/>
      <c r="Q36" s="129"/>
      <c r="R36" s="129"/>
      <c r="S36" s="129"/>
      <c r="T36" s="129"/>
      <c r="U36" s="129"/>
      <c r="V36" s="129"/>
      <c r="W36" s="130"/>
      <c r="X36" s="97"/>
    </row>
    <row r="37" spans="2:24" ht="12" customHeight="1">
      <c r="B37" s="92"/>
      <c r="C37" s="131"/>
      <c r="D37" s="138"/>
      <c r="E37" s="132"/>
      <c r="F37" s="133" t="s">
        <v>201</v>
      </c>
      <c r="G37" s="133" t="s">
        <v>202</v>
      </c>
      <c r="H37" s="133"/>
      <c r="I37" s="148"/>
      <c r="J37" s="148"/>
      <c r="K37" s="133"/>
      <c r="L37" s="148"/>
      <c r="M37" s="148"/>
      <c r="N37" s="148"/>
      <c r="O37" s="148"/>
      <c r="P37" s="148"/>
      <c r="Q37" s="148"/>
      <c r="R37" s="148"/>
      <c r="S37" s="148"/>
      <c r="T37" s="148"/>
      <c r="U37" s="148"/>
      <c r="V37" s="148"/>
      <c r="W37" s="136"/>
      <c r="X37" s="97"/>
    </row>
    <row r="38" spans="2:24" ht="12" customHeight="1">
      <c r="B38" s="92"/>
      <c r="C38" s="131" t="s">
        <v>212</v>
      </c>
      <c r="D38" s="175"/>
      <c r="E38" s="175"/>
      <c r="F38" s="176" t="str">
        <f>IF(G38="ja","nee",IF(MID(E38,1,2)="MG","ja","nee"))</f>
        <v>nee</v>
      </c>
      <c r="G38" s="182" t="s">
        <v>195</v>
      </c>
      <c r="H38" s="133"/>
      <c r="I38" s="135"/>
      <c r="J38" s="135"/>
      <c r="K38" s="133"/>
      <c r="L38" s="135"/>
      <c r="M38" s="135"/>
      <c r="N38" s="135"/>
      <c r="O38" s="135"/>
      <c r="P38" s="135"/>
      <c r="Q38" s="135"/>
      <c r="R38" s="135"/>
      <c r="S38" s="135"/>
      <c r="T38" s="135"/>
      <c r="U38" s="135"/>
      <c r="V38" s="135"/>
      <c r="W38" s="136"/>
      <c r="X38" s="97"/>
    </row>
    <row r="39" spans="2:24" ht="12" customHeight="1">
      <c r="B39" s="92"/>
      <c r="C39" s="131"/>
      <c r="D39" s="133"/>
      <c r="E39" s="133"/>
      <c r="F39" s="133"/>
      <c r="G39" s="137" t="s">
        <v>207</v>
      </c>
      <c r="H39" s="133"/>
      <c r="I39" s="170">
        <v>0</v>
      </c>
      <c r="J39" s="170">
        <f>I39</f>
        <v>0</v>
      </c>
      <c r="K39" s="133"/>
      <c r="L39" s="170">
        <v>0</v>
      </c>
      <c r="M39" s="170">
        <f>+L39</f>
        <v>0</v>
      </c>
      <c r="N39" s="150"/>
      <c r="O39" s="170">
        <f>+M39</f>
        <v>0</v>
      </c>
      <c r="P39" s="170">
        <f>+O39</f>
        <v>0</v>
      </c>
      <c r="Q39" s="150"/>
      <c r="R39" s="170">
        <f>+P39</f>
        <v>0</v>
      </c>
      <c r="S39" s="170">
        <f>+R39</f>
        <v>0</v>
      </c>
      <c r="T39" s="150"/>
      <c r="U39" s="170">
        <f>+S39</f>
        <v>0</v>
      </c>
      <c r="V39" s="170">
        <f>+U39</f>
        <v>0</v>
      </c>
      <c r="W39" s="158"/>
      <c r="X39" s="97"/>
    </row>
    <row r="40" spans="2:24" ht="12" customHeight="1">
      <c r="B40" s="92"/>
      <c r="C40" s="131"/>
      <c r="D40" s="133"/>
      <c r="E40" s="133"/>
      <c r="F40" s="133"/>
      <c r="G40" s="137" t="s">
        <v>208</v>
      </c>
      <c r="H40" s="133"/>
      <c r="I40" s="170">
        <v>0</v>
      </c>
      <c r="J40" s="170">
        <f>I40</f>
        <v>0</v>
      </c>
      <c r="K40" s="133"/>
      <c r="L40" s="170">
        <v>0</v>
      </c>
      <c r="M40" s="170">
        <f>+L40</f>
        <v>0</v>
      </c>
      <c r="N40" s="150"/>
      <c r="O40" s="170">
        <f>+M40</f>
        <v>0</v>
      </c>
      <c r="P40" s="170">
        <f>+O40</f>
        <v>0</v>
      </c>
      <c r="Q40" s="150"/>
      <c r="R40" s="170">
        <f>+P40</f>
        <v>0</v>
      </c>
      <c r="S40" s="170">
        <f>+R40</f>
        <v>0</v>
      </c>
      <c r="T40" s="150"/>
      <c r="U40" s="170">
        <f>+S40</f>
        <v>0</v>
      </c>
      <c r="V40" s="170">
        <f>+U40</f>
        <v>0</v>
      </c>
      <c r="W40" s="136"/>
      <c r="X40" s="97"/>
    </row>
    <row r="41" spans="2:24" ht="12" customHeight="1">
      <c r="B41" s="92"/>
      <c r="C41" s="131"/>
      <c r="D41" s="133"/>
      <c r="E41" s="133"/>
      <c r="F41" s="133"/>
      <c r="G41" s="137" t="s">
        <v>205</v>
      </c>
      <c r="H41" s="133"/>
      <c r="I41" s="179">
        <f>SUM(I39:I40)</f>
        <v>0</v>
      </c>
      <c r="J41" s="179">
        <f>SUM(J39:J40)</f>
        <v>0</v>
      </c>
      <c r="K41" s="133"/>
      <c r="L41" s="179">
        <f>SUM(L39:L40)</f>
        <v>0</v>
      </c>
      <c r="M41" s="179">
        <f>SUM(M39:M40)</f>
        <v>0</v>
      </c>
      <c r="N41" s="135"/>
      <c r="O41" s="179">
        <f>SUM(O39:O40)</f>
        <v>0</v>
      </c>
      <c r="P41" s="179">
        <f>SUM(P39:P40)</f>
        <v>0</v>
      </c>
      <c r="Q41" s="135"/>
      <c r="R41" s="179">
        <f>SUM(R39:R40)</f>
        <v>0</v>
      </c>
      <c r="S41" s="179">
        <f>SUM(S39:S40)</f>
        <v>0</v>
      </c>
      <c r="T41" s="135"/>
      <c r="U41" s="179">
        <f>SUM(U39:U40)</f>
        <v>0</v>
      </c>
      <c r="V41" s="179">
        <f>SUM(V39:V40)</f>
        <v>0</v>
      </c>
      <c r="W41" s="136"/>
      <c r="X41" s="97"/>
    </row>
    <row r="42" spans="2:24" ht="12" customHeight="1">
      <c r="B42" s="92"/>
      <c r="C42" s="131"/>
      <c r="D42" s="133"/>
      <c r="E42" s="133"/>
      <c r="F42" s="133"/>
      <c r="G42" s="137" t="s">
        <v>209</v>
      </c>
      <c r="H42" s="133"/>
      <c r="I42" s="170">
        <v>0</v>
      </c>
      <c r="J42" s="170">
        <f>I42</f>
        <v>0</v>
      </c>
      <c r="K42" s="149"/>
      <c r="L42" s="170">
        <v>0</v>
      </c>
      <c r="M42" s="170">
        <f>+L42</f>
        <v>0</v>
      </c>
      <c r="N42" s="150"/>
      <c r="O42" s="170">
        <f>+M42</f>
        <v>0</v>
      </c>
      <c r="P42" s="170">
        <f>+O42</f>
        <v>0</v>
      </c>
      <c r="Q42" s="150"/>
      <c r="R42" s="170">
        <f>+P42</f>
        <v>0</v>
      </c>
      <c r="S42" s="170">
        <f>+R42</f>
        <v>0</v>
      </c>
      <c r="T42" s="150"/>
      <c r="U42" s="170">
        <f>+S42</f>
        <v>0</v>
      </c>
      <c r="V42" s="170">
        <f>+U42</f>
        <v>0</v>
      </c>
      <c r="W42" s="136"/>
      <c r="X42" s="97"/>
    </row>
    <row r="43" spans="2:24" ht="12" customHeight="1">
      <c r="B43" s="92"/>
      <c r="C43" s="131"/>
      <c r="D43" s="214" t="s">
        <v>210</v>
      </c>
      <c r="E43" s="138"/>
      <c r="F43" s="133"/>
      <c r="G43" s="134" t="s">
        <v>204</v>
      </c>
      <c r="H43" s="133"/>
      <c r="I43" s="170">
        <v>0</v>
      </c>
      <c r="J43" s="170">
        <f>I43</f>
        <v>0</v>
      </c>
      <c r="K43" s="149"/>
      <c r="L43" s="170">
        <v>0</v>
      </c>
      <c r="M43" s="170">
        <f>+L43</f>
        <v>0</v>
      </c>
      <c r="N43" s="150"/>
      <c r="O43" s="170">
        <f>+M43</f>
        <v>0</v>
      </c>
      <c r="P43" s="170">
        <f>+O43</f>
        <v>0</v>
      </c>
      <c r="Q43" s="150"/>
      <c r="R43" s="170">
        <f>+P43</f>
        <v>0</v>
      </c>
      <c r="S43" s="170">
        <f>+R43</f>
        <v>0</v>
      </c>
      <c r="T43" s="150"/>
      <c r="U43" s="170">
        <f>+S43</f>
        <v>0</v>
      </c>
      <c r="V43" s="170">
        <f>+U43</f>
        <v>0</v>
      </c>
      <c r="W43" s="136"/>
      <c r="X43" s="97"/>
    </row>
    <row r="44" spans="2:24" ht="12" customHeight="1">
      <c r="B44" s="92"/>
      <c r="C44" s="131"/>
      <c r="D44" s="213"/>
      <c r="E44" s="133"/>
      <c r="F44" s="138"/>
      <c r="G44" s="134" t="s">
        <v>203</v>
      </c>
      <c r="H44" s="133"/>
      <c r="I44" s="170">
        <v>0</v>
      </c>
      <c r="J44" s="170">
        <f>I44</f>
        <v>0</v>
      </c>
      <c r="K44" s="149"/>
      <c r="L44" s="170">
        <v>0</v>
      </c>
      <c r="M44" s="170">
        <f>+L44</f>
        <v>0</v>
      </c>
      <c r="N44" s="150"/>
      <c r="O44" s="170">
        <f>+M44</f>
        <v>0</v>
      </c>
      <c r="P44" s="170">
        <f>+O44</f>
        <v>0</v>
      </c>
      <c r="Q44" s="150"/>
      <c r="R44" s="170">
        <f>+P44</f>
        <v>0</v>
      </c>
      <c r="S44" s="170">
        <f>+R44</f>
        <v>0</v>
      </c>
      <c r="T44" s="150"/>
      <c r="U44" s="170">
        <f>+S44</f>
        <v>0</v>
      </c>
      <c r="V44" s="170">
        <f>+U44</f>
        <v>0</v>
      </c>
      <c r="W44" s="136"/>
      <c r="X44" s="97"/>
    </row>
    <row r="45" spans="2:24" ht="12" customHeight="1">
      <c r="B45" s="92"/>
      <c r="C45" s="131"/>
      <c r="D45" s="213"/>
      <c r="E45" s="133"/>
      <c r="F45" s="138"/>
      <c r="G45" s="134" t="s">
        <v>190</v>
      </c>
      <c r="H45" s="133"/>
      <c r="I45" s="170">
        <v>0</v>
      </c>
      <c r="J45" s="170">
        <f>I45</f>
        <v>0</v>
      </c>
      <c r="K45" s="149"/>
      <c r="L45" s="170">
        <v>0</v>
      </c>
      <c r="M45" s="170">
        <f>+L45</f>
        <v>0</v>
      </c>
      <c r="N45" s="150"/>
      <c r="O45" s="170">
        <f>+M45</f>
        <v>0</v>
      </c>
      <c r="P45" s="170">
        <f>+O45</f>
        <v>0</v>
      </c>
      <c r="Q45" s="150"/>
      <c r="R45" s="170">
        <f>+P45</f>
        <v>0</v>
      </c>
      <c r="S45" s="170">
        <f>+R45</f>
        <v>0</v>
      </c>
      <c r="T45" s="150"/>
      <c r="U45" s="170">
        <f>+S45</f>
        <v>0</v>
      </c>
      <c r="V45" s="170">
        <f>+U45</f>
        <v>0</v>
      </c>
      <c r="W45" s="136"/>
      <c r="X45" s="97"/>
    </row>
    <row r="46" spans="2:24" ht="12" customHeight="1">
      <c r="B46" s="92"/>
      <c r="C46" s="131"/>
      <c r="D46" s="214" t="s">
        <v>267</v>
      </c>
      <c r="E46" s="132"/>
      <c r="F46" s="133"/>
      <c r="G46" s="134" t="s">
        <v>266</v>
      </c>
      <c r="H46" s="133"/>
      <c r="I46" s="170">
        <v>0</v>
      </c>
      <c r="J46" s="177" t="s">
        <v>319</v>
      </c>
      <c r="K46" s="149"/>
      <c r="L46" s="170">
        <v>0</v>
      </c>
      <c r="M46" s="177" t="s">
        <v>319</v>
      </c>
      <c r="N46" s="150"/>
      <c r="O46" s="170">
        <f>+L46</f>
        <v>0</v>
      </c>
      <c r="P46" s="177" t="s">
        <v>319</v>
      </c>
      <c r="Q46" s="150"/>
      <c r="R46" s="170">
        <f>+O46</f>
        <v>0</v>
      </c>
      <c r="S46" s="177" t="s">
        <v>319</v>
      </c>
      <c r="T46" s="150"/>
      <c r="U46" s="170">
        <f>+R46</f>
        <v>0</v>
      </c>
      <c r="V46" s="177" t="s">
        <v>319</v>
      </c>
      <c r="W46" s="136"/>
      <c r="X46" s="97"/>
    </row>
    <row r="47" spans="2:24" ht="12" customHeight="1">
      <c r="B47" s="92"/>
      <c r="C47" s="131"/>
      <c r="D47" s="138"/>
      <c r="E47" s="132"/>
      <c r="F47" s="133"/>
      <c r="G47" s="134" t="s">
        <v>268</v>
      </c>
      <c r="H47" s="133"/>
      <c r="I47" s="170">
        <v>0</v>
      </c>
      <c r="J47" s="177" t="s">
        <v>319</v>
      </c>
      <c r="K47" s="149"/>
      <c r="L47" s="170">
        <v>0</v>
      </c>
      <c r="M47" s="177" t="s">
        <v>319</v>
      </c>
      <c r="N47" s="150"/>
      <c r="O47" s="170">
        <f>+L47</f>
        <v>0</v>
      </c>
      <c r="P47" s="177" t="s">
        <v>319</v>
      </c>
      <c r="Q47" s="150"/>
      <c r="R47" s="170">
        <f>+O47</f>
        <v>0</v>
      </c>
      <c r="S47" s="177" t="s">
        <v>319</v>
      </c>
      <c r="T47" s="150"/>
      <c r="U47" s="170">
        <f>+R47</f>
        <v>0</v>
      </c>
      <c r="V47" s="177" t="s">
        <v>319</v>
      </c>
      <c r="W47" s="136"/>
      <c r="X47" s="97"/>
    </row>
    <row r="48" spans="2:24" ht="12" customHeight="1">
      <c r="B48" s="92"/>
      <c r="C48" s="131"/>
      <c r="D48" s="133"/>
      <c r="E48" s="132"/>
      <c r="F48" s="133"/>
      <c r="G48" s="134" t="s">
        <v>148</v>
      </c>
      <c r="H48" s="133"/>
      <c r="I48" s="189">
        <f>+I41+I43</f>
        <v>0</v>
      </c>
      <c r="J48" s="189">
        <f>+J41+J43</f>
        <v>0</v>
      </c>
      <c r="K48" s="133"/>
      <c r="L48" s="189">
        <f>+L41+L43</f>
        <v>0</v>
      </c>
      <c r="M48" s="189">
        <f>+M41+M43</f>
        <v>0</v>
      </c>
      <c r="N48" s="135"/>
      <c r="O48" s="189">
        <f>+O41+O43</f>
        <v>0</v>
      </c>
      <c r="P48" s="189">
        <f>+P41+P43</f>
        <v>0</v>
      </c>
      <c r="Q48" s="135"/>
      <c r="R48" s="189">
        <f>+R41+R43</f>
        <v>0</v>
      </c>
      <c r="S48" s="189">
        <f>+S41+S43</f>
        <v>0</v>
      </c>
      <c r="T48" s="135"/>
      <c r="U48" s="189">
        <f>+U41+U43</f>
        <v>0</v>
      </c>
      <c r="V48" s="189">
        <f>+V41+V43</f>
        <v>0</v>
      </c>
      <c r="W48" s="136"/>
      <c r="X48" s="97"/>
    </row>
    <row r="49" spans="2:24" ht="12" customHeight="1">
      <c r="B49" s="92"/>
      <c r="C49" s="183"/>
      <c r="D49" s="184"/>
      <c r="E49" s="185"/>
      <c r="F49" s="186"/>
      <c r="G49" s="186"/>
      <c r="H49" s="186"/>
      <c r="I49" s="187"/>
      <c r="J49" s="187"/>
      <c r="K49" s="186"/>
      <c r="L49" s="187"/>
      <c r="M49" s="187"/>
      <c r="N49" s="187"/>
      <c r="O49" s="187"/>
      <c r="P49" s="187"/>
      <c r="Q49" s="187"/>
      <c r="R49" s="187"/>
      <c r="S49" s="187"/>
      <c r="T49" s="187"/>
      <c r="U49" s="187"/>
      <c r="V49" s="187"/>
      <c r="W49" s="188"/>
      <c r="X49" s="97"/>
    </row>
    <row r="50" spans="2:24" ht="12" customHeight="1">
      <c r="B50" s="92"/>
      <c r="C50" s="124"/>
      <c r="D50" s="125"/>
      <c r="E50" s="126"/>
      <c r="F50" s="127"/>
      <c r="G50" s="127"/>
      <c r="H50" s="127"/>
      <c r="I50" s="129"/>
      <c r="J50" s="129"/>
      <c r="K50" s="127"/>
      <c r="L50" s="129"/>
      <c r="M50" s="129"/>
      <c r="N50" s="129"/>
      <c r="O50" s="129"/>
      <c r="P50" s="129"/>
      <c r="Q50" s="129"/>
      <c r="R50" s="129"/>
      <c r="S50" s="129"/>
      <c r="T50" s="129"/>
      <c r="U50" s="129"/>
      <c r="V50" s="129"/>
      <c r="W50" s="130"/>
      <c r="X50" s="97"/>
    </row>
    <row r="51" spans="2:24" ht="12" customHeight="1">
      <c r="B51" s="92"/>
      <c r="C51" s="131"/>
      <c r="D51" s="138"/>
      <c r="E51" s="132"/>
      <c r="F51" s="133" t="s">
        <v>201</v>
      </c>
      <c r="G51" s="133" t="s">
        <v>202</v>
      </c>
      <c r="H51" s="133"/>
      <c r="I51" s="148"/>
      <c r="J51" s="148"/>
      <c r="K51" s="133"/>
      <c r="L51" s="148"/>
      <c r="M51" s="148"/>
      <c r="N51" s="148"/>
      <c r="O51" s="148"/>
      <c r="P51" s="148"/>
      <c r="Q51" s="148"/>
      <c r="R51" s="148"/>
      <c r="S51" s="148"/>
      <c r="T51" s="148"/>
      <c r="U51" s="148"/>
      <c r="V51" s="148"/>
      <c r="W51" s="136"/>
      <c r="X51" s="97"/>
    </row>
    <row r="52" spans="2:24" ht="12" customHeight="1">
      <c r="B52" s="92"/>
      <c r="C52" s="131" t="s">
        <v>228</v>
      </c>
      <c r="D52" s="175"/>
      <c r="E52" s="175"/>
      <c r="F52" s="176" t="str">
        <f>IF(G52="ja","nee",IF(MID(E52,1,2)="MG","ja","nee"))</f>
        <v>nee</v>
      </c>
      <c r="G52" s="182" t="s">
        <v>195</v>
      </c>
      <c r="H52" s="133"/>
      <c r="I52" s="135"/>
      <c r="J52" s="135"/>
      <c r="K52" s="133"/>
      <c r="L52" s="135"/>
      <c r="M52" s="135"/>
      <c r="N52" s="135"/>
      <c r="O52" s="135"/>
      <c r="P52" s="135"/>
      <c r="Q52" s="135"/>
      <c r="R52" s="135"/>
      <c r="S52" s="135"/>
      <c r="T52" s="135"/>
      <c r="U52" s="135"/>
      <c r="V52" s="135"/>
      <c r="W52" s="136"/>
      <c r="X52" s="97"/>
    </row>
    <row r="53" spans="2:24" ht="12" customHeight="1">
      <c r="B53" s="92"/>
      <c r="C53" s="131"/>
      <c r="D53" s="133"/>
      <c r="E53" s="133"/>
      <c r="F53" s="133"/>
      <c r="G53" s="137" t="s">
        <v>207</v>
      </c>
      <c r="H53" s="133"/>
      <c r="I53" s="170">
        <v>0</v>
      </c>
      <c r="J53" s="170">
        <f>+I53</f>
        <v>0</v>
      </c>
      <c r="K53" s="133"/>
      <c r="L53" s="170">
        <v>0</v>
      </c>
      <c r="M53" s="170">
        <f>+L53</f>
        <v>0</v>
      </c>
      <c r="N53" s="150"/>
      <c r="O53" s="170">
        <f>+M53</f>
        <v>0</v>
      </c>
      <c r="P53" s="170">
        <f>+O53</f>
        <v>0</v>
      </c>
      <c r="Q53" s="150"/>
      <c r="R53" s="170">
        <f>+P53</f>
        <v>0</v>
      </c>
      <c r="S53" s="170">
        <f>+R53</f>
        <v>0</v>
      </c>
      <c r="T53" s="150"/>
      <c r="U53" s="170">
        <f>+S53</f>
        <v>0</v>
      </c>
      <c r="V53" s="170">
        <f>+U53</f>
        <v>0</v>
      </c>
      <c r="W53" s="159"/>
      <c r="X53" s="97"/>
    </row>
    <row r="54" spans="2:24" ht="12" customHeight="1">
      <c r="B54" s="92"/>
      <c r="C54" s="131"/>
      <c r="D54" s="133"/>
      <c r="E54" s="133"/>
      <c r="F54" s="133"/>
      <c r="G54" s="137" t="s">
        <v>208</v>
      </c>
      <c r="H54" s="133"/>
      <c r="I54" s="170">
        <v>0</v>
      </c>
      <c r="J54" s="170">
        <f>+I54</f>
        <v>0</v>
      </c>
      <c r="K54" s="133"/>
      <c r="L54" s="170">
        <v>0</v>
      </c>
      <c r="M54" s="170">
        <f>+L54</f>
        <v>0</v>
      </c>
      <c r="N54" s="150"/>
      <c r="O54" s="170">
        <f>+M54</f>
        <v>0</v>
      </c>
      <c r="P54" s="170">
        <f>+O54</f>
        <v>0</v>
      </c>
      <c r="Q54" s="150"/>
      <c r="R54" s="170">
        <f>+P54</f>
        <v>0</v>
      </c>
      <c r="S54" s="170">
        <f>+R54</f>
        <v>0</v>
      </c>
      <c r="T54" s="150"/>
      <c r="U54" s="170">
        <f>+S54</f>
        <v>0</v>
      </c>
      <c r="V54" s="170">
        <f>+U54</f>
        <v>0</v>
      </c>
      <c r="W54" s="160"/>
      <c r="X54" s="97"/>
    </row>
    <row r="55" spans="2:24" ht="12" customHeight="1">
      <c r="B55" s="92"/>
      <c r="C55" s="131"/>
      <c r="D55" s="133"/>
      <c r="E55" s="133"/>
      <c r="F55" s="133"/>
      <c r="G55" s="137" t="s">
        <v>205</v>
      </c>
      <c r="H55" s="133"/>
      <c r="I55" s="179">
        <f>SUM(I53:I54)</f>
        <v>0</v>
      </c>
      <c r="J55" s="179">
        <f>SUM(J53:J54)</f>
        <v>0</v>
      </c>
      <c r="K55" s="133"/>
      <c r="L55" s="179">
        <f>SUM(L53:L54)</f>
        <v>0</v>
      </c>
      <c r="M55" s="179">
        <f>SUM(M53:M54)</f>
        <v>0</v>
      </c>
      <c r="N55" s="135"/>
      <c r="O55" s="179">
        <f>SUM(O53:O54)</f>
        <v>0</v>
      </c>
      <c r="P55" s="179">
        <f>SUM(P53:P54)</f>
        <v>0</v>
      </c>
      <c r="Q55" s="135"/>
      <c r="R55" s="179">
        <f>SUM(R53:R54)</f>
        <v>0</v>
      </c>
      <c r="S55" s="179">
        <f>SUM(S53:S54)</f>
        <v>0</v>
      </c>
      <c r="T55" s="135"/>
      <c r="U55" s="179">
        <f>SUM(U53:U54)</f>
        <v>0</v>
      </c>
      <c r="V55" s="179">
        <f>SUM(V53:V54)</f>
        <v>0</v>
      </c>
      <c r="W55" s="136"/>
      <c r="X55" s="97"/>
    </row>
    <row r="56" spans="2:24" ht="12" customHeight="1">
      <c r="B56" s="92"/>
      <c r="C56" s="131"/>
      <c r="D56" s="133"/>
      <c r="E56" s="133"/>
      <c r="F56" s="133"/>
      <c r="G56" s="137" t="s">
        <v>209</v>
      </c>
      <c r="H56" s="133"/>
      <c r="I56" s="170">
        <v>0</v>
      </c>
      <c r="J56" s="170">
        <f>+I56</f>
        <v>0</v>
      </c>
      <c r="K56" s="149"/>
      <c r="L56" s="170">
        <v>0</v>
      </c>
      <c r="M56" s="170">
        <f>+L56</f>
        <v>0</v>
      </c>
      <c r="N56" s="150"/>
      <c r="O56" s="170">
        <f>+M56</f>
        <v>0</v>
      </c>
      <c r="P56" s="170">
        <f>+O56</f>
        <v>0</v>
      </c>
      <c r="Q56" s="150"/>
      <c r="R56" s="170">
        <f>+P56</f>
        <v>0</v>
      </c>
      <c r="S56" s="170">
        <f>+R56</f>
        <v>0</v>
      </c>
      <c r="T56" s="150"/>
      <c r="U56" s="170">
        <f>+S56</f>
        <v>0</v>
      </c>
      <c r="V56" s="170">
        <f>+U56</f>
        <v>0</v>
      </c>
      <c r="W56" s="136"/>
      <c r="X56" s="97"/>
    </row>
    <row r="57" spans="2:24" ht="12" customHeight="1">
      <c r="B57" s="92"/>
      <c r="C57" s="131"/>
      <c r="D57" s="214" t="s">
        <v>210</v>
      </c>
      <c r="E57" s="138"/>
      <c r="F57" s="133"/>
      <c r="G57" s="134" t="s">
        <v>204</v>
      </c>
      <c r="H57" s="133"/>
      <c r="I57" s="170">
        <v>0</v>
      </c>
      <c r="J57" s="170">
        <f>+I57</f>
        <v>0</v>
      </c>
      <c r="K57" s="149"/>
      <c r="L57" s="170">
        <v>0</v>
      </c>
      <c r="M57" s="170">
        <f>+L57</f>
        <v>0</v>
      </c>
      <c r="N57" s="150"/>
      <c r="O57" s="170">
        <f>+M57</f>
        <v>0</v>
      </c>
      <c r="P57" s="170">
        <f>+O57</f>
        <v>0</v>
      </c>
      <c r="Q57" s="150"/>
      <c r="R57" s="170">
        <f>+P57</f>
        <v>0</v>
      </c>
      <c r="S57" s="170">
        <f>+R57</f>
        <v>0</v>
      </c>
      <c r="T57" s="150"/>
      <c r="U57" s="170">
        <f>+S57</f>
        <v>0</v>
      </c>
      <c r="V57" s="170">
        <f>+U57</f>
        <v>0</v>
      </c>
      <c r="W57" s="136"/>
      <c r="X57" s="97"/>
    </row>
    <row r="58" spans="2:24" ht="12" customHeight="1">
      <c r="B58" s="92"/>
      <c r="C58" s="131"/>
      <c r="D58" s="213"/>
      <c r="E58" s="133"/>
      <c r="F58" s="138"/>
      <c r="G58" s="134" t="s">
        <v>203</v>
      </c>
      <c r="H58" s="133"/>
      <c r="I58" s="170">
        <v>0</v>
      </c>
      <c r="J58" s="170">
        <f>+I58</f>
        <v>0</v>
      </c>
      <c r="K58" s="149"/>
      <c r="L58" s="170">
        <v>0</v>
      </c>
      <c r="M58" s="170">
        <f>+L58</f>
        <v>0</v>
      </c>
      <c r="N58" s="150"/>
      <c r="O58" s="170">
        <f>+M58</f>
        <v>0</v>
      </c>
      <c r="P58" s="170">
        <f>+O58</f>
        <v>0</v>
      </c>
      <c r="Q58" s="150"/>
      <c r="R58" s="170">
        <f>+P58</f>
        <v>0</v>
      </c>
      <c r="S58" s="170">
        <f>+R58</f>
        <v>0</v>
      </c>
      <c r="T58" s="150"/>
      <c r="U58" s="170">
        <f>+S58</f>
        <v>0</v>
      </c>
      <c r="V58" s="170">
        <f>+U58</f>
        <v>0</v>
      </c>
      <c r="W58" s="136"/>
      <c r="X58" s="97"/>
    </row>
    <row r="59" spans="2:24" ht="12" customHeight="1">
      <c r="B59" s="92"/>
      <c r="C59" s="131"/>
      <c r="D59" s="213"/>
      <c r="E59" s="133"/>
      <c r="F59" s="138"/>
      <c r="G59" s="134" t="s">
        <v>190</v>
      </c>
      <c r="H59" s="133"/>
      <c r="I59" s="170">
        <v>0</v>
      </c>
      <c r="J59" s="170">
        <f>+I59</f>
        <v>0</v>
      </c>
      <c r="K59" s="149"/>
      <c r="L59" s="170">
        <v>0</v>
      </c>
      <c r="M59" s="170">
        <f>+L59</f>
        <v>0</v>
      </c>
      <c r="N59" s="150"/>
      <c r="O59" s="170">
        <f>+M59</f>
        <v>0</v>
      </c>
      <c r="P59" s="170">
        <f>+O59</f>
        <v>0</v>
      </c>
      <c r="Q59" s="150"/>
      <c r="R59" s="170">
        <f>+P59</f>
        <v>0</v>
      </c>
      <c r="S59" s="170">
        <f>+R59</f>
        <v>0</v>
      </c>
      <c r="T59" s="150"/>
      <c r="U59" s="170">
        <f>+S59</f>
        <v>0</v>
      </c>
      <c r="V59" s="170">
        <f>+U59</f>
        <v>0</v>
      </c>
      <c r="W59" s="136"/>
      <c r="X59" s="97"/>
    </row>
    <row r="60" spans="2:24" ht="12" customHeight="1">
      <c r="B60" s="92"/>
      <c r="C60" s="131"/>
      <c r="D60" s="214" t="s">
        <v>267</v>
      </c>
      <c r="E60" s="132"/>
      <c r="F60" s="133"/>
      <c r="G60" s="134" t="s">
        <v>266</v>
      </c>
      <c r="H60" s="133"/>
      <c r="I60" s="170">
        <v>0</v>
      </c>
      <c r="J60" s="177" t="s">
        <v>319</v>
      </c>
      <c r="K60" s="149"/>
      <c r="L60" s="170">
        <v>0</v>
      </c>
      <c r="M60" s="177" t="s">
        <v>319</v>
      </c>
      <c r="N60" s="150"/>
      <c r="O60" s="170">
        <f>+L60</f>
        <v>0</v>
      </c>
      <c r="P60" s="177" t="s">
        <v>319</v>
      </c>
      <c r="Q60" s="150"/>
      <c r="R60" s="170">
        <f>+O60</f>
        <v>0</v>
      </c>
      <c r="S60" s="177" t="s">
        <v>319</v>
      </c>
      <c r="T60" s="150"/>
      <c r="U60" s="170">
        <f>+R60</f>
        <v>0</v>
      </c>
      <c r="V60" s="177" t="s">
        <v>319</v>
      </c>
      <c r="W60" s="136"/>
      <c r="X60" s="97"/>
    </row>
    <row r="61" spans="2:24" ht="12" customHeight="1">
      <c r="B61" s="92"/>
      <c r="C61" s="131"/>
      <c r="D61" s="138"/>
      <c r="E61" s="132"/>
      <c r="F61" s="133"/>
      <c r="G61" s="134" t="s">
        <v>268</v>
      </c>
      <c r="H61" s="133"/>
      <c r="I61" s="170">
        <v>0</v>
      </c>
      <c r="J61" s="177" t="s">
        <v>319</v>
      </c>
      <c r="K61" s="149"/>
      <c r="L61" s="170">
        <v>0</v>
      </c>
      <c r="M61" s="177" t="s">
        <v>319</v>
      </c>
      <c r="N61" s="150"/>
      <c r="O61" s="170">
        <f>+L61</f>
        <v>0</v>
      </c>
      <c r="P61" s="177" t="s">
        <v>319</v>
      </c>
      <c r="Q61" s="150"/>
      <c r="R61" s="170">
        <f>+O61</f>
        <v>0</v>
      </c>
      <c r="S61" s="177" t="s">
        <v>319</v>
      </c>
      <c r="T61" s="150"/>
      <c r="U61" s="170">
        <f>+R61</f>
        <v>0</v>
      </c>
      <c r="V61" s="177" t="s">
        <v>319</v>
      </c>
      <c r="W61" s="136"/>
      <c r="X61" s="97"/>
    </row>
    <row r="62" spans="2:24" ht="12" customHeight="1">
      <c r="B62" s="92"/>
      <c r="C62" s="131"/>
      <c r="D62" s="133"/>
      <c r="E62" s="132"/>
      <c r="F62" s="133"/>
      <c r="G62" s="134" t="s">
        <v>148</v>
      </c>
      <c r="H62" s="133"/>
      <c r="I62" s="189">
        <f>+I55+I57</f>
        <v>0</v>
      </c>
      <c r="J62" s="189">
        <f>+J55+J57</f>
        <v>0</v>
      </c>
      <c r="K62" s="133"/>
      <c r="L62" s="189">
        <f>+L55+L57</f>
        <v>0</v>
      </c>
      <c r="M62" s="189">
        <f>+M55+M57</f>
        <v>0</v>
      </c>
      <c r="N62" s="135"/>
      <c r="O62" s="189">
        <f>+O55+O57</f>
        <v>0</v>
      </c>
      <c r="P62" s="189">
        <f>+P55+P57</f>
        <v>0</v>
      </c>
      <c r="Q62" s="135"/>
      <c r="R62" s="189">
        <f>+R55+R57</f>
        <v>0</v>
      </c>
      <c r="S62" s="189">
        <f>+S55+S57</f>
        <v>0</v>
      </c>
      <c r="T62" s="135"/>
      <c r="U62" s="189">
        <f>+U55+U57</f>
        <v>0</v>
      </c>
      <c r="V62" s="189">
        <f>+V55+V57</f>
        <v>0</v>
      </c>
      <c r="W62" s="136"/>
      <c r="X62" s="97"/>
    </row>
    <row r="63" spans="2:24" ht="12" customHeight="1">
      <c r="B63" s="92"/>
      <c r="C63" s="141"/>
      <c r="D63" s="142"/>
      <c r="E63" s="143"/>
      <c r="F63" s="144"/>
      <c r="G63" s="145"/>
      <c r="H63" s="144"/>
      <c r="I63" s="146"/>
      <c r="J63" s="146"/>
      <c r="K63" s="144"/>
      <c r="L63" s="146"/>
      <c r="M63" s="146"/>
      <c r="N63" s="146"/>
      <c r="O63" s="146"/>
      <c r="P63" s="146"/>
      <c r="Q63" s="146"/>
      <c r="R63" s="146"/>
      <c r="S63" s="146"/>
      <c r="T63" s="146"/>
      <c r="U63" s="146"/>
      <c r="V63" s="146"/>
      <c r="W63" s="147"/>
      <c r="X63" s="97"/>
    </row>
    <row r="64" spans="2:24" ht="12" customHeight="1">
      <c r="B64" s="92"/>
      <c r="C64" s="93"/>
      <c r="D64" s="110"/>
      <c r="E64" s="111"/>
      <c r="F64" s="93"/>
      <c r="G64" s="112"/>
      <c r="H64" s="93"/>
      <c r="I64" s="95"/>
      <c r="J64" s="95"/>
      <c r="K64" s="93"/>
      <c r="L64" s="95"/>
      <c r="M64" s="95"/>
      <c r="N64" s="95"/>
      <c r="O64" s="95"/>
      <c r="P64" s="95"/>
      <c r="Q64" s="95"/>
      <c r="R64" s="95"/>
      <c r="S64" s="95"/>
      <c r="T64" s="95"/>
      <c r="U64" s="95"/>
      <c r="V64" s="95"/>
      <c r="W64" s="93"/>
      <c r="X64" s="97"/>
    </row>
    <row r="65" spans="2:24" ht="12" customHeight="1">
      <c r="B65" s="113"/>
      <c r="C65" s="114"/>
      <c r="D65" s="115"/>
      <c r="E65" s="116"/>
      <c r="F65" s="114"/>
      <c r="G65" s="117"/>
      <c r="H65" s="114"/>
      <c r="I65" s="118"/>
      <c r="J65" s="118"/>
      <c r="K65" s="114"/>
      <c r="L65" s="118"/>
      <c r="M65" s="118"/>
      <c r="N65" s="118"/>
      <c r="O65" s="118"/>
      <c r="P65" s="118"/>
      <c r="Q65" s="118"/>
      <c r="R65" s="118"/>
      <c r="S65" s="118"/>
      <c r="T65" s="118"/>
      <c r="U65" s="118"/>
      <c r="V65" s="118"/>
      <c r="W65" s="114"/>
      <c r="X65" s="120"/>
    </row>
    <row r="66" spans="2:24" ht="12" customHeight="1">
      <c r="B66" s="87"/>
      <c r="C66" s="88"/>
      <c r="D66" s="121"/>
      <c r="E66" s="122"/>
      <c r="F66" s="88"/>
      <c r="G66" s="123"/>
      <c r="H66" s="88"/>
      <c r="I66" s="90"/>
      <c r="J66" s="90"/>
      <c r="K66" s="88"/>
      <c r="L66" s="90"/>
      <c r="M66" s="90"/>
      <c r="N66" s="90"/>
      <c r="O66" s="90"/>
      <c r="P66" s="90"/>
      <c r="Q66" s="90"/>
      <c r="R66" s="90"/>
      <c r="S66" s="90"/>
      <c r="T66" s="90"/>
      <c r="U66" s="90"/>
      <c r="V66" s="90"/>
      <c r="W66" s="88"/>
      <c r="X66" s="91"/>
    </row>
    <row r="67" spans="2:24" ht="12" customHeight="1">
      <c r="B67" s="92"/>
      <c r="C67" s="93"/>
      <c r="D67" s="110"/>
      <c r="E67" s="111"/>
      <c r="F67" s="93"/>
      <c r="G67" s="112"/>
      <c r="H67" s="93"/>
      <c r="I67" s="95"/>
      <c r="J67" s="95"/>
      <c r="K67" s="93"/>
      <c r="L67" s="95"/>
      <c r="M67" s="95"/>
      <c r="N67" s="95"/>
      <c r="O67" s="95"/>
      <c r="P67" s="95"/>
      <c r="Q67" s="95"/>
      <c r="R67" s="95"/>
      <c r="S67" s="95"/>
      <c r="T67" s="95"/>
      <c r="U67" s="95"/>
      <c r="V67" s="95"/>
      <c r="W67" s="93"/>
      <c r="X67" s="97"/>
    </row>
    <row r="68" spans="2:24" ht="12" customHeight="1">
      <c r="B68" s="92"/>
      <c r="C68" s="93"/>
      <c r="D68" s="110"/>
      <c r="E68" s="111"/>
      <c r="F68" s="93"/>
      <c r="G68" s="112"/>
      <c r="H68" s="93"/>
      <c r="I68" s="95"/>
      <c r="J68" s="95"/>
      <c r="K68" s="93"/>
      <c r="L68" s="95"/>
      <c r="M68" s="95"/>
      <c r="N68" s="95"/>
      <c r="O68" s="95"/>
      <c r="P68" s="95"/>
      <c r="Q68" s="95"/>
      <c r="R68" s="95"/>
      <c r="S68" s="95"/>
      <c r="T68" s="95"/>
      <c r="U68" s="95"/>
      <c r="V68" s="95"/>
      <c r="W68" s="93"/>
      <c r="X68" s="97"/>
    </row>
    <row r="69" spans="2:24" ht="12" customHeight="1">
      <c r="B69" s="92"/>
      <c r="C69" s="93"/>
      <c r="D69" s="110"/>
      <c r="E69" s="111"/>
      <c r="F69" s="93"/>
      <c r="G69" s="112"/>
      <c r="H69" s="93"/>
      <c r="I69" s="1174" t="str">
        <f>I8</f>
        <v>2012/13</v>
      </c>
      <c r="J69" s="1175"/>
      <c r="K69" s="1069"/>
      <c r="L69" s="1174" t="str">
        <f>L8</f>
        <v>2013/14</v>
      </c>
      <c r="M69" s="1175"/>
      <c r="N69" s="1069"/>
      <c r="O69" s="1174" t="str">
        <f>O8</f>
        <v>2014/15</v>
      </c>
      <c r="P69" s="1175"/>
      <c r="Q69" s="1069"/>
      <c r="R69" s="1174" t="str">
        <f>R8</f>
        <v>2015/16</v>
      </c>
      <c r="S69" s="1175"/>
      <c r="T69" s="1068"/>
      <c r="U69" s="1174" t="str">
        <f>U8</f>
        <v>2016/17</v>
      </c>
      <c r="V69" s="1175"/>
      <c r="W69" s="93"/>
      <c r="X69" s="97"/>
    </row>
    <row r="70" spans="2:24" ht="12" customHeight="1">
      <c r="B70" s="92"/>
      <c r="C70" s="93"/>
      <c r="D70" s="110"/>
      <c r="E70" s="111"/>
      <c r="F70" s="93"/>
      <c r="G70" s="112"/>
      <c r="H70" s="93"/>
      <c r="I70" s="166">
        <f>I9</f>
        <v>40817</v>
      </c>
      <c r="J70" s="166">
        <f>J9</f>
        <v>40924</v>
      </c>
      <c r="K70" s="166"/>
      <c r="L70" s="166">
        <f>L9</f>
        <v>41183</v>
      </c>
      <c r="M70" s="166">
        <f>M9</f>
        <v>41290</v>
      </c>
      <c r="N70" s="166"/>
      <c r="O70" s="166">
        <f>O9</f>
        <v>41548</v>
      </c>
      <c r="P70" s="166">
        <f>P9</f>
        <v>41655</v>
      </c>
      <c r="Q70" s="166"/>
      <c r="R70" s="166">
        <f>R9</f>
        <v>41913</v>
      </c>
      <c r="S70" s="166">
        <f>S9</f>
        <v>42020</v>
      </c>
      <c r="T70" s="167"/>
      <c r="U70" s="166">
        <f>U9</f>
        <v>42278</v>
      </c>
      <c r="V70" s="166">
        <f>V9</f>
        <v>42385</v>
      </c>
      <c r="W70" s="93"/>
      <c r="X70" s="97"/>
    </row>
    <row r="71" spans="2:24" ht="12" customHeight="1">
      <c r="B71" s="92"/>
      <c r="C71" s="93"/>
      <c r="D71" s="110"/>
      <c r="E71" s="111"/>
      <c r="F71" s="93"/>
      <c r="G71" s="112"/>
      <c r="H71" s="93"/>
      <c r="I71" s="95"/>
      <c r="J71" s="95"/>
      <c r="K71" s="93"/>
      <c r="L71" s="95"/>
      <c r="M71" s="95"/>
      <c r="N71" s="95"/>
      <c r="O71" s="95"/>
      <c r="P71" s="95"/>
      <c r="Q71" s="95"/>
      <c r="R71" s="95"/>
      <c r="S71" s="95"/>
      <c r="T71" s="95"/>
      <c r="U71" s="95"/>
      <c r="V71" s="95"/>
      <c r="W71" s="93"/>
      <c r="X71" s="97"/>
    </row>
    <row r="72" spans="2:24" ht="12" customHeight="1">
      <c r="B72" s="92"/>
      <c r="C72" s="124"/>
      <c r="D72" s="125"/>
      <c r="E72" s="126"/>
      <c r="F72" s="127"/>
      <c r="G72" s="128"/>
      <c r="H72" s="127"/>
      <c r="I72" s="129"/>
      <c r="J72" s="129"/>
      <c r="K72" s="127"/>
      <c r="L72" s="129"/>
      <c r="M72" s="129"/>
      <c r="N72" s="129"/>
      <c r="O72" s="129"/>
      <c r="P72" s="129"/>
      <c r="Q72" s="129"/>
      <c r="R72" s="129"/>
      <c r="S72" s="129"/>
      <c r="T72" s="129"/>
      <c r="U72" s="129"/>
      <c r="V72" s="129"/>
      <c r="W72" s="130"/>
      <c r="X72" s="97"/>
    </row>
    <row r="73" spans="2:24" ht="12" customHeight="1">
      <c r="B73" s="92"/>
      <c r="C73" s="131"/>
      <c r="D73" s="1090" t="s">
        <v>101</v>
      </c>
      <c r="E73" s="132"/>
      <c r="F73" s="133"/>
      <c r="G73" s="134"/>
      <c r="H73" s="133"/>
      <c r="I73" s="135"/>
      <c r="J73" s="135"/>
      <c r="K73" s="133"/>
      <c r="L73" s="135"/>
      <c r="M73" s="135"/>
      <c r="N73" s="135"/>
      <c r="O73" s="135"/>
      <c r="P73" s="135"/>
      <c r="Q73" s="135"/>
      <c r="R73" s="135"/>
      <c r="S73" s="135"/>
      <c r="T73" s="135"/>
      <c r="U73" s="135"/>
      <c r="V73" s="135"/>
      <c r="W73" s="136"/>
      <c r="X73" s="97"/>
    </row>
    <row r="74" spans="2:24" ht="12" customHeight="1">
      <c r="B74" s="92"/>
      <c r="C74" s="131"/>
      <c r="D74" s="138"/>
      <c r="E74" s="132"/>
      <c r="F74" s="133"/>
      <c r="G74" s="134"/>
      <c r="H74" s="133"/>
      <c r="I74" s="135"/>
      <c r="J74" s="135"/>
      <c r="K74" s="133"/>
      <c r="L74" s="135"/>
      <c r="M74" s="135"/>
      <c r="N74" s="135"/>
      <c r="O74" s="135"/>
      <c r="P74" s="135"/>
      <c r="Q74" s="135"/>
      <c r="R74" s="135"/>
      <c r="S74" s="135"/>
      <c r="T74" s="135"/>
      <c r="U74" s="135"/>
      <c r="V74" s="135"/>
      <c r="W74" s="136"/>
      <c r="X74" s="97"/>
    </row>
    <row r="75" spans="2:24" ht="12" customHeight="1">
      <c r="B75" s="92"/>
      <c r="C75" s="131"/>
      <c r="D75" s="138"/>
      <c r="E75" s="132"/>
      <c r="F75" s="133" t="s">
        <v>201</v>
      </c>
      <c r="G75" s="133" t="s">
        <v>202</v>
      </c>
      <c r="H75" s="133"/>
      <c r="I75" s="148"/>
      <c r="J75" s="148"/>
      <c r="K75" s="133"/>
      <c r="L75" s="148"/>
      <c r="M75" s="148"/>
      <c r="N75" s="148"/>
      <c r="O75" s="148"/>
      <c r="P75" s="148"/>
      <c r="Q75" s="148"/>
      <c r="R75" s="148"/>
      <c r="S75" s="148"/>
      <c r="T75" s="148"/>
      <c r="U75" s="148"/>
      <c r="V75" s="148"/>
      <c r="W75" s="136"/>
      <c r="X75" s="97"/>
    </row>
    <row r="76" spans="2:24" ht="12" customHeight="1">
      <c r="B76" s="92"/>
      <c r="C76" s="131" t="s">
        <v>211</v>
      </c>
      <c r="D76" s="175" t="s">
        <v>120</v>
      </c>
      <c r="E76" s="175" t="s">
        <v>114</v>
      </c>
      <c r="F76" s="176" t="str">
        <f>IF(G76="ja","nee",IF(MID(E76,1,2)="MG","ja","nee"))</f>
        <v>nee</v>
      </c>
      <c r="G76" s="190" t="s">
        <v>195</v>
      </c>
      <c r="H76" s="133"/>
      <c r="I76" s="135"/>
      <c r="J76" s="135"/>
      <c r="K76" s="133"/>
      <c r="L76" s="135"/>
      <c r="M76" s="135"/>
      <c r="N76" s="135"/>
      <c r="O76" s="135"/>
      <c r="P76" s="135"/>
      <c r="Q76" s="135"/>
      <c r="R76" s="135"/>
      <c r="S76" s="135"/>
      <c r="T76" s="135"/>
      <c r="U76" s="135"/>
      <c r="V76" s="135"/>
      <c r="W76" s="136"/>
      <c r="X76" s="97"/>
    </row>
    <row r="77" spans="2:24" ht="12" hidden="1" customHeight="1">
      <c r="B77" s="92"/>
      <c r="C77" s="131"/>
      <c r="D77" s="133"/>
      <c r="E77" s="133"/>
      <c r="F77" s="133"/>
      <c r="G77" s="137" t="s">
        <v>207</v>
      </c>
      <c r="H77" s="133"/>
      <c r="I77" s="135">
        <v>0</v>
      </c>
      <c r="J77" s="135">
        <f>I77</f>
        <v>0</v>
      </c>
      <c r="K77" s="133"/>
      <c r="L77" s="135">
        <v>0</v>
      </c>
      <c r="M77" s="135">
        <f>+L77</f>
        <v>0</v>
      </c>
      <c r="N77" s="135"/>
      <c r="O77" s="135">
        <f>+M77</f>
        <v>0</v>
      </c>
      <c r="P77" s="135">
        <f>+O77</f>
        <v>0</v>
      </c>
      <c r="Q77" s="135"/>
      <c r="R77" s="135">
        <f>+P77</f>
        <v>0</v>
      </c>
      <c r="S77" s="135">
        <f>+R77</f>
        <v>0</v>
      </c>
      <c r="T77" s="135"/>
      <c r="U77" s="135">
        <f>+S77</f>
        <v>0</v>
      </c>
      <c r="V77" s="135">
        <f>+U77</f>
        <v>0</v>
      </c>
      <c r="W77" s="136"/>
      <c r="X77" s="97"/>
    </row>
    <row r="78" spans="2:24" ht="12" customHeight="1">
      <c r="B78" s="92"/>
      <c r="C78" s="131"/>
      <c r="D78" s="133"/>
      <c r="E78" s="133"/>
      <c r="F78" s="133"/>
      <c r="G78" s="137" t="s">
        <v>247</v>
      </c>
      <c r="H78" s="133"/>
      <c r="I78" s="170">
        <v>213</v>
      </c>
      <c r="J78" s="170">
        <f>I78</f>
        <v>213</v>
      </c>
      <c r="K78" s="133"/>
      <c r="L78" s="170">
        <v>213</v>
      </c>
      <c r="M78" s="170">
        <f>+L78</f>
        <v>213</v>
      </c>
      <c r="N78" s="150"/>
      <c r="O78" s="170">
        <f>+M78</f>
        <v>213</v>
      </c>
      <c r="P78" s="170">
        <f>+O78</f>
        <v>213</v>
      </c>
      <c r="Q78" s="150"/>
      <c r="R78" s="170">
        <f>+P78</f>
        <v>213</v>
      </c>
      <c r="S78" s="170">
        <f>+R78</f>
        <v>213</v>
      </c>
      <c r="T78" s="150"/>
      <c r="U78" s="170">
        <f>+S78</f>
        <v>213</v>
      </c>
      <c r="V78" s="170">
        <f>+U78</f>
        <v>213</v>
      </c>
      <c r="W78" s="136"/>
      <c r="X78" s="97"/>
    </row>
    <row r="79" spans="2:24" ht="12" customHeight="1">
      <c r="B79" s="92"/>
      <c r="C79" s="131"/>
      <c r="D79" s="133"/>
      <c r="E79" s="133"/>
      <c r="F79" s="133"/>
      <c r="G79" s="137" t="s">
        <v>205</v>
      </c>
      <c r="H79" s="133"/>
      <c r="I79" s="179">
        <f>SUM(I77:I78)</f>
        <v>213</v>
      </c>
      <c r="J79" s="179">
        <f>SUM(J77:J78)</f>
        <v>213</v>
      </c>
      <c r="K79" s="133"/>
      <c r="L79" s="179">
        <f>SUM(L77:L78)</f>
        <v>213</v>
      </c>
      <c r="M79" s="179">
        <f>SUM(M77:M78)</f>
        <v>213</v>
      </c>
      <c r="N79" s="135"/>
      <c r="O79" s="179">
        <f>SUM(O77:O78)</f>
        <v>213</v>
      </c>
      <c r="P79" s="179">
        <f>SUM(P77:P78)</f>
        <v>213</v>
      </c>
      <c r="Q79" s="135"/>
      <c r="R79" s="179">
        <f>SUM(R77:R78)</f>
        <v>213</v>
      </c>
      <c r="S79" s="179">
        <f>SUM(S77:S78)</f>
        <v>213</v>
      </c>
      <c r="T79" s="135"/>
      <c r="U79" s="179">
        <f>SUM(U77:U78)</f>
        <v>213</v>
      </c>
      <c r="V79" s="179">
        <f>SUM(V77:V78)</f>
        <v>213</v>
      </c>
      <c r="W79" s="136"/>
      <c r="X79" s="97"/>
    </row>
    <row r="80" spans="2:24" ht="12" customHeight="1">
      <c r="B80" s="92"/>
      <c r="C80" s="131"/>
      <c r="D80" s="133"/>
      <c r="E80" s="133"/>
      <c r="F80" s="133"/>
      <c r="G80" s="137" t="s">
        <v>209</v>
      </c>
      <c r="H80" s="133"/>
      <c r="I80" s="170">
        <v>0</v>
      </c>
      <c r="J80" s="170">
        <f>I80</f>
        <v>0</v>
      </c>
      <c r="K80" s="149"/>
      <c r="L80" s="170">
        <v>0</v>
      </c>
      <c r="M80" s="170">
        <f>+L80</f>
        <v>0</v>
      </c>
      <c r="N80" s="150"/>
      <c r="O80" s="170">
        <f>+M80</f>
        <v>0</v>
      </c>
      <c r="P80" s="170">
        <f>+O80</f>
        <v>0</v>
      </c>
      <c r="Q80" s="150"/>
      <c r="R80" s="170">
        <f>+P80</f>
        <v>0</v>
      </c>
      <c r="S80" s="170">
        <f>+R80</f>
        <v>0</v>
      </c>
      <c r="T80" s="150"/>
      <c r="U80" s="170">
        <f>+S80</f>
        <v>0</v>
      </c>
      <c r="V80" s="170">
        <f>+U80</f>
        <v>0</v>
      </c>
      <c r="W80" s="136"/>
      <c r="X80" s="97"/>
    </row>
    <row r="81" spans="2:24" ht="12" customHeight="1">
      <c r="B81" s="92"/>
      <c r="C81" s="131"/>
      <c r="D81" s="214" t="s">
        <v>210</v>
      </c>
      <c r="E81" s="138"/>
      <c r="F81" s="133"/>
      <c r="G81" s="134" t="s">
        <v>204</v>
      </c>
      <c r="H81" s="133"/>
      <c r="I81" s="170">
        <v>0</v>
      </c>
      <c r="J81" s="170">
        <f>I81</f>
        <v>0</v>
      </c>
      <c r="K81" s="149"/>
      <c r="L81" s="170">
        <v>0</v>
      </c>
      <c r="M81" s="170">
        <f>+L81</f>
        <v>0</v>
      </c>
      <c r="N81" s="150"/>
      <c r="O81" s="170">
        <f>+M81</f>
        <v>0</v>
      </c>
      <c r="P81" s="170">
        <f>+O81</f>
        <v>0</v>
      </c>
      <c r="Q81" s="150"/>
      <c r="R81" s="170">
        <f>+P81</f>
        <v>0</v>
      </c>
      <c r="S81" s="170">
        <f>+R81</f>
        <v>0</v>
      </c>
      <c r="T81" s="150"/>
      <c r="U81" s="170">
        <f>+S81</f>
        <v>0</v>
      </c>
      <c r="V81" s="170">
        <f>+U81</f>
        <v>0</v>
      </c>
      <c r="W81" s="136"/>
      <c r="X81" s="97"/>
    </row>
    <row r="82" spans="2:24" ht="12" hidden="1" customHeight="1">
      <c r="B82" s="92"/>
      <c r="C82" s="131"/>
      <c r="D82" s="213"/>
      <c r="E82" s="133"/>
      <c r="F82" s="138"/>
      <c r="G82" s="134" t="s">
        <v>203</v>
      </c>
      <c r="H82" s="133"/>
      <c r="I82" s="170">
        <v>0</v>
      </c>
      <c r="J82" s="170">
        <f>I82</f>
        <v>0</v>
      </c>
      <c r="K82" s="149"/>
      <c r="L82" s="170">
        <v>0</v>
      </c>
      <c r="M82" s="170">
        <f>+L82</f>
        <v>0</v>
      </c>
      <c r="N82" s="150"/>
      <c r="O82" s="170">
        <f>+M82</f>
        <v>0</v>
      </c>
      <c r="P82" s="170">
        <f>+O82</f>
        <v>0</v>
      </c>
      <c r="Q82" s="150"/>
      <c r="R82" s="170">
        <f>+P82</f>
        <v>0</v>
      </c>
      <c r="S82" s="170">
        <f>+R82</f>
        <v>0</v>
      </c>
      <c r="T82" s="150"/>
      <c r="U82" s="170">
        <f>+S82</f>
        <v>0</v>
      </c>
      <c r="V82" s="170">
        <f>+U82</f>
        <v>0</v>
      </c>
      <c r="W82" s="136"/>
      <c r="X82" s="97"/>
    </row>
    <row r="83" spans="2:24" ht="12" customHeight="1">
      <c r="B83" s="92"/>
      <c r="C83" s="131"/>
      <c r="D83" s="213"/>
      <c r="E83" s="133"/>
      <c r="F83" s="138"/>
      <c r="G83" s="134" t="s">
        <v>190</v>
      </c>
      <c r="H83" s="133"/>
      <c r="I83" s="170">
        <v>0</v>
      </c>
      <c r="J83" s="170">
        <f>I83</f>
        <v>0</v>
      </c>
      <c r="K83" s="149"/>
      <c r="L83" s="170">
        <v>0</v>
      </c>
      <c r="M83" s="170">
        <f>+L83</f>
        <v>0</v>
      </c>
      <c r="N83" s="150"/>
      <c r="O83" s="170">
        <f>+M83</f>
        <v>0</v>
      </c>
      <c r="P83" s="170">
        <f>+O83</f>
        <v>0</v>
      </c>
      <c r="Q83" s="150"/>
      <c r="R83" s="170">
        <f>+P83</f>
        <v>0</v>
      </c>
      <c r="S83" s="170">
        <f>+R83</f>
        <v>0</v>
      </c>
      <c r="T83" s="150"/>
      <c r="U83" s="170">
        <f>+S83</f>
        <v>0</v>
      </c>
      <c r="V83" s="170">
        <f>+U83</f>
        <v>0</v>
      </c>
      <c r="W83" s="136"/>
      <c r="X83" s="97"/>
    </row>
    <row r="84" spans="2:24" ht="12" customHeight="1">
      <c r="B84" s="92"/>
      <c r="C84" s="131"/>
      <c r="D84" s="214" t="s">
        <v>267</v>
      </c>
      <c r="E84" s="132"/>
      <c r="F84" s="133"/>
      <c r="G84" s="134" t="s">
        <v>266</v>
      </c>
      <c r="H84" s="133"/>
      <c r="I84" s="170">
        <v>0</v>
      </c>
      <c r="J84" s="177" t="s">
        <v>319</v>
      </c>
      <c r="K84" s="149"/>
      <c r="L84" s="170">
        <v>0</v>
      </c>
      <c r="M84" s="177" t="s">
        <v>319</v>
      </c>
      <c r="N84" s="150"/>
      <c r="O84" s="170">
        <f>+L84</f>
        <v>0</v>
      </c>
      <c r="P84" s="177" t="s">
        <v>319</v>
      </c>
      <c r="Q84" s="150"/>
      <c r="R84" s="170">
        <f>+O84</f>
        <v>0</v>
      </c>
      <c r="S84" s="177" t="s">
        <v>319</v>
      </c>
      <c r="T84" s="150"/>
      <c r="U84" s="170">
        <f>+R84</f>
        <v>0</v>
      </c>
      <c r="V84" s="177" t="s">
        <v>319</v>
      </c>
      <c r="W84" s="136"/>
      <c r="X84" s="97"/>
    </row>
    <row r="85" spans="2:24" ht="12" customHeight="1">
      <c r="B85" s="92"/>
      <c r="C85" s="131"/>
      <c r="D85" s="138"/>
      <c r="E85" s="132"/>
      <c r="F85" s="133"/>
      <c r="G85" s="134" t="s">
        <v>268</v>
      </c>
      <c r="H85" s="133"/>
      <c r="I85" s="170">
        <v>0</v>
      </c>
      <c r="J85" s="177" t="s">
        <v>319</v>
      </c>
      <c r="K85" s="149"/>
      <c r="L85" s="170">
        <v>0</v>
      </c>
      <c r="M85" s="177" t="s">
        <v>319</v>
      </c>
      <c r="N85" s="150"/>
      <c r="O85" s="170">
        <f>+L85</f>
        <v>0</v>
      </c>
      <c r="P85" s="177" t="s">
        <v>319</v>
      </c>
      <c r="Q85" s="150"/>
      <c r="R85" s="170">
        <f>+O85</f>
        <v>0</v>
      </c>
      <c r="S85" s="177" t="s">
        <v>319</v>
      </c>
      <c r="T85" s="150"/>
      <c r="U85" s="170">
        <f>+R85</f>
        <v>0</v>
      </c>
      <c r="V85" s="177" t="s">
        <v>319</v>
      </c>
      <c r="W85" s="136"/>
      <c r="X85" s="97"/>
    </row>
    <row r="86" spans="2:24" ht="12" customHeight="1">
      <c r="B86" s="92"/>
      <c r="C86" s="131"/>
      <c r="D86" s="133"/>
      <c r="E86" s="132"/>
      <c r="F86" s="133"/>
      <c r="G86" s="134" t="s">
        <v>148</v>
      </c>
      <c r="H86" s="133"/>
      <c r="I86" s="189">
        <f>+I79+I81</f>
        <v>213</v>
      </c>
      <c r="J86" s="189">
        <f>+J79+J81</f>
        <v>213</v>
      </c>
      <c r="K86" s="133"/>
      <c r="L86" s="189">
        <f>+L79+L81</f>
        <v>213</v>
      </c>
      <c r="M86" s="189">
        <f>+M79+M81</f>
        <v>213</v>
      </c>
      <c r="N86" s="135"/>
      <c r="O86" s="189">
        <f>+O79+O81</f>
        <v>213</v>
      </c>
      <c r="P86" s="189">
        <f>+P79+P81</f>
        <v>213</v>
      </c>
      <c r="Q86" s="135"/>
      <c r="R86" s="189">
        <f>+R79+R81</f>
        <v>213</v>
      </c>
      <c r="S86" s="189">
        <f>+S79+S81</f>
        <v>213</v>
      </c>
      <c r="T86" s="135"/>
      <c r="U86" s="189">
        <f>+U79+U81</f>
        <v>213</v>
      </c>
      <c r="V86" s="189">
        <f>+V79+V81</f>
        <v>213</v>
      </c>
      <c r="W86" s="136"/>
      <c r="X86" s="97"/>
    </row>
    <row r="87" spans="2:24" ht="12" customHeight="1">
      <c r="B87" s="92"/>
      <c r="C87" s="183"/>
      <c r="D87" s="184"/>
      <c r="E87" s="185"/>
      <c r="F87" s="186"/>
      <c r="G87" s="186"/>
      <c r="H87" s="186"/>
      <c r="I87" s="187"/>
      <c r="J87" s="187"/>
      <c r="K87" s="186"/>
      <c r="L87" s="187"/>
      <c r="M87" s="187"/>
      <c r="N87" s="187"/>
      <c r="O87" s="187"/>
      <c r="P87" s="187"/>
      <c r="Q87" s="187"/>
      <c r="R87" s="187"/>
      <c r="S87" s="187"/>
      <c r="T87" s="187"/>
      <c r="U87" s="187"/>
      <c r="V87" s="187"/>
      <c r="W87" s="188"/>
      <c r="X87" s="97"/>
    </row>
    <row r="88" spans="2:24" ht="12" customHeight="1">
      <c r="B88" s="92"/>
      <c r="C88" s="124"/>
      <c r="D88" s="125"/>
      <c r="E88" s="126"/>
      <c r="F88" s="127"/>
      <c r="G88" s="127"/>
      <c r="H88" s="127"/>
      <c r="I88" s="129"/>
      <c r="J88" s="129"/>
      <c r="K88" s="127"/>
      <c r="L88" s="129"/>
      <c r="M88" s="129"/>
      <c r="N88" s="129"/>
      <c r="O88" s="129"/>
      <c r="P88" s="129"/>
      <c r="Q88" s="129"/>
      <c r="R88" s="129"/>
      <c r="S88" s="129"/>
      <c r="T88" s="129"/>
      <c r="U88" s="129"/>
      <c r="V88" s="129"/>
      <c r="W88" s="130"/>
      <c r="X88" s="97"/>
    </row>
    <row r="89" spans="2:24" ht="12" customHeight="1">
      <c r="B89" s="92"/>
      <c r="C89" s="131"/>
      <c r="D89" s="138"/>
      <c r="E89" s="132"/>
      <c r="F89" s="133" t="s">
        <v>201</v>
      </c>
      <c r="G89" s="133" t="s">
        <v>202</v>
      </c>
      <c r="H89" s="133"/>
      <c r="I89" s="148"/>
      <c r="J89" s="148"/>
      <c r="K89" s="133"/>
      <c r="L89" s="148"/>
      <c r="M89" s="148"/>
      <c r="N89" s="148"/>
      <c r="O89" s="148"/>
      <c r="P89" s="148"/>
      <c r="Q89" s="148"/>
      <c r="R89" s="148"/>
      <c r="S89" s="148"/>
      <c r="T89" s="148"/>
      <c r="U89" s="148"/>
      <c r="V89" s="148"/>
      <c r="W89" s="136"/>
      <c r="X89" s="97"/>
    </row>
    <row r="90" spans="2:24" ht="12" customHeight="1">
      <c r="B90" s="92"/>
      <c r="C90" s="131" t="s">
        <v>212</v>
      </c>
      <c r="D90" s="175"/>
      <c r="E90" s="175"/>
      <c r="F90" s="176" t="str">
        <f>IF(G90="ja","nee",IF(MID(E90,1,2)="MG","ja","nee"))</f>
        <v>nee</v>
      </c>
      <c r="G90" s="175" t="s">
        <v>195</v>
      </c>
      <c r="H90" s="133"/>
      <c r="I90" s="135"/>
      <c r="J90" s="135"/>
      <c r="K90" s="133"/>
      <c r="L90" s="135"/>
      <c r="M90" s="135"/>
      <c r="N90" s="135"/>
      <c r="O90" s="135"/>
      <c r="P90" s="135"/>
      <c r="Q90" s="135"/>
      <c r="R90" s="135"/>
      <c r="S90" s="135"/>
      <c r="T90" s="135"/>
      <c r="U90" s="135"/>
      <c r="V90" s="135"/>
      <c r="W90" s="136"/>
      <c r="X90" s="97"/>
    </row>
    <row r="91" spans="2:24" ht="12" hidden="1" customHeight="1">
      <c r="B91" s="92"/>
      <c r="C91" s="131"/>
      <c r="D91" s="133"/>
      <c r="E91" s="133"/>
      <c r="F91" s="133"/>
      <c r="G91" s="137" t="s">
        <v>207</v>
      </c>
      <c r="H91" s="133"/>
      <c r="I91" s="135">
        <v>0</v>
      </c>
      <c r="J91" s="135">
        <f>I91</f>
        <v>0</v>
      </c>
      <c r="K91" s="133"/>
      <c r="L91" s="135">
        <v>0</v>
      </c>
      <c r="M91" s="135">
        <f>+L91</f>
        <v>0</v>
      </c>
      <c r="N91" s="135"/>
      <c r="O91" s="135">
        <f>+M91</f>
        <v>0</v>
      </c>
      <c r="P91" s="135">
        <f>+O91</f>
        <v>0</v>
      </c>
      <c r="Q91" s="135"/>
      <c r="R91" s="135">
        <f>+P91</f>
        <v>0</v>
      </c>
      <c r="S91" s="135">
        <f>+R91</f>
        <v>0</v>
      </c>
      <c r="T91" s="135"/>
      <c r="U91" s="135">
        <f>+S91</f>
        <v>0</v>
      </c>
      <c r="V91" s="135">
        <f>+U91</f>
        <v>0</v>
      </c>
      <c r="W91" s="136"/>
      <c r="X91" s="97"/>
    </row>
    <row r="92" spans="2:24" ht="12" customHeight="1">
      <c r="B92" s="92"/>
      <c r="C92" s="131"/>
      <c r="D92" s="133"/>
      <c r="E92" s="133"/>
      <c r="F92" s="133"/>
      <c r="G92" s="137" t="s">
        <v>247</v>
      </c>
      <c r="H92" s="133"/>
      <c r="I92" s="170">
        <v>0</v>
      </c>
      <c r="J92" s="170">
        <f>I92</f>
        <v>0</v>
      </c>
      <c r="K92" s="133"/>
      <c r="L92" s="170">
        <v>0</v>
      </c>
      <c r="M92" s="170">
        <f>+L92</f>
        <v>0</v>
      </c>
      <c r="N92" s="150"/>
      <c r="O92" s="170">
        <f>+M92</f>
        <v>0</v>
      </c>
      <c r="P92" s="170">
        <f>+O92</f>
        <v>0</v>
      </c>
      <c r="Q92" s="150"/>
      <c r="R92" s="170">
        <f>+P92</f>
        <v>0</v>
      </c>
      <c r="S92" s="170">
        <f>+R92</f>
        <v>0</v>
      </c>
      <c r="T92" s="150"/>
      <c r="U92" s="170">
        <f>+S92</f>
        <v>0</v>
      </c>
      <c r="V92" s="170">
        <f>+U92</f>
        <v>0</v>
      </c>
      <c r="W92" s="136"/>
      <c r="X92" s="97"/>
    </row>
    <row r="93" spans="2:24" ht="12" customHeight="1">
      <c r="B93" s="92"/>
      <c r="C93" s="131"/>
      <c r="D93" s="133"/>
      <c r="E93" s="133"/>
      <c r="F93" s="133"/>
      <c r="G93" s="137" t="s">
        <v>205</v>
      </c>
      <c r="H93" s="133"/>
      <c r="I93" s="179">
        <f>SUM(I91:I92)</f>
        <v>0</v>
      </c>
      <c r="J93" s="179">
        <f>SUM(J91:J92)</f>
        <v>0</v>
      </c>
      <c r="K93" s="133"/>
      <c r="L93" s="179">
        <f>SUM(L91:L92)</f>
        <v>0</v>
      </c>
      <c r="M93" s="179">
        <f>SUM(M91:M92)</f>
        <v>0</v>
      </c>
      <c r="N93" s="135"/>
      <c r="O93" s="179">
        <f>SUM(O91:O92)</f>
        <v>0</v>
      </c>
      <c r="P93" s="179">
        <f>SUM(P91:P92)</f>
        <v>0</v>
      </c>
      <c r="Q93" s="135"/>
      <c r="R93" s="179">
        <f>SUM(R91:R92)</f>
        <v>0</v>
      </c>
      <c r="S93" s="179">
        <f>SUM(S91:S92)</f>
        <v>0</v>
      </c>
      <c r="T93" s="135"/>
      <c r="U93" s="179">
        <f>SUM(U91:U92)</f>
        <v>0</v>
      </c>
      <c r="V93" s="179">
        <f>SUM(V91:V92)</f>
        <v>0</v>
      </c>
      <c r="W93" s="136"/>
      <c r="X93" s="97"/>
    </row>
    <row r="94" spans="2:24" ht="12" customHeight="1">
      <c r="B94" s="92"/>
      <c r="C94" s="131"/>
      <c r="D94" s="133"/>
      <c r="E94" s="133"/>
      <c r="F94" s="133"/>
      <c r="G94" s="137" t="s">
        <v>209</v>
      </c>
      <c r="H94" s="133"/>
      <c r="I94" s="170">
        <v>0</v>
      </c>
      <c r="J94" s="170">
        <f>I94</f>
        <v>0</v>
      </c>
      <c r="K94" s="149"/>
      <c r="L94" s="170">
        <v>0</v>
      </c>
      <c r="M94" s="170">
        <f>+L94</f>
        <v>0</v>
      </c>
      <c r="N94" s="150"/>
      <c r="O94" s="170">
        <f>+M94</f>
        <v>0</v>
      </c>
      <c r="P94" s="170">
        <f>+O94</f>
        <v>0</v>
      </c>
      <c r="Q94" s="150"/>
      <c r="R94" s="170">
        <f>+P94</f>
        <v>0</v>
      </c>
      <c r="S94" s="170">
        <f>+R94</f>
        <v>0</v>
      </c>
      <c r="T94" s="150"/>
      <c r="U94" s="170">
        <f>+S94</f>
        <v>0</v>
      </c>
      <c r="V94" s="170">
        <f>+U94</f>
        <v>0</v>
      </c>
      <c r="W94" s="136"/>
      <c r="X94" s="97"/>
    </row>
    <row r="95" spans="2:24" ht="12" customHeight="1">
      <c r="B95" s="92"/>
      <c r="C95" s="131"/>
      <c r="D95" s="214" t="s">
        <v>210</v>
      </c>
      <c r="E95" s="138"/>
      <c r="F95" s="133"/>
      <c r="G95" s="134" t="s">
        <v>204</v>
      </c>
      <c r="H95" s="133"/>
      <c r="I95" s="170">
        <v>0</v>
      </c>
      <c r="J95" s="170">
        <f>I95</f>
        <v>0</v>
      </c>
      <c r="K95" s="149"/>
      <c r="L95" s="170">
        <v>0</v>
      </c>
      <c r="M95" s="170">
        <f>+L95</f>
        <v>0</v>
      </c>
      <c r="N95" s="150"/>
      <c r="O95" s="170">
        <f>+M95</f>
        <v>0</v>
      </c>
      <c r="P95" s="170">
        <f>+O95</f>
        <v>0</v>
      </c>
      <c r="Q95" s="150"/>
      <c r="R95" s="170">
        <f>+P95</f>
        <v>0</v>
      </c>
      <c r="S95" s="170">
        <f>+R95</f>
        <v>0</v>
      </c>
      <c r="T95" s="150"/>
      <c r="U95" s="170">
        <f>+S95</f>
        <v>0</v>
      </c>
      <c r="V95" s="170">
        <f>+U95</f>
        <v>0</v>
      </c>
      <c r="W95" s="136"/>
      <c r="X95" s="97"/>
    </row>
    <row r="96" spans="2:24" ht="12" hidden="1" customHeight="1">
      <c r="B96" s="92"/>
      <c r="C96" s="131"/>
      <c r="D96" s="213"/>
      <c r="E96" s="133"/>
      <c r="F96" s="138"/>
      <c r="G96" s="134" t="s">
        <v>203</v>
      </c>
      <c r="H96" s="133"/>
      <c r="I96" s="170">
        <v>0</v>
      </c>
      <c r="J96" s="170">
        <f>I96</f>
        <v>0</v>
      </c>
      <c r="K96" s="149"/>
      <c r="L96" s="170">
        <v>0</v>
      </c>
      <c r="M96" s="170">
        <f>+L96</f>
        <v>0</v>
      </c>
      <c r="N96" s="150"/>
      <c r="O96" s="170">
        <f>+M96</f>
        <v>0</v>
      </c>
      <c r="P96" s="170">
        <f>+O96</f>
        <v>0</v>
      </c>
      <c r="Q96" s="150"/>
      <c r="R96" s="170">
        <f>+P96</f>
        <v>0</v>
      </c>
      <c r="S96" s="170">
        <f>+R96</f>
        <v>0</v>
      </c>
      <c r="T96" s="150"/>
      <c r="U96" s="170">
        <f>+S96</f>
        <v>0</v>
      </c>
      <c r="V96" s="170">
        <f>+U96</f>
        <v>0</v>
      </c>
      <c r="W96" s="136"/>
      <c r="X96" s="97"/>
    </row>
    <row r="97" spans="2:24" ht="12" customHeight="1">
      <c r="B97" s="92"/>
      <c r="C97" s="131"/>
      <c r="D97" s="213"/>
      <c r="E97" s="133"/>
      <c r="F97" s="138"/>
      <c r="G97" s="134" t="s">
        <v>190</v>
      </c>
      <c r="H97" s="133"/>
      <c r="I97" s="170">
        <v>0</v>
      </c>
      <c r="J97" s="170">
        <f>I97</f>
        <v>0</v>
      </c>
      <c r="K97" s="149"/>
      <c r="L97" s="170">
        <v>0</v>
      </c>
      <c r="M97" s="170">
        <f>+L97</f>
        <v>0</v>
      </c>
      <c r="N97" s="150"/>
      <c r="O97" s="170">
        <f>+M97</f>
        <v>0</v>
      </c>
      <c r="P97" s="170">
        <f>+O97</f>
        <v>0</v>
      </c>
      <c r="Q97" s="150"/>
      <c r="R97" s="170">
        <f>+P97</f>
        <v>0</v>
      </c>
      <c r="S97" s="170">
        <f>+R97</f>
        <v>0</v>
      </c>
      <c r="T97" s="150"/>
      <c r="U97" s="170">
        <f>+S97</f>
        <v>0</v>
      </c>
      <c r="V97" s="170">
        <f>+U97</f>
        <v>0</v>
      </c>
      <c r="W97" s="136"/>
      <c r="X97" s="97"/>
    </row>
    <row r="98" spans="2:24" ht="12" customHeight="1">
      <c r="B98" s="92"/>
      <c r="C98" s="131"/>
      <c r="D98" s="214" t="s">
        <v>267</v>
      </c>
      <c r="E98" s="132"/>
      <c r="F98" s="133"/>
      <c r="G98" s="134" t="s">
        <v>266</v>
      </c>
      <c r="H98" s="133"/>
      <c r="I98" s="170">
        <v>0</v>
      </c>
      <c r="J98" s="177" t="s">
        <v>319</v>
      </c>
      <c r="K98" s="149"/>
      <c r="L98" s="170">
        <v>0</v>
      </c>
      <c r="M98" s="177" t="s">
        <v>319</v>
      </c>
      <c r="N98" s="150"/>
      <c r="O98" s="170">
        <f>+L98</f>
        <v>0</v>
      </c>
      <c r="P98" s="177" t="s">
        <v>319</v>
      </c>
      <c r="Q98" s="150"/>
      <c r="R98" s="170">
        <f>+O98</f>
        <v>0</v>
      </c>
      <c r="S98" s="177" t="s">
        <v>319</v>
      </c>
      <c r="T98" s="150"/>
      <c r="U98" s="170">
        <f>+R98</f>
        <v>0</v>
      </c>
      <c r="V98" s="177" t="s">
        <v>319</v>
      </c>
      <c r="W98" s="136"/>
      <c r="X98" s="97"/>
    </row>
    <row r="99" spans="2:24" ht="12" customHeight="1">
      <c r="B99" s="92"/>
      <c r="C99" s="131"/>
      <c r="D99" s="138"/>
      <c r="E99" s="132"/>
      <c r="F99" s="133"/>
      <c r="G99" s="134" t="s">
        <v>268</v>
      </c>
      <c r="H99" s="133"/>
      <c r="I99" s="170">
        <v>0</v>
      </c>
      <c r="J99" s="177" t="s">
        <v>319</v>
      </c>
      <c r="K99" s="149"/>
      <c r="L99" s="170">
        <v>0</v>
      </c>
      <c r="M99" s="177" t="s">
        <v>319</v>
      </c>
      <c r="N99" s="150"/>
      <c r="O99" s="170">
        <f>+L99</f>
        <v>0</v>
      </c>
      <c r="P99" s="177" t="s">
        <v>319</v>
      </c>
      <c r="Q99" s="150"/>
      <c r="R99" s="170">
        <f>+O99</f>
        <v>0</v>
      </c>
      <c r="S99" s="177" t="s">
        <v>319</v>
      </c>
      <c r="T99" s="150"/>
      <c r="U99" s="170">
        <f>+R99</f>
        <v>0</v>
      </c>
      <c r="V99" s="177" t="s">
        <v>319</v>
      </c>
      <c r="W99" s="136"/>
      <c r="X99" s="97"/>
    </row>
    <row r="100" spans="2:24" ht="12" customHeight="1">
      <c r="B100" s="92"/>
      <c r="C100" s="131"/>
      <c r="D100" s="133"/>
      <c r="E100" s="132"/>
      <c r="F100" s="133"/>
      <c r="G100" s="134" t="s">
        <v>148</v>
      </c>
      <c r="H100" s="133"/>
      <c r="I100" s="189">
        <f>+I93+I95</f>
        <v>0</v>
      </c>
      <c r="J100" s="189">
        <f>+J93+J95</f>
        <v>0</v>
      </c>
      <c r="K100" s="133"/>
      <c r="L100" s="189">
        <f>+L93+L95</f>
        <v>0</v>
      </c>
      <c r="M100" s="189">
        <f>+M93+M95</f>
        <v>0</v>
      </c>
      <c r="N100" s="135"/>
      <c r="O100" s="189">
        <f>+O93+O95</f>
        <v>0</v>
      </c>
      <c r="P100" s="189">
        <f>+P93+P95</f>
        <v>0</v>
      </c>
      <c r="Q100" s="135"/>
      <c r="R100" s="189">
        <f>+R93+R95</f>
        <v>0</v>
      </c>
      <c r="S100" s="189">
        <f>+S93+S95</f>
        <v>0</v>
      </c>
      <c r="T100" s="135"/>
      <c r="U100" s="189">
        <f>+U93+U95</f>
        <v>0</v>
      </c>
      <c r="V100" s="189">
        <f>+V93+V95</f>
        <v>0</v>
      </c>
      <c r="W100" s="136"/>
      <c r="X100" s="97"/>
    </row>
    <row r="101" spans="2:24" ht="12" customHeight="1">
      <c r="B101" s="92"/>
      <c r="C101" s="183"/>
      <c r="D101" s="184"/>
      <c r="E101" s="185"/>
      <c r="F101" s="186"/>
      <c r="G101" s="186"/>
      <c r="H101" s="186"/>
      <c r="I101" s="187"/>
      <c r="J101" s="187"/>
      <c r="K101" s="186"/>
      <c r="L101" s="146"/>
      <c r="M101" s="146"/>
      <c r="N101" s="146"/>
      <c r="O101" s="146"/>
      <c r="P101" s="146"/>
      <c r="Q101" s="146"/>
      <c r="R101" s="146"/>
      <c r="S101" s="146"/>
      <c r="T101" s="146"/>
      <c r="U101" s="146"/>
      <c r="V101" s="146"/>
      <c r="W101" s="147"/>
      <c r="X101" s="97"/>
    </row>
    <row r="102" spans="2:24" ht="12" customHeight="1">
      <c r="B102" s="92"/>
      <c r="C102" s="93"/>
      <c r="D102" s="110"/>
      <c r="E102" s="111"/>
      <c r="F102" s="93"/>
      <c r="G102" s="112"/>
      <c r="H102" s="93"/>
      <c r="I102" s="95"/>
      <c r="J102" s="95"/>
      <c r="K102" s="93"/>
      <c r="L102" s="95"/>
      <c r="M102" s="95"/>
      <c r="N102" s="95"/>
      <c r="O102" s="95"/>
      <c r="P102" s="95"/>
      <c r="Q102" s="95"/>
      <c r="R102" s="95"/>
      <c r="S102" s="95"/>
      <c r="T102" s="95"/>
      <c r="U102" s="95"/>
      <c r="V102" s="95"/>
      <c r="W102" s="93"/>
      <c r="X102" s="97"/>
    </row>
    <row r="103" spans="2:24" ht="12" customHeight="1">
      <c r="B103" s="92"/>
      <c r="C103" s="133"/>
      <c r="D103" s="138"/>
      <c r="E103" s="132"/>
      <c r="F103" s="133"/>
      <c r="G103" s="133"/>
      <c r="H103" s="133"/>
      <c r="I103" s="135"/>
      <c r="J103" s="135"/>
      <c r="K103" s="133"/>
      <c r="L103" s="135"/>
      <c r="M103" s="135"/>
      <c r="N103" s="135"/>
      <c r="O103" s="135"/>
      <c r="P103" s="135"/>
      <c r="Q103" s="135"/>
      <c r="R103" s="135"/>
      <c r="S103" s="135"/>
      <c r="T103" s="135"/>
      <c r="U103" s="135"/>
      <c r="V103" s="135"/>
      <c r="W103" s="133"/>
      <c r="X103" s="97"/>
    </row>
    <row r="104" spans="2:24" ht="12" customHeight="1">
      <c r="B104" s="92"/>
      <c r="C104" s="133"/>
      <c r="D104" s="138"/>
      <c r="E104" s="132"/>
      <c r="F104" s="133"/>
      <c r="G104" s="133"/>
      <c r="H104" s="133"/>
      <c r="I104" s="135"/>
      <c r="J104" s="135"/>
      <c r="K104" s="133"/>
      <c r="L104" s="135"/>
      <c r="M104" s="135"/>
      <c r="N104" s="135"/>
      <c r="O104" s="135"/>
      <c r="P104" s="135"/>
      <c r="Q104" s="135"/>
      <c r="R104" s="135"/>
      <c r="S104" s="135"/>
      <c r="T104" s="135"/>
      <c r="U104" s="135"/>
      <c r="V104" s="135"/>
      <c r="W104" s="133"/>
      <c r="X104" s="97"/>
    </row>
    <row r="105" spans="2:24" ht="12" customHeight="1">
      <c r="B105" s="92"/>
      <c r="C105" s="133"/>
      <c r="D105" s="138"/>
      <c r="E105" s="132"/>
      <c r="F105" s="133"/>
      <c r="G105" s="133"/>
      <c r="H105" s="133"/>
      <c r="I105" s="135"/>
      <c r="J105" s="135"/>
      <c r="K105" s="133"/>
      <c r="L105" s="135"/>
      <c r="M105" s="135"/>
      <c r="N105" s="135"/>
      <c r="O105" s="135"/>
      <c r="P105" s="135"/>
      <c r="Q105" s="135"/>
      <c r="R105" s="135"/>
      <c r="S105" s="135"/>
      <c r="T105" s="135"/>
      <c r="U105" s="135"/>
      <c r="V105" s="135"/>
      <c r="W105" s="133"/>
      <c r="X105" s="97"/>
    </row>
    <row r="106" spans="2:24" ht="12" customHeight="1">
      <c r="B106" s="92"/>
      <c r="C106" s="133"/>
      <c r="D106" s="138"/>
      <c r="E106" s="132"/>
      <c r="F106" s="133" t="s">
        <v>201</v>
      </c>
      <c r="G106" s="133" t="s">
        <v>202</v>
      </c>
      <c r="H106" s="133"/>
      <c r="I106" s="148"/>
      <c r="J106" s="148"/>
      <c r="K106" s="133"/>
      <c r="L106" s="148"/>
      <c r="M106" s="148"/>
      <c r="N106" s="148"/>
      <c r="O106" s="148"/>
      <c r="P106" s="148"/>
      <c r="Q106" s="148"/>
      <c r="R106" s="148"/>
      <c r="S106" s="148"/>
      <c r="T106" s="148"/>
      <c r="U106" s="148"/>
      <c r="V106" s="148"/>
      <c r="W106" s="133"/>
      <c r="X106" s="97"/>
    </row>
    <row r="107" spans="2:24" ht="12" customHeight="1">
      <c r="B107" s="92"/>
      <c r="C107" s="133" t="s">
        <v>228</v>
      </c>
      <c r="D107" s="175"/>
      <c r="E107" s="175"/>
      <c r="F107" s="176" t="str">
        <f>IF(G107="ja","nee",IF(MID(E107,1,2)="MG","ja","nee"))</f>
        <v>nee</v>
      </c>
      <c r="G107" s="175" t="s">
        <v>195</v>
      </c>
      <c r="H107" s="133"/>
      <c r="I107" s="135"/>
      <c r="J107" s="135"/>
      <c r="K107" s="133"/>
      <c r="L107" s="135"/>
      <c r="M107" s="135"/>
      <c r="N107" s="135"/>
      <c r="O107" s="135"/>
      <c r="P107" s="135"/>
      <c r="Q107" s="135"/>
      <c r="R107" s="135"/>
      <c r="S107" s="135"/>
      <c r="T107" s="135"/>
      <c r="U107" s="135"/>
      <c r="V107" s="135"/>
      <c r="W107" s="133"/>
      <c r="X107" s="97"/>
    </row>
    <row r="108" spans="2:24" ht="12" hidden="1" customHeight="1">
      <c r="B108" s="92"/>
      <c r="C108" s="133"/>
      <c r="D108" s="133"/>
      <c r="E108" s="133"/>
      <c r="F108" s="133"/>
      <c r="G108" s="137" t="s">
        <v>207</v>
      </c>
      <c r="H108" s="133"/>
      <c r="I108" s="135">
        <v>0</v>
      </c>
      <c r="J108" s="135">
        <f>I108</f>
        <v>0</v>
      </c>
      <c r="K108" s="133"/>
      <c r="L108" s="135">
        <v>0</v>
      </c>
      <c r="M108" s="135">
        <f>+L108</f>
        <v>0</v>
      </c>
      <c r="N108" s="135"/>
      <c r="O108" s="135">
        <f>+M108</f>
        <v>0</v>
      </c>
      <c r="P108" s="135">
        <f>+O108</f>
        <v>0</v>
      </c>
      <c r="Q108" s="135"/>
      <c r="R108" s="135">
        <f>+P108</f>
        <v>0</v>
      </c>
      <c r="S108" s="135">
        <f>+R108</f>
        <v>0</v>
      </c>
      <c r="T108" s="135"/>
      <c r="U108" s="135">
        <f>+S108</f>
        <v>0</v>
      </c>
      <c r="V108" s="135">
        <f>+U108</f>
        <v>0</v>
      </c>
      <c r="W108" s="133"/>
      <c r="X108" s="97"/>
    </row>
    <row r="109" spans="2:24" ht="12" customHeight="1">
      <c r="B109" s="92"/>
      <c r="C109" s="133"/>
      <c r="D109" s="133"/>
      <c r="E109" s="133"/>
      <c r="F109" s="133"/>
      <c r="G109" s="137" t="s">
        <v>247</v>
      </c>
      <c r="H109" s="133"/>
      <c r="I109" s="170">
        <v>0</v>
      </c>
      <c r="J109" s="170">
        <f>I109</f>
        <v>0</v>
      </c>
      <c r="K109" s="133"/>
      <c r="L109" s="170">
        <v>0</v>
      </c>
      <c r="M109" s="170">
        <f>+L109</f>
        <v>0</v>
      </c>
      <c r="N109" s="150"/>
      <c r="O109" s="170">
        <f>+M109</f>
        <v>0</v>
      </c>
      <c r="P109" s="170">
        <f>+O109</f>
        <v>0</v>
      </c>
      <c r="Q109" s="150"/>
      <c r="R109" s="170">
        <f>+P109</f>
        <v>0</v>
      </c>
      <c r="S109" s="170">
        <f>+R109</f>
        <v>0</v>
      </c>
      <c r="T109" s="150"/>
      <c r="U109" s="170">
        <f>+S109</f>
        <v>0</v>
      </c>
      <c r="V109" s="170">
        <f>+U109</f>
        <v>0</v>
      </c>
      <c r="W109" s="133"/>
      <c r="X109" s="97"/>
    </row>
    <row r="110" spans="2:24" ht="12" customHeight="1">
      <c r="B110" s="92"/>
      <c r="C110" s="133"/>
      <c r="D110" s="133"/>
      <c r="E110" s="133"/>
      <c r="F110" s="133"/>
      <c r="G110" s="137" t="s">
        <v>205</v>
      </c>
      <c r="H110" s="133"/>
      <c r="I110" s="179">
        <f>SUM(I108:I109)</f>
        <v>0</v>
      </c>
      <c r="J110" s="179">
        <f>SUM(J108:J109)</f>
        <v>0</v>
      </c>
      <c r="K110" s="133"/>
      <c r="L110" s="179">
        <f>SUM(L108:L109)</f>
        <v>0</v>
      </c>
      <c r="M110" s="179">
        <f>SUM(M108:M109)</f>
        <v>0</v>
      </c>
      <c r="N110" s="135"/>
      <c r="O110" s="179">
        <f>SUM(O108:O109)</f>
        <v>0</v>
      </c>
      <c r="P110" s="179">
        <f>SUM(P108:P109)</f>
        <v>0</v>
      </c>
      <c r="Q110" s="135"/>
      <c r="R110" s="179">
        <f>SUM(R108:R109)</f>
        <v>0</v>
      </c>
      <c r="S110" s="179">
        <f>SUM(S108:S109)</f>
        <v>0</v>
      </c>
      <c r="T110" s="135"/>
      <c r="U110" s="179">
        <f>SUM(U108:U109)</f>
        <v>0</v>
      </c>
      <c r="V110" s="179">
        <f>SUM(V108:V109)</f>
        <v>0</v>
      </c>
      <c r="W110" s="133"/>
      <c r="X110" s="97"/>
    </row>
    <row r="111" spans="2:24" ht="12" customHeight="1">
      <c r="B111" s="92"/>
      <c r="C111" s="133"/>
      <c r="D111" s="133"/>
      <c r="E111" s="133"/>
      <c r="F111" s="133"/>
      <c r="G111" s="137" t="s">
        <v>209</v>
      </c>
      <c r="H111" s="133"/>
      <c r="I111" s="170">
        <v>0</v>
      </c>
      <c r="J111" s="170">
        <f>I111</f>
        <v>0</v>
      </c>
      <c r="K111" s="149"/>
      <c r="L111" s="170">
        <v>0</v>
      </c>
      <c r="M111" s="170">
        <f>+L111</f>
        <v>0</v>
      </c>
      <c r="N111" s="150"/>
      <c r="O111" s="170">
        <f>+M111</f>
        <v>0</v>
      </c>
      <c r="P111" s="170">
        <f>+O111</f>
        <v>0</v>
      </c>
      <c r="Q111" s="150"/>
      <c r="R111" s="170">
        <f>+P111</f>
        <v>0</v>
      </c>
      <c r="S111" s="170">
        <f>+R111</f>
        <v>0</v>
      </c>
      <c r="T111" s="150"/>
      <c r="U111" s="170">
        <f>+S111</f>
        <v>0</v>
      </c>
      <c r="V111" s="170">
        <f>+U111</f>
        <v>0</v>
      </c>
      <c r="W111" s="133"/>
      <c r="X111" s="97"/>
    </row>
    <row r="112" spans="2:24" ht="12" customHeight="1">
      <c r="B112" s="92"/>
      <c r="C112" s="133"/>
      <c r="D112" s="214" t="s">
        <v>210</v>
      </c>
      <c r="E112" s="138"/>
      <c r="F112" s="133"/>
      <c r="G112" s="134" t="s">
        <v>204</v>
      </c>
      <c r="H112" s="133"/>
      <c r="I112" s="170">
        <v>0</v>
      </c>
      <c r="J112" s="170">
        <f>I112</f>
        <v>0</v>
      </c>
      <c r="K112" s="149"/>
      <c r="L112" s="170">
        <v>0</v>
      </c>
      <c r="M112" s="170">
        <f>+L112</f>
        <v>0</v>
      </c>
      <c r="N112" s="150"/>
      <c r="O112" s="170">
        <f>+M112</f>
        <v>0</v>
      </c>
      <c r="P112" s="170">
        <f>+O112</f>
        <v>0</v>
      </c>
      <c r="Q112" s="150"/>
      <c r="R112" s="170">
        <f>+P112</f>
        <v>0</v>
      </c>
      <c r="S112" s="170">
        <f>+R112</f>
        <v>0</v>
      </c>
      <c r="T112" s="150"/>
      <c r="U112" s="170">
        <f>+S112</f>
        <v>0</v>
      </c>
      <c r="V112" s="170">
        <f>+U112</f>
        <v>0</v>
      </c>
      <c r="W112" s="133"/>
      <c r="X112" s="97"/>
    </row>
    <row r="113" spans="2:24" ht="12" hidden="1" customHeight="1">
      <c r="B113" s="92"/>
      <c r="C113" s="133"/>
      <c r="D113" s="213"/>
      <c r="E113" s="133"/>
      <c r="F113" s="138"/>
      <c r="G113" s="134" t="s">
        <v>203</v>
      </c>
      <c r="H113" s="133"/>
      <c r="I113" s="170">
        <v>0</v>
      </c>
      <c r="J113" s="170">
        <f>I113</f>
        <v>0</v>
      </c>
      <c r="K113" s="149"/>
      <c r="L113" s="170">
        <v>0</v>
      </c>
      <c r="M113" s="170">
        <f>+L113</f>
        <v>0</v>
      </c>
      <c r="N113" s="150"/>
      <c r="O113" s="170">
        <f>+M113</f>
        <v>0</v>
      </c>
      <c r="P113" s="170">
        <f>+O113</f>
        <v>0</v>
      </c>
      <c r="Q113" s="150"/>
      <c r="R113" s="170">
        <f>+P113</f>
        <v>0</v>
      </c>
      <c r="S113" s="170">
        <f>+R113</f>
        <v>0</v>
      </c>
      <c r="T113" s="150"/>
      <c r="U113" s="170">
        <f>+S113</f>
        <v>0</v>
      </c>
      <c r="V113" s="170">
        <f>+U113</f>
        <v>0</v>
      </c>
      <c r="W113" s="133"/>
      <c r="X113" s="97"/>
    </row>
    <row r="114" spans="2:24" ht="12" customHeight="1">
      <c r="B114" s="92"/>
      <c r="C114" s="133"/>
      <c r="D114" s="213"/>
      <c r="E114" s="133"/>
      <c r="F114" s="138"/>
      <c r="G114" s="134" t="s">
        <v>190</v>
      </c>
      <c r="H114" s="133"/>
      <c r="I114" s="170">
        <v>0</v>
      </c>
      <c r="J114" s="170">
        <f>I114</f>
        <v>0</v>
      </c>
      <c r="K114" s="149"/>
      <c r="L114" s="170">
        <v>0</v>
      </c>
      <c r="M114" s="170">
        <f>+L114</f>
        <v>0</v>
      </c>
      <c r="N114" s="150"/>
      <c r="O114" s="170">
        <f>+M114</f>
        <v>0</v>
      </c>
      <c r="P114" s="170">
        <f>+O114</f>
        <v>0</v>
      </c>
      <c r="Q114" s="150"/>
      <c r="R114" s="170">
        <f>+P114</f>
        <v>0</v>
      </c>
      <c r="S114" s="170">
        <f>+R114</f>
        <v>0</v>
      </c>
      <c r="T114" s="150"/>
      <c r="U114" s="170">
        <f>+S114</f>
        <v>0</v>
      </c>
      <c r="V114" s="170">
        <f>+U114</f>
        <v>0</v>
      </c>
      <c r="W114" s="133"/>
      <c r="X114" s="97"/>
    </row>
    <row r="115" spans="2:24" ht="12" customHeight="1">
      <c r="B115" s="92"/>
      <c r="C115" s="133"/>
      <c r="D115" s="214" t="s">
        <v>267</v>
      </c>
      <c r="E115" s="132"/>
      <c r="F115" s="133"/>
      <c r="G115" s="134" t="s">
        <v>266</v>
      </c>
      <c r="H115" s="133"/>
      <c r="I115" s="170">
        <v>0</v>
      </c>
      <c r="J115" s="177" t="s">
        <v>319</v>
      </c>
      <c r="K115" s="149"/>
      <c r="L115" s="170">
        <v>0</v>
      </c>
      <c r="M115" s="177" t="s">
        <v>319</v>
      </c>
      <c r="N115" s="150"/>
      <c r="O115" s="170">
        <f>+L115</f>
        <v>0</v>
      </c>
      <c r="P115" s="177" t="s">
        <v>319</v>
      </c>
      <c r="Q115" s="150"/>
      <c r="R115" s="170">
        <f>+O115</f>
        <v>0</v>
      </c>
      <c r="S115" s="177" t="s">
        <v>319</v>
      </c>
      <c r="T115" s="150"/>
      <c r="U115" s="170">
        <f>+R115</f>
        <v>0</v>
      </c>
      <c r="V115" s="177" t="s">
        <v>319</v>
      </c>
      <c r="W115" s="133"/>
      <c r="X115" s="97"/>
    </row>
    <row r="116" spans="2:24" ht="12" customHeight="1">
      <c r="B116" s="92"/>
      <c r="C116" s="133"/>
      <c r="D116" s="138"/>
      <c r="E116" s="132"/>
      <c r="F116" s="133"/>
      <c r="G116" s="134" t="s">
        <v>268</v>
      </c>
      <c r="H116" s="133"/>
      <c r="I116" s="170">
        <v>0</v>
      </c>
      <c r="J116" s="177" t="s">
        <v>319</v>
      </c>
      <c r="K116" s="149"/>
      <c r="L116" s="170">
        <v>0</v>
      </c>
      <c r="M116" s="177" t="s">
        <v>319</v>
      </c>
      <c r="N116" s="150"/>
      <c r="O116" s="170">
        <f>+L116</f>
        <v>0</v>
      </c>
      <c r="P116" s="177" t="s">
        <v>319</v>
      </c>
      <c r="Q116" s="150"/>
      <c r="R116" s="170">
        <f>+O116</f>
        <v>0</v>
      </c>
      <c r="S116" s="177" t="s">
        <v>319</v>
      </c>
      <c r="T116" s="150"/>
      <c r="U116" s="170">
        <f>+R116</f>
        <v>0</v>
      </c>
      <c r="V116" s="177" t="s">
        <v>319</v>
      </c>
      <c r="W116" s="133"/>
      <c r="X116" s="97"/>
    </row>
    <row r="117" spans="2:24" ht="12" customHeight="1">
      <c r="B117" s="92"/>
      <c r="C117" s="133"/>
      <c r="D117" s="133"/>
      <c r="E117" s="132"/>
      <c r="F117" s="133"/>
      <c r="G117" s="134" t="s">
        <v>148</v>
      </c>
      <c r="H117" s="133"/>
      <c r="I117" s="189">
        <f>+I110+I112</f>
        <v>0</v>
      </c>
      <c r="J117" s="189">
        <f>+J110+J112</f>
        <v>0</v>
      </c>
      <c r="K117" s="133"/>
      <c r="L117" s="189">
        <f>+L110+L112</f>
        <v>0</v>
      </c>
      <c r="M117" s="189">
        <f>+M110+M112</f>
        <v>0</v>
      </c>
      <c r="N117" s="135"/>
      <c r="O117" s="189">
        <f>+O110+O112</f>
        <v>0</v>
      </c>
      <c r="P117" s="189">
        <f>+P110+P112</f>
        <v>0</v>
      </c>
      <c r="Q117" s="135"/>
      <c r="R117" s="189">
        <f>+R110+R112</f>
        <v>0</v>
      </c>
      <c r="S117" s="189">
        <f>+S110+S112</f>
        <v>0</v>
      </c>
      <c r="T117" s="135"/>
      <c r="U117" s="189">
        <f>+U110+U112</f>
        <v>0</v>
      </c>
      <c r="V117" s="189">
        <f>+V110+V112</f>
        <v>0</v>
      </c>
      <c r="W117" s="133"/>
      <c r="X117" s="97"/>
    </row>
    <row r="118" spans="2:24" ht="12" customHeight="1">
      <c r="B118" s="92"/>
      <c r="C118" s="133"/>
      <c r="D118" s="138"/>
      <c r="E118" s="132"/>
      <c r="F118" s="133"/>
      <c r="G118" s="134"/>
      <c r="H118" s="133"/>
      <c r="I118" s="135"/>
      <c r="J118" s="135"/>
      <c r="K118" s="133"/>
      <c r="L118" s="135"/>
      <c r="M118" s="135"/>
      <c r="N118" s="135"/>
      <c r="O118" s="135"/>
      <c r="P118" s="135"/>
      <c r="Q118" s="135"/>
      <c r="R118" s="135"/>
      <c r="S118" s="135"/>
      <c r="T118" s="135"/>
      <c r="U118" s="135"/>
      <c r="V118" s="135"/>
      <c r="W118" s="133"/>
      <c r="X118" s="97"/>
    </row>
    <row r="119" spans="2:24" ht="12" customHeight="1">
      <c r="B119" s="92"/>
      <c r="C119" s="93"/>
      <c r="D119" s="110"/>
      <c r="E119" s="111"/>
      <c r="F119" s="93"/>
      <c r="G119" s="112"/>
      <c r="H119" s="93"/>
      <c r="I119" s="95"/>
      <c r="J119" s="95"/>
      <c r="K119" s="93"/>
      <c r="L119" s="95"/>
      <c r="M119" s="95"/>
      <c r="N119" s="95"/>
      <c r="O119" s="95"/>
      <c r="P119" s="95"/>
      <c r="Q119" s="95"/>
      <c r="R119" s="95"/>
      <c r="S119" s="95"/>
      <c r="T119" s="95"/>
      <c r="U119" s="95"/>
      <c r="V119" s="95"/>
      <c r="W119" s="93"/>
      <c r="X119" s="97"/>
    </row>
    <row r="120" spans="2:24" ht="12" customHeight="1">
      <c r="B120" s="113"/>
      <c r="C120" s="114"/>
      <c r="D120" s="115"/>
      <c r="E120" s="116"/>
      <c r="F120" s="114"/>
      <c r="G120" s="117"/>
      <c r="H120" s="114"/>
      <c r="I120" s="118"/>
      <c r="J120" s="118"/>
      <c r="K120" s="114"/>
      <c r="L120" s="118"/>
      <c r="M120" s="118"/>
      <c r="N120" s="118"/>
      <c r="O120" s="118"/>
      <c r="P120" s="118"/>
      <c r="Q120" s="118"/>
      <c r="R120" s="118"/>
      <c r="S120" s="118"/>
      <c r="T120" s="118"/>
      <c r="U120" s="118"/>
      <c r="V120" s="118"/>
      <c r="W120" s="114"/>
      <c r="X120" s="120"/>
    </row>
    <row r="121" spans="2:24" ht="12" customHeight="1">
      <c r="B121" s="87"/>
      <c r="C121" s="88"/>
      <c r="D121" s="121"/>
      <c r="E121" s="122"/>
      <c r="F121" s="88"/>
      <c r="G121" s="123"/>
      <c r="H121" s="88"/>
      <c r="I121" s="90"/>
      <c r="J121" s="90"/>
      <c r="K121" s="88"/>
      <c r="L121" s="90"/>
      <c r="M121" s="90"/>
      <c r="N121" s="90"/>
      <c r="O121" s="90"/>
      <c r="P121" s="90"/>
      <c r="Q121" s="90"/>
      <c r="R121" s="90"/>
      <c r="S121" s="90"/>
      <c r="T121" s="90"/>
      <c r="U121" s="90"/>
      <c r="V121" s="90"/>
      <c r="W121" s="88"/>
      <c r="X121" s="91"/>
    </row>
    <row r="122" spans="2:24" ht="12" customHeight="1">
      <c r="B122" s="92"/>
      <c r="C122" s="93"/>
      <c r="D122" s="110"/>
      <c r="E122" s="111"/>
      <c r="F122" s="93"/>
      <c r="G122" s="112"/>
      <c r="H122" s="93"/>
      <c r="I122" s="95"/>
      <c r="J122" s="95"/>
      <c r="K122" s="93"/>
      <c r="L122" s="95"/>
      <c r="M122" s="95"/>
      <c r="N122" s="95"/>
      <c r="O122" s="95"/>
      <c r="P122" s="95"/>
      <c r="Q122" s="95"/>
      <c r="R122" s="95"/>
      <c r="S122" s="95"/>
      <c r="T122" s="95"/>
      <c r="U122" s="95"/>
      <c r="V122" s="95"/>
      <c r="W122" s="93"/>
      <c r="X122" s="97"/>
    </row>
    <row r="123" spans="2:24" ht="12" customHeight="1">
      <c r="B123" s="92"/>
      <c r="C123" s="93"/>
      <c r="D123" s="110"/>
      <c r="E123" s="111"/>
      <c r="F123" s="93"/>
      <c r="G123" s="112"/>
      <c r="H123" s="93"/>
      <c r="I123" s="95"/>
      <c r="J123" s="95"/>
      <c r="K123" s="93"/>
      <c r="L123" s="95"/>
      <c r="M123" s="95"/>
      <c r="N123" s="95"/>
      <c r="O123" s="95"/>
      <c r="P123" s="95"/>
      <c r="Q123" s="95"/>
      <c r="R123" s="95"/>
      <c r="S123" s="95"/>
      <c r="T123" s="95"/>
      <c r="U123" s="95"/>
      <c r="V123" s="95"/>
      <c r="W123" s="93"/>
      <c r="X123" s="97"/>
    </row>
    <row r="124" spans="2:24" ht="12" customHeight="1">
      <c r="B124" s="92"/>
      <c r="C124" s="93"/>
      <c r="D124" s="110"/>
      <c r="E124" s="111"/>
      <c r="F124" s="93"/>
      <c r="G124" s="112"/>
      <c r="H124" s="93"/>
      <c r="I124" s="1174" t="str">
        <f>I8</f>
        <v>2012/13</v>
      </c>
      <c r="J124" s="1175"/>
      <c r="K124" s="1069"/>
      <c r="L124" s="1174" t="str">
        <f>L8</f>
        <v>2013/14</v>
      </c>
      <c r="M124" s="1175"/>
      <c r="N124" s="1069"/>
      <c r="O124" s="1174" t="str">
        <f>O8</f>
        <v>2014/15</v>
      </c>
      <c r="P124" s="1175"/>
      <c r="Q124" s="1069"/>
      <c r="R124" s="1174" t="str">
        <f>R8</f>
        <v>2015/16</v>
      </c>
      <c r="S124" s="1175"/>
      <c r="T124" s="1068"/>
      <c r="U124" s="1174" t="str">
        <f>U8</f>
        <v>2016/17</v>
      </c>
      <c r="V124" s="1175"/>
      <c r="W124" s="93"/>
      <c r="X124" s="97"/>
    </row>
    <row r="125" spans="2:24" ht="12" customHeight="1">
      <c r="B125" s="92"/>
      <c r="C125" s="93"/>
      <c r="D125" s="110"/>
      <c r="E125" s="111"/>
      <c r="F125" s="93"/>
      <c r="G125" s="112"/>
      <c r="H125" s="93"/>
      <c r="I125" s="166">
        <f>I9</f>
        <v>40817</v>
      </c>
      <c r="J125" s="166">
        <f>J9</f>
        <v>40924</v>
      </c>
      <c r="K125" s="166"/>
      <c r="L125" s="166">
        <f>L9</f>
        <v>41183</v>
      </c>
      <c r="M125" s="166">
        <f>M9</f>
        <v>41290</v>
      </c>
      <c r="N125" s="166"/>
      <c r="O125" s="166">
        <f>O9</f>
        <v>41548</v>
      </c>
      <c r="P125" s="166">
        <f>P9</f>
        <v>41655</v>
      </c>
      <c r="Q125" s="166"/>
      <c r="R125" s="166">
        <f>R9</f>
        <v>41913</v>
      </c>
      <c r="S125" s="166">
        <f>S9</f>
        <v>42020</v>
      </c>
      <c r="T125" s="167"/>
      <c r="U125" s="166">
        <f>U9</f>
        <v>42278</v>
      </c>
      <c r="V125" s="166">
        <f>V9</f>
        <v>42385</v>
      </c>
      <c r="W125" s="93"/>
      <c r="X125" s="97"/>
    </row>
    <row r="126" spans="2:24" ht="12" customHeight="1">
      <c r="B126" s="92"/>
      <c r="C126" s="93"/>
      <c r="D126" s="110"/>
      <c r="E126" s="111"/>
      <c r="F126" s="93"/>
      <c r="G126" s="112"/>
      <c r="H126" s="93"/>
      <c r="I126" s="95"/>
      <c r="J126" s="95"/>
      <c r="K126" s="93"/>
      <c r="L126" s="95"/>
      <c r="M126" s="95"/>
      <c r="N126" s="95"/>
      <c r="O126" s="95"/>
      <c r="P126" s="95"/>
      <c r="Q126" s="95"/>
      <c r="R126" s="95"/>
      <c r="S126" s="95"/>
      <c r="T126" s="95"/>
      <c r="U126" s="95"/>
      <c r="V126" s="95"/>
      <c r="W126" s="93"/>
      <c r="X126" s="97"/>
    </row>
    <row r="127" spans="2:24" ht="12" customHeight="1">
      <c r="B127" s="92"/>
      <c r="C127" s="133"/>
      <c r="D127" s="138"/>
      <c r="E127" s="132"/>
      <c r="F127" s="133"/>
      <c r="G127" s="134"/>
      <c r="H127" s="133"/>
      <c r="I127" s="135"/>
      <c r="J127" s="135"/>
      <c r="K127" s="133"/>
      <c r="L127" s="135"/>
      <c r="M127" s="135"/>
      <c r="N127" s="135"/>
      <c r="O127" s="135"/>
      <c r="P127" s="135"/>
      <c r="Q127" s="135"/>
      <c r="R127" s="135"/>
      <c r="S127" s="135"/>
      <c r="T127" s="135"/>
      <c r="U127" s="135"/>
      <c r="V127" s="135"/>
      <c r="W127" s="133"/>
      <c r="X127" s="97"/>
    </row>
    <row r="128" spans="2:24" ht="12" customHeight="1">
      <c r="B128" s="92"/>
      <c r="C128" s="133"/>
      <c r="D128" s="174" t="s">
        <v>205</v>
      </c>
      <c r="E128" s="132"/>
      <c r="F128" s="133" t="s">
        <v>201</v>
      </c>
      <c r="G128" s="133" t="s">
        <v>202</v>
      </c>
      <c r="H128" s="133"/>
      <c r="I128" s="133"/>
      <c r="J128" s="133"/>
      <c r="K128" s="133"/>
      <c r="L128" s="133"/>
      <c r="M128" s="133"/>
      <c r="N128" s="133"/>
      <c r="O128" s="133"/>
      <c r="P128" s="133"/>
      <c r="Q128" s="133"/>
      <c r="R128" s="133"/>
      <c r="S128" s="133"/>
      <c r="T128" s="133"/>
      <c r="U128" s="133"/>
      <c r="V128" s="133"/>
      <c r="W128" s="133"/>
      <c r="X128" s="97"/>
    </row>
    <row r="129" spans="2:44" ht="12" customHeight="1">
      <c r="B129" s="92"/>
      <c r="C129" s="133"/>
      <c r="D129" s="180"/>
      <c r="E129" s="180"/>
      <c r="F129" s="176" t="str">
        <f>IF(OR(F24="ja",F38="ja",F52="ja",F76="ja",F90="ja",F107="ja"),"ja","nee")</f>
        <v>nee</v>
      </c>
      <c r="G129" s="180" t="str">
        <f>IF(OR(G24="ja",G38="ja",G52="ja",G76="ja",G90="ja",G107="ja"),"ja","nee")</f>
        <v>nee</v>
      </c>
      <c r="H129" s="133"/>
      <c r="I129" s="135"/>
      <c r="J129" s="135"/>
      <c r="K129" s="133"/>
      <c r="L129" s="135"/>
      <c r="M129" s="135"/>
      <c r="N129" s="135"/>
      <c r="O129" s="135"/>
      <c r="P129" s="135"/>
      <c r="Q129" s="135"/>
      <c r="R129" s="135"/>
      <c r="S129" s="135"/>
      <c r="T129" s="135"/>
      <c r="U129" s="135"/>
      <c r="V129" s="135"/>
      <c r="W129" s="133"/>
      <c r="X129" s="97"/>
    </row>
    <row r="130" spans="2:44" ht="12" customHeight="1">
      <c r="B130" s="92"/>
      <c r="C130" s="133"/>
      <c r="D130" s="133"/>
      <c r="E130" s="133"/>
      <c r="F130" s="133"/>
      <c r="G130" s="137" t="s">
        <v>207</v>
      </c>
      <c r="H130" s="133"/>
      <c r="I130" s="212">
        <f>+I25+I39+I53+I77+I91+I108</f>
        <v>0</v>
      </c>
      <c r="J130" s="212">
        <f>+J25+J39+J53+J77+J91+J108</f>
        <v>0</v>
      </c>
      <c r="K130" s="133"/>
      <c r="L130" s="212">
        <f>+L25+L39+L53+L77+L91+L108</f>
        <v>0</v>
      </c>
      <c r="M130" s="212">
        <f>+M25+M39+M53+M77+M91+M108</f>
        <v>0</v>
      </c>
      <c r="N130" s="135"/>
      <c r="O130" s="212">
        <f>+O25+O39+O53+O77+O91+O108</f>
        <v>0</v>
      </c>
      <c r="P130" s="212">
        <f>+P25+P39+P53+P77+P91+P108</f>
        <v>0</v>
      </c>
      <c r="Q130" s="135"/>
      <c r="R130" s="212">
        <f>+R25+R39+R53+R77+R91+R108</f>
        <v>0</v>
      </c>
      <c r="S130" s="212">
        <f>+S25+S39+S53+S77+S91+S108</f>
        <v>0</v>
      </c>
      <c r="T130" s="135"/>
      <c r="U130" s="212">
        <f>+U25+U39+U53+U77+U91+U108</f>
        <v>0</v>
      </c>
      <c r="V130" s="212">
        <f>+V25+V39+V53+V77+V91+V108</f>
        <v>0</v>
      </c>
      <c r="W130" s="133"/>
      <c r="X130" s="97"/>
    </row>
    <row r="131" spans="2:44" ht="12" customHeight="1">
      <c r="B131" s="92"/>
      <c r="C131" s="133"/>
      <c r="D131" s="133"/>
      <c r="E131" s="133"/>
      <c r="F131" s="133"/>
      <c r="G131" s="137" t="s">
        <v>208</v>
      </c>
      <c r="H131" s="133"/>
      <c r="I131" s="212">
        <f>+I26+I40+I54+I78+I92+I109</f>
        <v>213</v>
      </c>
      <c r="J131" s="212">
        <f>+J26+J40+J54+J78+J92+J109</f>
        <v>213</v>
      </c>
      <c r="K131" s="133"/>
      <c r="L131" s="212">
        <f>+L26+L40+L54+L78+L92+L109</f>
        <v>213</v>
      </c>
      <c r="M131" s="212">
        <f>+M26+M40+M54+M78+M92+M109</f>
        <v>213</v>
      </c>
      <c r="N131" s="135"/>
      <c r="O131" s="212">
        <f>+O26+O40+O54+O78+O92+O109</f>
        <v>213</v>
      </c>
      <c r="P131" s="212">
        <f>+P26+P40+P54+P78+P92+P109</f>
        <v>213</v>
      </c>
      <c r="Q131" s="135"/>
      <c r="R131" s="212">
        <f>+R26+R40+R54+R78+R92+R109</f>
        <v>213</v>
      </c>
      <c r="S131" s="212">
        <f>+S26+S40+S54+S78+S92+S109</f>
        <v>213</v>
      </c>
      <c r="T131" s="135"/>
      <c r="U131" s="212">
        <f>+U26+U40+U54+U78+U92+U109</f>
        <v>213</v>
      </c>
      <c r="V131" s="212">
        <f>+V26+V40+V54+V78+V92+V109</f>
        <v>213</v>
      </c>
      <c r="W131" s="133"/>
      <c r="X131" s="97"/>
    </row>
    <row r="132" spans="2:44" ht="12" customHeight="1">
      <c r="B132" s="92"/>
      <c r="C132" s="133"/>
      <c r="D132" s="133"/>
      <c r="E132" s="133"/>
      <c r="F132" s="133"/>
      <c r="G132" s="137" t="s">
        <v>205</v>
      </c>
      <c r="H132" s="133"/>
      <c r="I132" s="179">
        <f>SUM(I130:I131)</f>
        <v>213</v>
      </c>
      <c r="J132" s="179">
        <f>SUM(J130:J131)</f>
        <v>213</v>
      </c>
      <c r="K132" s="133"/>
      <c r="L132" s="179">
        <f>SUM(L130:L131)</f>
        <v>213</v>
      </c>
      <c r="M132" s="179">
        <f>SUM(M130:M131)</f>
        <v>213</v>
      </c>
      <c r="N132" s="135"/>
      <c r="O132" s="179">
        <f>SUM(O130:O131)</f>
        <v>213</v>
      </c>
      <c r="P132" s="179">
        <f>SUM(P130:P131)</f>
        <v>213</v>
      </c>
      <c r="Q132" s="135"/>
      <c r="R132" s="179">
        <f>SUM(R130:R131)</f>
        <v>213</v>
      </c>
      <c r="S132" s="179">
        <f>SUM(S130:S131)</f>
        <v>213</v>
      </c>
      <c r="T132" s="135"/>
      <c r="U132" s="179">
        <f>SUM(U130:U131)</f>
        <v>213</v>
      </c>
      <c r="V132" s="179">
        <f>SUM(V130:V131)</f>
        <v>213</v>
      </c>
      <c r="W132" s="133"/>
      <c r="X132" s="97"/>
    </row>
    <row r="133" spans="2:44" ht="12" customHeight="1">
      <c r="B133" s="92"/>
      <c r="C133" s="133"/>
      <c r="D133" s="133"/>
      <c r="E133" s="133"/>
      <c r="F133" s="133"/>
      <c r="G133" s="137" t="s">
        <v>209</v>
      </c>
      <c r="H133" s="133"/>
      <c r="I133" s="212">
        <f>+I28+I42+I56+I80+I94+I111</f>
        <v>0</v>
      </c>
      <c r="J133" s="212">
        <f>+J28+J42+J56+J80+J94+J111</f>
        <v>0</v>
      </c>
      <c r="K133" s="133"/>
      <c r="L133" s="212">
        <f>+L28+L42+L56+L80+L94+L111</f>
        <v>0</v>
      </c>
      <c r="M133" s="212">
        <f>+M28+M42+M56+M80+M94+M111</f>
        <v>0</v>
      </c>
      <c r="N133" s="135"/>
      <c r="O133" s="212">
        <f>+O28+O42+O56+O80+O94+O111</f>
        <v>0</v>
      </c>
      <c r="P133" s="212">
        <f>+P28+P42+P56+P80+P94+P111</f>
        <v>0</v>
      </c>
      <c r="Q133" s="135"/>
      <c r="R133" s="212">
        <f>+R28+R42+R56+R80+R94+R111</f>
        <v>0</v>
      </c>
      <c r="S133" s="212">
        <f>+S28+S42+S56+S80+S94+S111</f>
        <v>0</v>
      </c>
      <c r="T133" s="135"/>
      <c r="U133" s="212">
        <f>+U28+U42+U56+U80+U94+U111</f>
        <v>0</v>
      </c>
      <c r="V133" s="212">
        <f>+V28+V42+V56+V80+V94+V111</f>
        <v>0</v>
      </c>
      <c r="W133" s="133"/>
      <c r="X133" s="97"/>
    </row>
    <row r="134" spans="2:44" ht="12" customHeight="1">
      <c r="B134" s="92"/>
      <c r="C134" s="135"/>
      <c r="D134" s="138"/>
      <c r="E134" s="138"/>
      <c r="F134" s="133"/>
      <c r="G134" s="134"/>
      <c r="H134" s="133"/>
      <c r="I134" s="135"/>
      <c r="J134" s="135"/>
      <c r="K134" s="133"/>
      <c r="L134" s="135"/>
      <c r="M134" s="135"/>
      <c r="N134" s="135"/>
      <c r="O134" s="135"/>
      <c r="P134" s="135"/>
      <c r="Q134" s="135"/>
      <c r="R134" s="135"/>
      <c r="S134" s="135"/>
      <c r="T134" s="135"/>
      <c r="U134" s="135"/>
      <c r="V134" s="135"/>
      <c r="W134" s="133"/>
      <c r="X134" s="97"/>
    </row>
    <row r="135" spans="2:44" ht="12" customHeight="1">
      <c r="B135" s="92"/>
      <c r="C135" s="133"/>
      <c r="D135" s="214" t="s">
        <v>210</v>
      </c>
      <c r="E135" s="133"/>
      <c r="F135" s="138"/>
      <c r="G135" s="134" t="s">
        <v>204</v>
      </c>
      <c r="H135" s="133"/>
      <c r="I135" s="212">
        <f t="shared" ref="I135:J137" si="0">+I29+I43+I57+I81+I95+I112</f>
        <v>0</v>
      </c>
      <c r="J135" s="212">
        <f t="shared" si="0"/>
        <v>0</v>
      </c>
      <c r="K135" s="133"/>
      <c r="L135" s="212">
        <f t="shared" ref="L135:M137" si="1">+L29+L43+L57+L81+L95+L112</f>
        <v>0</v>
      </c>
      <c r="M135" s="212">
        <f t="shared" si="1"/>
        <v>0</v>
      </c>
      <c r="N135" s="135"/>
      <c r="O135" s="212">
        <f t="shared" ref="O135:P137" si="2">+O29+O43+O57+O81+O95+O112</f>
        <v>0</v>
      </c>
      <c r="P135" s="212">
        <f t="shared" si="2"/>
        <v>0</v>
      </c>
      <c r="Q135" s="135"/>
      <c r="R135" s="212">
        <f t="shared" ref="R135:S137" si="3">+R29+R43+R57+R81+R95+R112</f>
        <v>0</v>
      </c>
      <c r="S135" s="212">
        <f t="shared" si="3"/>
        <v>0</v>
      </c>
      <c r="T135" s="135"/>
      <c r="U135" s="212">
        <f t="shared" ref="U135:V137" si="4">+U29+U43+U57+U81+U95+U112</f>
        <v>0</v>
      </c>
      <c r="V135" s="212">
        <f t="shared" si="4"/>
        <v>0</v>
      </c>
      <c r="W135" s="133"/>
      <c r="X135" s="97"/>
    </row>
    <row r="136" spans="2:44" ht="12" customHeight="1">
      <c r="B136" s="92"/>
      <c r="C136" s="133"/>
      <c r="D136" s="214"/>
      <c r="E136" s="133"/>
      <c r="F136" s="138"/>
      <c r="G136" s="134" t="s">
        <v>203</v>
      </c>
      <c r="H136" s="133"/>
      <c r="I136" s="212">
        <f t="shared" si="0"/>
        <v>0</v>
      </c>
      <c r="J136" s="212">
        <f t="shared" si="0"/>
        <v>0</v>
      </c>
      <c r="K136" s="133"/>
      <c r="L136" s="212">
        <f t="shared" si="1"/>
        <v>0</v>
      </c>
      <c r="M136" s="212">
        <f t="shared" si="1"/>
        <v>0</v>
      </c>
      <c r="N136" s="135"/>
      <c r="O136" s="212">
        <f t="shared" si="2"/>
        <v>0</v>
      </c>
      <c r="P136" s="212">
        <f t="shared" si="2"/>
        <v>0</v>
      </c>
      <c r="Q136" s="135"/>
      <c r="R136" s="212">
        <f t="shared" si="3"/>
        <v>0</v>
      </c>
      <c r="S136" s="212">
        <f t="shared" si="3"/>
        <v>0</v>
      </c>
      <c r="T136" s="135"/>
      <c r="U136" s="212">
        <f t="shared" si="4"/>
        <v>0</v>
      </c>
      <c r="V136" s="212">
        <f t="shared" si="4"/>
        <v>0</v>
      </c>
      <c r="W136" s="133"/>
      <c r="X136" s="97"/>
    </row>
    <row r="137" spans="2:44" ht="12" customHeight="1">
      <c r="B137" s="92"/>
      <c r="C137" s="133"/>
      <c r="D137" s="214"/>
      <c r="E137" s="132"/>
      <c r="F137" s="133"/>
      <c r="G137" s="134" t="s">
        <v>190</v>
      </c>
      <c r="H137" s="133"/>
      <c r="I137" s="212">
        <f t="shared" si="0"/>
        <v>0</v>
      </c>
      <c r="J137" s="212">
        <f t="shared" si="0"/>
        <v>0</v>
      </c>
      <c r="K137" s="133"/>
      <c r="L137" s="212">
        <f t="shared" si="1"/>
        <v>0</v>
      </c>
      <c r="M137" s="212">
        <f t="shared" si="1"/>
        <v>0</v>
      </c>
      <c r="N137" s="135"/>
      <c r="O137" s="212">
        <f t="shared" si="2"/>
        <v>0</v>
      </c>
      <c r="P137" s="212">
        <f t="shared" si="2"/>
        <v>0</v>
      </c>
      <c r="Q137" s="135"/>
      <c r="R137" s="212">
        <f t="shared" si="3"/>
        <v>0</v>
      </c>
      <c r="S137" s="212">
        <f t="shared" si="3"/>
        <v>0</v>
      </c>
      <c r="T137" s="135"/>
      <c r="U137" s="212">
        <f t="shared" si="4"/>
        <v>0</v>
      </c>
      <c r="V137" s="212">
        <f t="shared" si="4"/>
        <v>0</v>
      </c>
      <c r="W137" s="133"/>
      <c r="X137" s="97"/>
    </row>
    <row r="138" spans="2:44" ht="12" customHeight="1">
      <c r="B138" s="92"/>
      <c r="C138" s="133"/>
      <c r="D138" s="214" t="s">
        <v>213</v>
      </c>
      <c r="E138" s="132"/>
      <c r="F138" s="133"/>
      <c r="G138" s="134" t="s">
        <v>214</v>
      </c>
      <c r="H138" s="133"/>
      <c r="I138" s="212">
        <f>+I32+I46+I60+I84+I98+I115</f>
        <v>0</v>
      </c>
      <c r="J138" s="212" t="s">
        <v>319</v>
      </c>
      <c r="K138" s="133"/>
      <c r="L138" s="212">
        <f>+L32+L46+L60+L84+L98+L115</f>
        <v>0</v>
      </c>
      <c r="M138" s="212" t="s">
        <v>319</v>
      </c>
      <c r="N138" s="135"/>
      <c r="O138" s="212">
        <f>+O32+O46+O60+O84+O98+O115</f>
        <v>0</v>
      </c>
      <c r="P138" s="212" t="s">
        <v>319</v>
      </c>
      <c r="Q138" s="135"/>
      <c r="R138" s="212">
        <f>+R32+R46+R60+R84+R98+R115</f>
        <v>0</v>
      </c>
      <c r="S138" s="212" t="s">
        <v>319</v>
      </c>
      <c r="T138" s="135"/>
      <c r="U138" s="212">
        <f>+U32+U46+U60+U84+U98+U115</f>
        <v>0</v>
      </c>
      <c r="V138" s="212" t="s">
        <v>319</v>
      </c>
      <c r="W138" s="133"/>
      <c r="X138" s="97"/>
    </row>
    <row r="139" spans="2:44" ht="12" customHeight="1">
      <c r="B139" s="92"/>
      <c r="C139" s="133"/>
      <c r="D139" s="133"/>
      <c r="E139" s="132"/>
      <c r="F139" s="133"/>
      <c r="G139" s="134" t="s">
        <v>215</v>
      </c>
      <c r="H139" s="133"/>
      <c r="I139" s="212">
        <f>+I33+I47+I61+I85+I99+I116</f>
        <v>0</v>
      </c>
      <c r="J139" s="212" t="s">
        <v>319</v>
      </c>
      <c r="K139" s="133"/>
      <c r="L139" s="212">
        <f>+L33+L47+L61+L85+L99+L116</f>
        <v>0</v>
      </c>
      <c r="M139" s="212" t="s">
        <v>319</v>
      </c>
      <c r="N139" s="135"/>
      <c r="O139" s="212">
        <f>+O33+O47+O61+O85+O99+O116</f>
        <v>0</v>
      </c>
      <c r="P139" s="212" t="s">
        <v>319</v>
      </c>
      <c r="Q139" s="135"/>
      <c r="R139" s="212">
        <f>+R33+R47+R61+R85+R99+R116</f>
        <v>0</v>
      </c>
      <c r="S139" s="212" t="s">
        <v>319</v>
      </c>
      <c r="T139" s="135"/>
      <c r="U139" s="212">
        <f>+U33+U47+U61+U85+U99+U116</f>
        <v>0</v>
      </c>
      <c r="V139" s="212" t="s">
        <v>319</v>
      </c>
      <c r="W139" s="133"/>
      <c r="X139" s="97"/>
    </row>
    <row r="140" spans="2:44" ht="12" customHeight="1">
      <c r="B140" s="92"/>
      <c r="C140" s="133"/>
      <c r="D140" s="138"/>
      <c r="E140" s="132"/>
      <c r="F140" s="133"/>
      <c r="G140" s="134" t="s">
        <v>148</v>
      </c>
      <c r="H140" s="133"/>
      <c r="I140" s="212">
        <f>+I34+I48+I62+I86++I100+I117</f>
        <v>213</v>
      </c>
      <c r="J140" s="212">
        <f>+J34+J48+J62+J86++J100+J117</f>
        <v>213</v>
      </c>
      <c r="K140" s="133"/>
      <c r="L140" s="212">
        <f>+L34+L48+L62+L86++L100+L117</f>
        <v>213</v>
      </c>
      <c r="M140" s="212">
        <f>+M34+M48+M62+M86++M100+M117</f>
        <v>213</v>
      </c>
      <c r="N140" s="135"/>
      <c r="O140" s="212">
        <f>+O34+O48+O62+O86++O100+O117</f>
        <v>213</v>
      </c>
      <c r="P140" s="212">
        <f>+P34+P48+P62+P86++P100+P117</f>
        <v>213</v>
      </c>
      <c r="Q140" s="135"/>
      <c r="R140" s="212">
        <f>+R34+R48+R62+R86++R100+R117</f>
        <v>213</v>
      </c>
      <c r="S140" s="212">
        <f>+S34+S48+S62+S86++S100+S117</f>
        <v>213</v>
      </c>
      <c r="T140" s="135"/>
      <c r="U140" s="212">
        <f>+U34+U48+U62+U86++U100+U117</f>
        <v>213</v>
      </c>
      <c r="V140" s="212">
        <f>+V34+V48+V62+V86++V100+V117</f>
        <v>213</v>
      </c>
      <c r="W140" s="133"/>
      <c r="X140" s="97"/>
    </row>
    <row r="141" spans="2:44" ht="12" customHeight="1">
      <c r="B141" s="92"/>
      <c r="C141" s="133"/>
      <c r="D141" s="138"/>
      <c r="E141" s="132"/>
      <c r="F141" s="133"/>
      <c r="G141" s="134" t="s">
        <v>263</v>
      </c>
      <c r="H141" s="133"/>
      <c r="I141" s="212">
        <f>IF((I133+I137)&lt;4,0,(I133+I137-4))</f>
        <v>0</v>
      </c>
      <c r="J141" s="212">
        <f>IF((J133+J137)&lt;4,0,(J133+J137-4))</f>
        <v>0</v>
      </c>
      <c r="K141" s="133"/>
      <c r="L141" s="212">
        <f>IF((L133+L137)&lt;4,0,(L133+L137-4))</f>
        <v>0</v>
      </c>
      <c r="M141" s="212">
        <f>IF((M133+M137)&lt;4,0,(M133+M137-4))</f>
        <v>0</v>
      </c>
      <c r="N141" s="135"/>
      <c r="O141" s="212">
        <f>IF((O133+O137)&lt;4,0,(O133+O137-4))</f>
        <v>0</v>
      </c>
      <c r="P141" s="212">
        <f>IF((P133+P137)&lt;4,0,(P133+P137-4))</f>
        <v>0</v>
      </c>
      <c r="Q141" s="135"/>
      <c r="R141" s="212">
        <f>IF((R133+R137)&lt;4,0,(R133+R137-4))</f>
        <v>0</v>
      </c>
      <c r="S141" s="212">
        <f>IF((S133+S137)&lt;4,0,(S133+S137-4))</f>
        <v>0</v>
      </c>
      <c r="T141" s="135"/>
      <c r="U141" s="212">
        <f>IF((U133+U137)&lt;4,0,(U133+U137-4))</f>
        <v>0</v>
      </c>
      <c r="V141" s="212">
        <f>IF((V133+V137)&lt;4,0,(V133+V137-4))</f>
        <v>0</v>
      </c>
      <c r="W141" s="133"/>
      <c r="X141" s="97"/>
    </row>
    <row r="142" spans="2:44" ht="12" customHeight="1">
      <c r="B142" s="92"/>
      <c r="C142" s="183"/>
      <c r="D142" s="184"/>
      <c r="E142" s="185"/>
      <c r="F142" s="186"/>
      <c r="G142" s="186"/>
      <c r="H142" s="186"/>
      <c r="I142" s="187"/>
      <c r="J142" s="187"/>
      <c r="K142" s="186"/>
      <c r="L142" s="187"/>
      <c r="M142" s="187"/>
      <c r="N142" s="187"/>
      <c r="O142" s="187"/>
      <c r="P142" s="187"/>
      <c r="Q142" s="187"/>
      <c r="R142" s="187"/>
      <c r="S142" s="187"/>
      <c r="T142" s="187"/>
      <c r="U142" s="187"/>
      <c r="V142" s="187"/>
      <c r="W142" s="188"/>
      <c r="X142" s="97"/>
    </row>
    <row r="143" spans="2:44" ht="12" customHeight="1">
      <c r="B143" s="92"/>
      <c r="C143" s="124"/>
      <c r="D143" s="125"/>
      <c r="E143" s="126"/>
      <c r="F143" s="127"/>
      <c r="G143" s="127"/>
      <c r="H143" s="127"/>
      <c r="I143" s="129"/>
      <c r="J143" s="129"/>
      <c r="K143" s="127"/>
      <c r="L143" s="129"/>
      <c r="M143" s="129"/>
      <c r="N143" s="129"/>
      <c r="O143" s="129"/>
      <c r="P143" s="129"/>
      <c r="Q143" s="129"/>
      <c r="R143" s="129"/>
      <c r="S143" s="129"/>
      <c r="T143" s="129"/>
      <c r="U143" s="129"/>
      <c r="V143" s="129"/>
      <c r="W143" s="130"/>
      <c r="X143" s="97"/>
      <c r="AK143" s="79"/>
      <c r="AL143" s="79"/>
      <c r="AM143" s="79"/>
      <c r="AN143" s="79"/>
      <c r="AO143" s="79"/>
      <c r="AP143" s="79"/>
      <c r="AQ143" s="79"/>
      <c r="AR143" s="79"/>
    </row>
    <row r="144" spans="2:44" ht="12" customHeight="1">
      <c r="B144" s="92"/>
      <c r="C144" s="133"/>
      <c r="D144" s="174" t="s">
        <v>229</v>
      </c>
      <c r="E144" s="132"/>
      <c r="F144" s="133"/>
      <c r="G144" s="134"/>
      <c r="H144" s="133"/>
      <c r="I144" s="135"/>
      <c r="J144" s="135"/>
      <c r="K144" s="133"/>
      <c r="L144" s="135"/>
      <c r="M144" s="135"/>
      <c r="N144" s="133"/>
      <c r="O144" s="135"/>
      <c r="P144" s="135"/>
      <c r="Q144" s="133"/>
      <c r="R144" s="135"/>
      <c r="S144" s="135"/>
      <c r="T144" s="133"/>
      <c r="U144" s="135"/>
      <c r="V144" s="135"/>
      <c r="W144" s="133"/>
      <c r="X144" s="97"/>
    </row>
    <row r="145" spans="2:24" ht="12" customHeight="1">
      <c r="B145" s="92"/>
      <c r="C145" s="133"/>
      <c r="D145" s="174"/>
      <c r="E145" s="132"/>
      <c r="F145" s="133"/>
      <c r="G145" s="134"/>
      <c r="H145" s="133"/>
      <c r="I145" s="135"/>
      <c r="J145" s="135"/>
      <c r="K145" s="133"/>
      <c r="L145" s="135"/>
      <c r="M145" s="135"/>
      <c r="N145" s="133"/>
      <c r="O145" s="135"/>
      <c r="P145" s="135"/>
      <c r="Q145" s="133"/>
      <c r="R145" s="135"/>
      <c r="S145" s="135"/>
      <c r="T145" s="133"/>
      <c r="U145" s="135"/>
      <c r="V145" s="135"/>
      <c r="W145" s="133"/>
      <c r="X145" s="97"/>
    </row>
    <row r="146" spans="2:24" ht="12" customHeight="1">
      <c r="B146" s="92"/>
      <c r="C146" s="133"/>
      <c r="D146" s="133"/>
      <c r="E146" s="133"/>
      <c r="F146" s="133"/>
      <c r="G146" s="137" t="s">
        <v>207</v>
      </c>
      <c r="H146" s="133"/>
      <c r="I146" s="189">
        <f>+I130+I136</f>
        <v>0</v>
      </c>
      <c r="J146" s="189">
        <f>+J130+J136</f>
        <v>0</v>
      </c>
      <c r="K146" s="133"/>
      <c r="L146" s="189">
        <f>+L130+L136</f>
        <v>0</v>
      </c>
      <c r="M146" s="189">
        <f>+M130+M136</f>
        <v>0</v>
      </c>
      <c r="N146" s="133"/>
      <c r="O146" s="189">
        <f>+O130+O136</f>
        <v>0</v>
      </c>
      <c r="P146" s="189">
        <f>+P130+P136</f>
        <v>0</v>
      </c>
      <c r="Q146" s="133"/>
      <c r="R146" s="189">
        <f>+R130+R136</f>
        <v>0</v>
      </c>
      <c r="S146" s="189">
        <f>+S130+S136</f>
        <v>0</v>
      </c>
      <c r="T146" s="133"/>
      <c r="U146" s="189">
        <f>+U130+U136</f>
        <v>0</v>
      </c>
      <c r="V146" s="189">
        <f>+V130+V136</f>
        <v>0</v>
      </c>
      <c r="W146" s="133"/>
      <c r="X146" s="97"/>
    </row>
    <row r="147" spans="2:24" ht="12" customHeight="1">
      <c r="B147" s="92"/>
      <c r="C147" s="133"/>
      <c r="D147" s="133"/>
      <c r="E147" s="133"/>
      <c r="F147" s="133"/>
      <c r="G147" s="137" t="s">
        <v>208</v>
      </c>
      <c r="H147" s="133"/>
      <c r="I147" s="189">
        <f>+I131+I135-I136</f>
        <v>213</v>
      </c>
      <c r="J147" s="189">
        <f>+J131+J135-J136</f>
        <v>213</v>
      </c>
      <c r="K147" s="133"/>
      <c r="L147" s="189">
        <f>+L131+L135-L136</f>
        <v>213</v>
      </c>
      <c r="M147" s="189">
        <f>+M131+M135-M136</f>
        <v>213</v>
      </c>
      <c r="N147" s="133"/>
      <c r="O147" s="189">
        <f>+O131+O135-O136</f>
        <v>213</v>
      </c>
      <c r="P147" s="189">
        <f>+P131+P135-P136</f>
        <v>213</v>
      </c>
      <c r="Q147" s="133"/>
      <c r="R147" s="189">
        <f>+R131+R135-R136</f>
        <v>213</v>
      </c>
      <c r="S147" s="189">
        <f>+S131+S135-S136</f>
        <v>213</v>
      </c>
      <c r="T147" s="133"/>
      <c r="U147" s="189">
        <f>+U131+U135-U136</f>
        <v>213</v>
      </c>
      <c r="V147" s="189">
        <f>+V131+V135-V136</f>
        <v>213</v>
      </c>
      <c r="W147" s="133"/>
      <c r="X147" s="97"/>
    </row>
    <row r="148" spans="2:24" ht="12" customHeight="1">
      <c r="B148" s="92"/>
      <c r="C148" s="133"/>
      <c r="D148" s="133"/>
      <c r="E148" s="133"/>
      <c r="F148" s="133"/>
      <c r="G148" s="137" t="s">
        <v>205</v>
      </c>
      <c r="H148" s="133"/>
      <c r="I148" s="179">
        <f>SUM(I146:I147)</f>
        <v>213</v>
      </c>
      <c r="J148" s="179">
        <f>SUM(J146:J147)</f>
        <v>213</v>
      </c>
      <c r="K148" s="133"/>
      <c r="L148" s="179">
        <f>SUM(L146:L147)</f>
        <v>213</v>
      </c>
      <c r="M148" s="179">
        <f>SUM(M146:M147)</f>
        <v>213</v>
      </c>
      <c r="N148" s="133"/>
      <c r="O148" s="179">
        <f>SUM(O146:O147)</f>
        <v>213</v>
      </c>
      <c r="P148" s="179">
        <f>SUM(P146:P147)</f>
        <v>213</v>
      </c>
      <c r="Q148" s="133"/>
      <c r="R148" s="179">
        <f>SUM(R146:R147)</f>
        <v>213</v>
      </c>
      <c r="S148" s="179">
        <f>SUM(S146:S147)</f>
        <v>213</v>
      </c>
      <c r="T148" s="133"/>
      <c r="U148" s="179">
        <f>SUM(U146:U147)</f>
        <v>213</v>
      </c>
      <c r="V148" s="179">
        <f>SUM(V146:V147)</f>
        <v>213</v>
      </c>
      <c r="W148" s="133"/>
      <c r="X148" s="97"/>
    </row>
    <row r="149" spans="2:24" ht="12" customHeight="1">
      <c r="B149" s="92"/>
      <c r="C149" s="133"/>
      <c r="D149" s="133"/>
      <c r="E149" s="133"/>
      <c r="F149" s="133"/>
      <c r="G149" s="137" t="s">
        <v>209</v>
      </c>
      <c r="H149" s="133"/>
      <c r="I149" s="189">
        <f>+I141</f>
        <v>0</v>
      </c>
      <c r="J149" s="189">
        <f>+J141</f>
        <v>0</v>
      </c>
      <c r="K149" s="133"/>
      <c r="L149" s="189">
        <f>+L141</f>
        <v>0</v>
      </c>
      <c r="M149" s="189">
        <f>+M141</f>
        <v>0</v>
      </c>
      <c r="N149" s="133"/>
      <c r="O149" s="189">
        <f>+O141</f>
        <v>0</v>
      </c>
      <c r="P149" s="189">
        <f>+P141</f>
        <v>0</v>
      </c>
      <c r="Q149" s="133"/>
      <c r="R149" s="189">
        <f>+R141</f>
        <v>0</v>
      </c>
      <c r="S149" s="189">
        <f>+S141</f>
        <v>0</v>
      </c>
      <c r="T149" s="133"/>
      <c r="U149" s="189">
        <f>+U141</f>
        <v>0</v>
      </c>
      <c r="V149" s="189">
        <f>+V141</f>
        <v>0</v>
      </c>
      <c r="W149" s="133"/>
      <c r="X149" s="97"/>
    </row>
    <row r="150" spans="2:24" ht="12" customHeight="1">
      <c r="B150" s="92"/>
      <c r="C150" s="133"/>
      <c r="D150" s="135"/>
      <c r="E150" s="135"/>
      <c r="F150" s="135"/>
      <c r="G150" s="135"/>
      <c r="H150" s="135"/>
      <c r="I150" s="135"/>
      <c r="J150" s="135"/>
      <c r="K150" s="135"/>
      <c r="L150" s="135"/>
      <c r="M150" s="135"/>
      <c r="N150" s="135"/>
      <c r="O150" s="135"/>
      <c r="P150" s="135"/>
      <c r="Q150" s="135"/>
      <c r="R150" s="135"/>
      <c r="S150" s="135"/>
      <c r="T150" s="135"/>
      <c r="U150" s="135"/>
      <c r="V150" s="135"/>
      <c r="W150" s="133"/>
      <c r="X150" s="97"/>
    </row>
    <row r="151" spans="2:24" ht="12" customHeight="1">
      <c r="B151" s="92"/>
      <c r="C151" s="133"/>
      <c r="D151" s="133"/>
      <c r="E151" s="133"/>
      <c r="F151" s="138"/>
      <c r="G151" s="134" t="s">
        <v>249</v>
      </c>
      <c r="H151" s="133"/>
      <c r="I151" s="189">
        <f>IF($D24="SO",I27+I29,0)+IF($D38="SO",I41+I43,0)+IF($D52="SO",I55+I57,0)+IF($D76="SO",I79+I81,0)+IF($D90="SO",I93+I95,0)+IF($D107="SO",I110+I112,0)</f>
        <v>0</v>
      </c>
      <c r="J151" s="189">
        <f>IF($D24="SO",J27+J29,0)+IF($D38="SO",J41+J43,0)+IF($D52="SO",J55+J57,0)+IF($D76="SO",J79+J81,0)+IF($D90="SO",J93+J95,0)+IF($D107="SO",J110+J112,0)</f>
        <v>0</v>
      </c>
      <c r="K151" s="133"/>
      <c r="L151" s="189">
        <f>IF($D24="SO",L27+L29,0)+IF($D38="SO",L41+L43,0)+IF($D52="SO",L55+L57,0)+IF($D76="SO",L79+L81,0)+IF($D90="SO",L93+L95,0)+IF($D107="SO",L110+L112,0)</f>
        <v>0</v>
      </c>
      <c r="M151" s="189">
        <f>IF($D24="SO",M27+M29,0)+IF($D38="SO",M41+M43,0)+IF($D52="SO",M55+M57,0)+IF($D76="SO",M79+M81,0)+IF($D90="SO",M93+M95,0)+IF($D107="SO",M110+M112,0)</f>
        <v>0</v>
      </c>
      <c r="N151" s="133"/>
      <c r="O151" s="189">
        <f>IF($D24="SO",O27+O29,0)+IF($D38="SO",O41+O43,0)+IF($D52="SO",O55+O57,0)+IF($D76="SO",O79+O81,0)+IF($D90="SO",O93+O95,0)+IF($D107="SO",O110+O112,0)</f>
        <v>0</v>
      </c>
      <c r="P151" s="189">
        <f>IF($D24="SO",P27+P29,0)+IF($D38="SO",P41+P43,0)+IF($D52="SO",P55+P57,0)+IF($D76="SO",P79+P81,0)+IF($D90="SO",P93+P95,0)+IF($D107="SO",P110+P112,0)</f>
        <v>0</v>
      </c>
      <c r="Q151" s="133"/>
      <c r="R151" s="189">
        <f>IF($D24="SO",R27+R29,0)+IF($D38="SO",R41+R43,0)+IF($D52="SO",R55+R57,0)+IF($D76="SO",R79+R81,0)+IF($D90="SO",R93+R95,0)+IF($D107="SO",R110+R112,0)</f>
        <v>0</v>
      </c>
      <c r="S151" s="189">
        <f>IF($D24="SO",S27+S29,0)+IF($D38="SO",S41+S43,0)+IF($D52="SO",S55+S57,0)+IF($D76="SO",S79+S81,0)+IF($D90="SO",S93+S95,0)+IF($D107="SO",S110+S112,0)</f>
        <v>0</v>
      </c>
      <c r="T151" s="133"/>
      <c r="U151" s="189">
        <f>IF($D24="SO",U27+U29,0)+IF($D38="SO",U41+U43,0)+IF($D52="SO",U55+U57,0)+IF($D76="SO",U79+U81,0)+IF($D90="SO",U93+U95,0)+IF($D107="SO",U110+U112,0)</f>
        <v>0</v>
      </c>
      <c r="V151" s="189">
        <f>IF($D24="SO",V27+V29,0)+IF($D38="SO",V41+V43,0)+IF($D52="SO",V55+V57,0)+IF($D76="SO",V79+V81,0)+IF($D90="SO",V93+V95,0)+IF($D107="SO",V110+V112,0)</f>
        <v>0</v>
      </c>
      <c r="W151" s="133"/>
      <c r="X151" s="97"/>
    </row>
    <row r="152" spans="2:24" ht="12" customHeight="1">
      <c r="B152" s="92"/>
      <c r="C152" s="133"/>
      <c r="D152" s="133"/>
      <c r="E152" s="133"/>
      <c r="F152" s="138"/>
      <c r="G152" s="134" t="s">
        <v>250</v>
      </c>
      <c r="H152" s="133"/>
      <c r="I152" s="189">
        <f>IF($D24="VSO",I27+I29,0)+IF($D38="VSO",I41+I43,0)+IF($D52="VSO",I55+I57,0)+IF($D76="VSO",I79+I81,0)+IF($D90="VSO",I93+I95,0)+IF($D107="VSO",I110+I112,0)</f>
        <v>213</v>
      </c>
      <c r="J152" s="189">
        <f>IF($D24="VSO",J27+J29,0)+IF($D38="VSO",J41+J43,0)+IF($D52="VSO",J55+J57,0)+IF($D76="VSO",J79+J81,0)+IF($D90="VSO",J93+J95,0)+IF($D107="VSO",J110+J112,0)</f>
        <v>213</v>
      </c>
      <c r="K152" s="133"/>
      <c r="L152" s="189">
        <f>IF($D24="VSO",L27+L29,0)+IF($D38="VSO",L41+L43,0)+IF($D52="VSO",L55+L57,0)+IF($D76="VSO",L79+L81,0)+IF($D90="VSO",L93+L95,0)+IF($D107="VSO",L110+L112,0)</f>
        <v>213</v>
      </c>
      <c r="M152" s="189">
        <f>IF($D24="VSO",M27+M29,0)+IF($D38="VSO",M41+M43,0)+IF($D52="VSO",M55+M57,0)+IF($D76="VSO",M79+M81,0)+IF($D90="VSO",M93+M95,0)+IF($D107="VSO",M110+M112,0)</f>
        <v>213</v>
      </c>
      <c r="N152" s="133"/>
      <c r="O152" s="189">
        <f>IF($D24="VSO",O27+O29,0)+IF($D38="VSO",O41+O43,0)+IF($D52="VSO",O55+O57,0)+IF($D76="VSO",O79+O81,0)+IF($D90="VSO",O93+O95,0)+IF($D107="VSO",O110+O112,0)</f>
        <v>213</v>
      </c>
      <c r="P152" s="189">
        <f>IF($D24="VSO",P27+P29,0)+IF($D38="VSO",P41+P43,0)+IF($D52="VSO",P55+P57,0)+IF($D76="VSO",P79+P81,0)+IF($D90="VSO",P93+P95,0)+IF($D107="VSO",P110+P112,0)</f>
        <v>213</v>
      </c>
      <c r="Q152" s="133"/>
      <c r="R152" s="189">
        <f>IF($D24="VSO",R27+R29,0)+IF($D38="VSO",R41+R43,0)+IF($D52="VSO",R55+R57,0)+IF($D76="VSO",R79+R81,0)+IF($D90="VSO",R93+R95,0)+IF($D107="VSO",R110+R112,0)</f>
        <v>213</v>
      </c>
      <c r="S152" s="189">
        <f>IF($D24="VSO",S27+S29,0)+IF($D38="VSO",S41+S43,0)+IF($D52="VSO",S55+S57,0)+IF($D76="VSO",S79+S81,0)+IF($D90="VSO",S93+S95,0)+IF($D107="VSO",S110+S112,0)</f>
        <v>213</v>
      </c>
      <c r="T152" s="133"/>
      <c r="U152" s="189">
        <f>IF($D24="VSO",U27+U29,0)+IF($D38="VSO",U41+U43,0)+IF($D52="VSO",U55+U57,0)+IF($D76="VSO",U79+U81,0)+IF($D90="VSO",U93+U95,0)+IF($D107="VSO",U110+U112,0)</f>
        <v>213</v>
      </c>
      <c r="V152" s="189">
        <f>IF($D24="VSO",V27+V29,0)+IF($D38="VSO",V41+V43,0)+IF($D52="VSO",V55+V57,0)+IF($D76="VSO",V79+V81,0)+IF($D90="VSO",V93+V95,0)+IF($D107="VSO",V110+V112,0)</f>
        <v>213</v>
      </c>
      <c r="W152" s="133"/>
      <c r="X152" s="97"/>
    </row>
    <row r="153" spans="2:24" ht="12" customHeight="1">
      <c r="B153" s="92"/>
      <c r="C153" s="133"/>
      <c r="D153" s="133"/>
      <c r="E153" s="133"/>
      <c r="F153" s="138"/>
      <c r="G153" s="134" t="s">
        <v>269</v>
      </c>
      <c r="H153" s="133"/>
      <c r="I153" s="179">
        <f>SUM(I151:I152)</f>
        <v>213</v>
      </c>
      <c r="J153" s="179">
        <f>SUM(J151:J152)</f>
        <v>213</v>
      </c>
      <c r="K153" s="133"/>
      <c r="L153" s="179">
        <f>SUM(L151:L152)</f>
        <v>213</v>
      </c>
      <c r="M153" s="179">
        <f>SUM(M151:M152)</f>
        <v>213</v>
      </c>
      <c r="N153" s="133"/>
      <c r="O153" s="179">
        <f>SUM(O151:O152)</f>
        <v>213</v>
      </c>
      <c r="P153" s="179">
        <f>SUM(P151:P152)</f>
        <v>213</v>
      </c>
      <c r="Q153" s="133"/>
      <c r="R153" s="179">
        <f>SUM(R151:R152)</f>
        <v>213</v>
      </c>
      <c r="S153" s="179">
        <f>SUM(S151:S152)</f>
        <v>213</v>
      </c>
      <c r="T153" s="133"/>
      <c r="U153" s="179">
        <f>SUM(U151:U152)</f>
        <v>213</v>
      </c>
      <c r="V153" s="179">
        <f>SUM(V151:V152)</f>
        <v>213</v>
      </c>
      <c r="W153" s="133"/>
      <c r="X153" s="97"/>
    </row>
    <row r="154" spans="2:24" ht="12" customHeight="1">
      <c r="B154" s="92"/>
      <c r="C154" s="133"/>
      <c r="D154" s="133"/>
      <c r="E154" s="133"/>
      <c r="F154" s="138"/>
      <c r="G154" s="134"/>
      <c r="H154" s="133"/>
      <c r="I154" s="135"/>
      <c r="J154" s="135"/>
      <c r="K154" s="133"/>
      <c r="L154" s="135"/>
      <c r="M154" s="135"/>
      <c r="N154" s="133"/>
      <c r="O154" s="135"/>
      <c r="P154" s="135"/>
      <c r="Q154" s="133"/>
      <c r="R154" s="135"/>
      <c r="S154" s="135"/>
      <c r="T154" s="133"/>
      <c r="U154" s="135"/>
      <c r="V154" s="135"/>
      <c r="W154" s="133"/>
      <c r="X154" s="97"/>
    </row>
    <row r="155" spans="2:24" ht="12" customHeight="1">
      <c r="B155" s="92"/>
      <c r="C155" s="133"/>
      <c r="D155" s="174" t="s">
        <v>7</v>
      </c>
      <c r="E155" s="132"/>
      <c r="F155" s="133"/>
      <c r="G155" s="134" t="s">
        <v>214</v>
      </c>
      <c r="H155" s="133"/>
      <c r="I155" s="189">
        <f t="shared" ref="I155:J157" si="5">+I138</f>
        <v>0</v>
      </c>
      <c r="J155" s="181" t="str">
        <f t="shared" si="5"/>
        <v>nvt</v>
      </c>
      <c r="K155" s="133"/>
      <c r="L155" s="189">
        <f t="shared" ref="L155:M157" si="6">+L138</f>
        <v>0</v>
      </c>
      <c r="M155" s="181" t="str">
        <f t="shared" si="6"/>
        <v>nvt</v>
      </c>
      <c r="N155" s="133"/>
      <c r="O155" s="189">
        <f t="shared" ref="O155:P157" si="7">+O138</f>
        <v>0</v>
      </c>
      <c r="P155" s="181" t="str">
        <f t="shared" si="7"/>
        <v>nvt</v>
      </c>
      <c r="Q155" s="133"/>
      <c r="R155" s="189">
        <f t="shared" ref="R155:S157" si="8">+R138</f>
        <v>0</v>
      </c>
      <c r="S155" s="181" t="str">
        <f t="shared" si="8"/>
        <v>nvt</v>
      </c>
      <c r="T155" s="133"/>
      <c r="U155" s="189">
        <f t="shared" ref="U155:V157" si="9">+U138</f>
        <v>0</v>
      </c>
      <c r="V155" s="181" t="str">
        <f t="shared" si="9"/>
        <v>nvt</v>
      </c>
      <c r="W155" s="133"/>
      <c r="X155" s="97"/>
    </row>
    <row r="156" spans="2:24" ht="12" customHeight="1">
      <c r="B156" s="92"/>
      <c r="C156" s="133"/>
      <c r="D156" s="138"/>
      <c r="E156" s="132"/>
      <c r="F156" s="133"/>
      <c r="G156" s="134" t="s">
        <v>215</v>
      </c>
      <c r="H156" s="133"/>
      <c r="I156" s="189">
        <f t="shared" si="5"/>
        <v>0</v>
      </c>
      <c r="J156" s="181" t="str">
        <f t="shared" si="5"/>
        <v>nvt</v>
      </c>
      <c r="K156" s="133"/>
      <c r="L156" s="189">
        <f t="shared" si="6"/>
        <v>0</v>
      </c>
      <c r="M156" s="181" t="str">
        <f t="shared" si="6"/>
        <v>nvt</v>
      </c>
      <c r="N156" s="133"/>
      <c r="O156" s="189">
        <f t="shared" si="7"/>
        <v>0</v>
      </c>
      <c r="P156" s="181" t="str">
        <f t="shared" si="7"/>
        <v>nvt</v>
      </c>
      <c r="Q156" s="133"/>
      <c r="R156" s="189">
        <f t="shared" si="8"/>
        <v>0</v>
      </c>
      <c r="S156" s="181" t="str">
        <f t="shared" si="8"/>
        <v>nvt</v>
      </c>
      <c r="T156" s="133"/>
      <c r="U156" s="189">
        <f t="shared" si="9"/>
        <v>0</v>
      </c>
      <c r="V156" s="181" t="str">
        <f t="shared" si="9"/>
        <v>nvt</v>
      </c>
      <c r="W156" s="133"/>
      <c r="X156" s="97"/>
    </row>
    <row r="157" spans="2:24" ht="12" customHeight="1">
      <c r="B157" s="92"/>
      <c r="C157" s="133"/>
      <c r="D157" s="133"/>
      <c r="E157" s="132"/>
      <c r="F157" s="133"/>
      <c r="G157" s="134" t="s">
        <v>148</v>
      </c>
      <c r="H157" s="133"/>
      <c r="I157" s="189">
        <f t="shared" si="5"/>
        <v>213</v>
      </c>
      <c r="J157" s="189">
        <f t="shared" si="5"/>
        <v>213</v>
      </c>
      <c r="K157" s="133"/>
      <c r="L157" s="189">
        <f t="shared" si="6"/>
        <v>213</v>
      </c>
      <c r="M157" s="189">
        <f t="shared" si="6"/>
        <v>213</v>
      </c>
      <c r="N157" s="133"/>
      <c r="O157" s="189">
        <f t="shared" si="7"/>
        <v>213</v>
      </c>
      <c r="P157" s="189">
        <f t="shared" si="7"/>
        <v>213</v>
      </c>
      <c r="Q157" s="133"/>
      <c r="R157" s="189">
        <f t="shared" si="8"/>
        <v>213</v>
      </c>
      <c r="S157" s="189">
        <f t="shared" si="8"/>
        <v>213</v>
      </c>
      <c r="T157" s="133"/>
      <c r="U157" s="189">
        <f t="shared" si="9"/>
        <v>213</v>
      </c>
      <c r="V157" s="189">
        <f t="shared" si="9"/>
        <v>213</v>
      </c>
      <c r="W157" s="133"/>
      <c r="X157" s="97"/>
    </row>
    <row r="158" spans="2:24" ht="12" customHeight="1">
      <c r="B158" s="92"/>
      <c r="C158" s="133"/>
      <c r="D158" s="138"/>
      <c r="E158" s="132"/>
      <c r="F158" s="133"/>
      <c r="G158" s="134"/>
      <c r="H158" s="133"/>
      <c r="I158" s="135"/>
      <c r="J158" s="135"/>
      <c r="K158" s="133"/>
      <c r="L158" s="135"/>
      <c r="M158" s="135"/>
      <c r="N158" s="135"/>
      <c r="O158" s="135"/>
      <c r="P158" s="135"/>
      <c r="Q158" s="135"/>
      <c r="R158" s="135"/>
      <c r="S158" s="135"/>
      <c r="T158" s="135"/>
      <c r="U158" s="135"/>
      <c r="V158" s="135"/>
      <c r="W158" s="133"/>
      <c r="X158" s="97"/>
    </row>
    <row r="159" spans="2:24" ht="12" customHeight="1">
      <c r="B159" s="92"/>
      <c r="C159" s="133"/>
      <c r="D159" s="133"/>
      <c r="E159" s="133"/>
      <c r="F159" s="133"/>
      <c r="G159" s="134" t="s">
        <v>668</v>
      </c>
      <c r="H159" s="133"/>
      <c r="I159" s="189" t="str">
        <f>IF(geg!J159=1,"ja","nee")</f>
        <v>nee</v>
      </c>
      <c r="J159" s="140">
        <f>IF(OR(geg!F24="ja",geg!F38="ja",geg!F52="ja"),1,0)</f>
        <v>0</v>
      </c>
      <c r="K159" s="133"/>
      <c r="L159" s="133"/>
      <c r="M159" s="135"/>
      <c r="N159" s="135"/>
      <c r="O159" s="135"/>
      <c r="P159" s="135"/>
      <c r="Q159" s="135"/>
      <c r="R159" s="135"/>
      <c r="S159" s="135"/>
      <c r="T159" s="135"/>
      <c r="U159" s="135"/>
      <c r="V159" s="135"/>
      <c r="W159" s="133"/>
      <c r="X159" s="97"/>
    </row>
    <row r="160" spans="2:24" ht="12" customHeight="1">
      <c r="B160" s="92"/>
      <c r="C160" s="133"/>
      <c r="D160" s="174" t="s">
        <v>103</v>
      </c>
      <c r="E160" s="132"/>
      <c r="F160" s="133"/>
      <c r="G160" s="134" t="s">
        <v>230</v>
      </c>
      <c r="H160" s="133"/>
      <c r="I160" s="189" t="str">
        <f>IF(OR(AND($D38=$D160,$G38="ja"),AND($D52=$D160,$G52="ja")),"ja","nee")</f>
        <v>nee</v>
      </c>
      <c r="J160" s="135"/>
      <c r="K160" s="133"/>
      <c r="L160" s="133"/>
      <c r="M160" s="135"/>
      <c r="N160" s="135"/>
      <c r="O160" s="135"/>
      <c r="P160" s="135"/>
      <c r="Q160" s="135"/>
      <c r="R160" s="135"/>
      <c r="S160" s="135"/>
      <c r="T160" s="135"/>
      <c r="U160" s="135"/>
      <c r="V160" s="135"/>
      <c r="W160" s="133"/>
      <c r="X160" s="97"/>
    </row>
    <row r="161" spans="2:24" ht="12" customHeight="1">
      <c r="B161" s="92"/>
      <c r="C161" s="133"/>
      <c r="D161" s="174" t="s">
        <v>120</v>
      </c>
      <c r="E161" s="132"/>
      <c r="F161" s="133"/>
      <c r="G161" s="134" t="s">
        <v>231</v>
      </c>
      <c r="H161" s="133"/>
      <c r="I161" s="189" t="str">
        <f>IF(OR(AND($D76=$D161,$G76="ja"),AND($D90=$D161,$G90="ja"),AND($D107=$D161,$G107="ja")),"ja","nee")</f>
        <v>nee</v>
      </c>
      <c r="J161" s="135"/>
      <c r="K161" s="133"/>
      <c r="L161" s="133"/>
      <c r="M161" s="135"/>
      <c r="N161" s="135"/>
      <c r="O161" s="135"/>
      <c r="P161" s="135"/>
      <c r="Q161" s="135"/>
      <c r="R161" s="135"/>
      <c r="S161" s="135"/>
      <c r="T161" s="135"/>
      <c r="U161" s="135"/>
      <c r="V161" s="135"/>
      <c r="W161" s="133"/>
      <c r="X161" s="97"/>
    </row>
    <row r="162" spans="2:24" ht="12" customHeight="1">
      <c r="B162" s="92"/>
      <c r="C162" s="133"/>
      <c r="D162" s="138"/>
      <c r="E162" s="132"/>
      <c r="F162" s="133"/>
      <c r="G162" s="134"/>
      <c r="H162" s="133"/>
      <c r="I162" s="135"/>
      <c r="J162" s="135"/>
      <c r="K162" s="133"/>
      <c r="L162" s="135"/>
      <c r="M162" s="135"/>
      <c r="N162" s="135"/>
      <c r="O162" s="135"/>
      <c r="P162" s="135"/>
      <c r="Q162" s="135"/>
      <c r="R162" s="135"/>
      <c r="S162" s="135"/>
      <c r="T162" s="135"/>
      <c r="U162" s="135"/>
      <c r="V162" s="135"/>
      <c r="W162" s="133"/>
      <c r="X162" s="97"/>
    </row>
    <row r="163" spans="2:24" ht="12" customHeight="1">
      <c r="B163" s="92"/>
      <c r="C163" s="93"/>
      <c r="D163" s="110"/>
      <c r="E163" s="111"/>
      <c r="F163" s="93"/>
      <c r="G163" s="112"/>
      <c r="H163" s="93"/>
      <c r="I163" s="95"/>
      <c r="J163" s="95"/>
      <c r="K163" s="93"/>
      <c r="L163" s="95"/>
      <c r="M163" s="95"/>
      <c r="N163" s="95"/>
      <c r="O163" s="95"/>
      <c r="P163" s="95"/>
      <c r="Q163" s="95"/>
      <c r="R163" s="95"/>
      <c r="S163" s="95"/>
      <c r="T163" s="95"/>
      <c r="U163" s="95"/>
      <c r="V163" s="95"/>
      <c r="W163" s="93"/>
      <c r="X163" s="97"/>
    </row>
    <row r="164" spans="2:24" ht="12" customHeight="1">
      <c r="B164" s="113"/>
      <c r="C164" s="114"/>
      <c r="D164" s="115"/>
      <c r="E164" s="116"/>
      <c r="F164" s="114"/>
      <c r="G164" s="117"/>
      <c r="H164" s="114"/>
      <c r="I164" s="118"/>
      <c r="J164" s="118"/>
      <c r="K164" s="114"/>
      <c r="L164" s="118"/>
      <c r="M164" s="118"/>
      <c r="N164" s="118"/>
      <c r="O164" s="118"/>
      <c r="P164" s="118"/>
      <c r="Q164" s="118"/>
      <c r="R164" s="118"/>
      <c r="S164" s="118"/>
      <c r="T164" s="118"/>
      <c r="U164" s="118"/>
      <c r="V164" s="118"/>
      <c r="W164" s="119" t="s">
        <v>555</v>
      </c>
      <c r="X164" s="120"/>
    </row>
    <row r="165" spans="2:24" s="68" customFormat="1" ht="12" customHeight="1">
      <c r="D165" s="76"/>
      <c r="E165" s="77"/>
      <c r="G165" s="78"/>
      <c r="I165" s="67"/>
      <c r="J165" s="67"/>
      <c r="L165" s="67"/>
      <c r="M165" s="67"/>
      <c r="N165" s="67"/>
      <c r="O165" s="67"/>
      <c r="P165" s="67"/>
      <c r="Q165" s="67"/>
      <c r="R165" s="67"/>
      <c r="S165" s="67"/>
      <c r="T165" s="67"/>
      <c r="U165" s="67"/>
      <c r="V165" s="67"/>
    </row>
    <row r="166" spans="2:24" s="68" customFormat="1" ht="12" customHeight="1">
      <c r="D166" s="76"/>
      <c r="E166" s="77"/>
      <c r="G166" s="78"/>
      <c r="I166" s="67"/>
      <c r="J166" s="67"/>
      <c r="L166" s="67"/>
      <c r="M166" s="67"/>
      <c r="N166" s="67"/>
      <c r="O166" s="67"/>
      <c r="P166" s="67"/>
      <c r="Q166" s="67"/>
      <c r="R166" s="67"/>
      <c r="S166" s="67"/>
      <c r="T166" s="67"/>
      <c r="U166" s="67"/>
      <c r="V166" s="67"/>
    </row>
    <row r="167" spans="2:24" s="68" customFormat="1" ht="12" customHeight="1">
      <c r="D167" s="76"/>
      <c r="E167" s="77"/>
      <c r="G167" s="78"/>
      <c r="I167" s="67"/>
      <c r="J167" s="67"/>
      <c r="L167" s="67"/>
      <c r="M167" s="67"/>
      <c r="N167" s="67"/>
      <c r="O167" s="67"/>
      <c r="P167" s="67"/>
      <c r="Q167" s="67"/>
      <c r="R167" s="67"/>
      <c r="S167" s="67"/>
      <c r="T167" s="67"/>
      <c r="U167" s="67"/>
      <c r="V167" s="67"/>
    </row>
    <row r="168" spans="2:24" s="68" customFormat="1" ht="12" customHeight="1">
      <c r="D168" s="76"/>
      <c r="E168" s="77"/>
      <c r="G168" s="78"/>
      <c r="I168" s="67"/>
      <c r="J168" s="67"/>
      <c r="L168" s="67"/>
      <c r="M168" s="67"/>
      <c r="N168" s="67"/>
      <c r="O168" s="67"/>
      <c r="P168" s="67"/>
      <c r="Q168" s="67"/>
      <c r="R168" s="67"/>
      <c r="S168" s="67"/>
      <c r="T168" s="67"/>
      <c r="U168" s="67"/>
      <c r="V168" s="67"/>
    </row>
    <row r="169" spans="2:24" s="68" customFormat="1" ht="12" customHeight="1">
      <c r="D169" s="76"/>
      <c r="E169" s="77"/>
      <c r="G169" s="78"/>
      <c r="I169" s="67"/>
      <c r="J169" s="67"/>
      <c r="L169" s="67"/>
      <c r="M169" s="67"/>
      <c r="N169" s="67"/>
      <c r="O169" s="67"/>
      <c r="P169" s="67"/>
      <c r="Q169" s="67"/>
      <c r="R169" s="67"/>
      <c r="S169" s="67"/>
      <c r="T169" s="67"/>
      <c r="U169" s="67"/>
      <c r="V169" s="67"/>
    </row>
    <row r="170" spans="2:24" s="68" customFormat="1" ht="12" customHeight="1">
      <c r="D170" s="191" t="s">
        <v>9</v>
      </c>
      <c r="E170" s="192"/>
      <c r="F170" s="193"/>
      <c r="G170" s="194"/>
      <c r="H170" s="193"/>
      <c r="I170" s="1167" t="str">
        <f>I8</f>
        <v>2012/13</v>
      </c>
      <c r="J170" s="1168"/>
      <c r="K170" s="193"/>
      <c r="L170" s="1167" t="str">
        <f>L8</f>
        <v>2013/14</v>
      </c>
      <c r="M170" s="1168"/>
      <c r="N170" s="195"/>
      <c r="O170" s="1167" t="str">
        <f>O8</f>
        <v>2014/15</v>
      </c>
      <c r="P170" s="1168"/>
      <c r="Q170" s="195"/>
      <c r="R170" s="1167" t="str">
        <f>R8</f>
        <v>2015/16</v>
      </c>
      <c r="S170" s="1168"/>
      <c r="T170" s="195"/>
      <c r="U170" s="1167" t="str">
        <f>U8</f>
        <v>2016/17</v>
      </c>
      <c r="V170" s="1168"/>
      <c r="W170" s="193"/>
      <c r="X170" s="193"/>
    </row>
    <row r="171" spans="2:24" s="68" customFormat="1" ht="12" customHeight="1">
      <c r="D171" s="191"/>
      <c r="E171" s="196"/>
      <c r="F171" s="197"/>
      <c r="G171" s="196"/>
      <c r="H171" s="197"/>
      <c r="I171" s="198">
        <f>I9</f>
        <v>40817</v>
      </c>
      <c r="J171" s="198">
        <f>J9</f>
        <v>40924</v>
      </c>
      <c r="K171" s="197"/>
      <c r="L171" s="198">
        <f>L9</f>
        <v>41183</v>
      </c>
      <c r="M171" s="198">
        <f>M9</f>
        <v>41290</v>
      </c>
      <c r="N171" s="195"/>
      <c r="O171" s="198">
        <f>O9</f>
        <v>41548</v>
      </c>
      <c r="P171" s="198">
        <f>P9</f>
        <v>41655</v>
      </c>
      <c r="Q171" s="195"/>
      <c r="R171" s="198">
        <f>R9</f>
        <v>41913</v>
      </c>
      <c r="S171" s="198">
        <f>S9</f>
        <v>42020</v>
      </c>
      <c r="T171" s="195"/>
      <c r="U171" s="198">
        <f>U9</f>
        <v>42278</v>
      </c>
      <c r="V171" s="198">
        <f>V9</f>
        <v>42385</v>
      </c>
      <c r="W171" s="193"/>
      <c r="X171" s="193"/>
    </row>
    <row r="172" spans="2:24" s="68" customFormat="1" ht="12" customHeight="1">
      <c r="D172" s="191"/>
      <c r="E172" s="192"/>
      <c r="F172" s="193"/>
      <c r="G172" s="194"/>
      <c r="H172" s="193"/>
      <c r="I172" s="198"/>
      <c r="J172" s="198"/>
      <c r="K172" s="197"/>
      <c r="L172" s="198"/>
      <c r="M172" s="198"/>
      <c r="N172" s="195"/>
      <c r="O172" s="198"/>
      <c r="P172" s="198"/>
      <c r="Q172" s="195"/>
      <c r="R172" s="198"/>
      <c r="S172" s="198"/>
      <c r="T172" s="195"/>
      <c r="U172" s="198"/>
      <c r="V172" s="198"/>
      <c r="W172" s="193"/>
      <c r="X172" s="193"/>
    </row>
    <row r="173" spans="2:24" s="68" customFormat="1" ht="12" customHeight="1">
      <c r="D173" s="199">
        <f>+geg!D24</f>
        <v>0</v>
      </c>
      <c r="E173" s="200"/>
      <c r="F173" s="200"/>
      <c r="G173" s="194"/>
      <c r="H173" s="193"/>
      <c r="I173" s="201"/>
      <c r="J173" s="201"/>
      <c r="K173" s="193"/>
      <c r="L173" s="202"/>
      <c r="M173" s="202"/>
      <c r="N173" s="201"/>
      <c r="O173" s="202"/>
      <c r="P173" s="202"/>
      <c r="Q173" s="201"/>
      <c r="R173" s="202"/>
      <c r="S173" s="202"/>
      <c r="T173" s="201"/>
      <c r="U173" s="202"/>
      <c r="V173" s="202"/>
      <c r="W173" s="193"/>
      <c r="X173" s="193"/>
    </row>
    <row r="174" spans="2:24" s="68" customFormat="1" ht="12" customHeight="1">
      <c r="D174" s="203" t="s">
        <v>8</v>
      </c>
      <c r="E174" s="200"/>
      <c r="F174" s="200">
        <f>E24</f>
        <v>0</v>
      </c>
      <c r="G174" s="201">
        <f>IF(geg!D24="",0,VLOOKUP(geg!E24,grgr,IF(geg!D24="SO",2,3),FALSE))</f>
        <v>0</v>
      </c>
      <c r="H174" s="193"/>
      <c r="I174" s="204" t="e">
        <f>(geg!I27+geg!I29)/geg!$G174</f>
        <v>#DIV/0!</v>
      </c>
      <c r="J174" s="204" t="e">
        <f>(geg!J27+geg!J29)/geg!$G174</f>
        <v>#DIV/0!</v>
      </c>
      <c r="K174" s="193"/>
      <c r="L174" s="204" t="e">
        <f>(geg!L27+geg!L29)/geg!$G174</f>
        <v>#DIV/0!</v>
      </c>
      <c r="M174" s="204" t="e">
        <f>(geg!M27+geg!M29)/geg!$G174</f>
        <v>#DIV/0!</v>
      </c>
      <c r="N174" s="201"/>
      <c r="O174" s="204" t="e">
        <f>(geg!O27+geg!O29)/geg!$G174</f>
        <v>#DIV/0!</v>
      </c>
      <c r="P174" s="204" t="e">
        <f>(geg!P27+geg!P29)/geg!$G174</f>
        <v>#DIV/0!</v>
      </c>
      <c r="Q174" s="201"/>
      <c r="R174" s="204" t="e">
        <f>(geg!R27+geg!R29)/geg!$G174</f>
        <v>#DIV/0!</v>
      </c>
      <c r="S174" s="204" t="e">
        <f>(geg!S27+geg!S29)/geg!$G174</f>
        <v>#DIV/0!</v>
      </c>
      <c r="T174" s="201"/>
      <c r="U174" s="204" t="e">
        <f>(geg!U27+geg!U29)/geg!$G174</f>
        <v>#DIV/0!</v>
      </c>
      <c r="V174" s="204" t="e">
        <f>(geg!V27+geg!V29)/geg!$G174</f>
        <v>#DIV/0!</v>
      </c>
      <c r="W174" s="193"/>
      <c r="X174" s="193"/>
    </row>
    <row r="175" spans="2:24" s="68" customFormat="1" ht="12" customHeight="1">
      <c r="D175" s="200" t="s">
        <v>652</v>
      </c>
      <c r="E175" s="200"/>
      <c r="F175" s="200"/>
      <c r="G175" s="201"/>
      <c r="H175" s="193"/>
      <c r="I175" s="204" t="e">
        <f>(IF(AND(geg!$D38=geg!$D24,geg!$G38="ja"),geg!I41+geg!I43,0)+IF(AND(geg!$D52=geg!$D24,geg!$G52="ja"),geg!I55+geg!I57,0))/geg!$G174</f>
        <v>#DIV/0!</v>
      </c>
      <c r="J175" s="204" t="e">
        <f>(IF(AND(geg!$D38=geg!$D24,geg!$G38="ja"),geg!J41+geg!J43,0)+IF(AND(geg!$D52=geg!$D24,geg!$G52="ja"),geg!J55+geg!J57,0))/geg!$G174</f>
        <v>#DIV/0!</v>
      </c>
      <c r="K175" s="193"/>
      <c r="L175" s="204" t="e">
        <f>(IF(AND(geg!$D38=geg!$D24,geg!$G38="ja"),geg!L41+geg!L43,0)+IF(AND(geg!$D52=geg!$D24,geg!$G52="ja"),geg!L55+geg!L57,0))/geg!$G174</f>
        <v>#DIV/0!</v>
      </c>
      <c r="M175" s="204" t="e">
        <f>(IF(AND(geg!$D38=geg!$D24,geg!$G38="ja"),geg!M41+geg!M43,0)+IF(AND(geg!$D52=geg!$D24,geg!$G52="ja"),geg!M55+geg!M57,0))/geg!$G174</f>
        <v>#DIV/0!</v>
      </c>
      <c r="N175" s="201"/>
      <c r="O175" s="204" t="e">
        <f>(IF(AND(geg!$D38=geg!$D24,geg!$G38="ja"),geg!O41+geg!O43,0)+IF(AND(geg!$D52=geg!$D24,geg!$G52="ja"),geg!O55+geg!O57,0))/geg!$G174</f>
        <v>#DIV/0!</v>
      </c>
      <c r="P175" s="204" t="e">
        <f>(IF(AND(geg!$D38=geg!$D24,geg!$G38="ja"),geg!P41+geg!P43,0)+IF(AND(geg!$D52=geg!$D24,geg!$G52="ja"),geg!P55+geg!P57,0))/geg!$G174</f>
        <v>#DIV/0!</v>
      </c>
      <c r="Q175" s="201"/>
      <c r="R175" s="204" t="e">
        <f>(IF(AND(geg!$D38=geg!$D24,geg!$G38="ja"),geg!R41+geg!R43,0)+IF(AND(geg!$D52=geg!$D24,geg!$G52="ja"),geg!R55+geg!R57,0))/geg!$G174</f>
        <v>#DIV/0!</v>
      </c>
      <c r="S175" s="204" t="e">
        <f>(IF(AND(geg!$D38=geg!$D24,geg!$G38="ja"),geg!S41+geg!S43,0)+IF(AND(geg!$D52=geg!$D24,geg!$G52="ja"),geg!S55+geg!S57,0))/geg!$G174</f>
        <v>#DIV/0!</v>
      </c>
      <c r="T175" s="201"/>
      <c r="U175" s="204" t="e">
        <f>(IF(AND(geg!$D38=geg!$D24,geg!$G38="ja"),geg!U41+geg!U43,0)+IF(AND(geg!$D52=geg!$D24,geg!$G52="ja"),geg!U55+geg!U57,0))/geg!$G174</f>
        <v>#DIV/0!</v>
      </c>
      <c r="V175" s="204" t="e">
        <f>(IF(AND(geg!$D38=geg!$D24,geg!$G38="ja"),geg!V41+geg!V43,0)+IF(AND(geg!$D52=geg!$D24,geg!$G52="ja"),geg!V55+geg!V57,0))/geg!$G174</f>
        <v>#DIV/0!</v>
      </c>
      <c r="W175" s="193"/>
      <c r="X175" s="193"/>
    </row>
    <row r="176" spans="2:24" s="68" customFormat="1" ht="12" customHeight="1">
      <c r="D176" s="200" t="s">
        <v>133</v>
      </c>
      <c r="E176" s="200"/>
      <c r="F176" s="200"/>
      <c r="G176" s="201"/>
      <c r="H176" s="193"/>
      <c r="I176" s="205" t="e">
        <f>ROUNDUP((I174+I175),0)</f>
        <v>#DIV/0!</v>
      </c>
      <c r="J176" s="205" t="e">
        <f>ROUNDUP((J174+J175),0)</f>
        <v>#DIV/0!</v>
      </c>
      <c r="K176" s="193"/>
      <c r="L176" s="205" t="e">
        <f>ROUNDUP((L174+L175),0)</f>
        <v>#DIV/0!</v>
      </c>
      <c r="M176" s="201" t="e">
        <f>ROUNDUP((M174+M175),0)</f>
        <v>#DIV/0!</v>
      </c>
      <c r="N176" s="201"/>
      <c r="O176" s="201" t="e">
        <f>ROUNDUP((O174+O175),0)</f>
        <v>#DIV/0!</v>
      </c>
      <c r="P176" s="201" t="e">
        <f>ROUNDUP((P174+P175),0)</f>
        <v>#DIV/0!</v>
      </c>
      <c r="Q176" s="201"/>
      <c r="R176" s="201" t="e">
        <f>ROUNDUP((R174+R175),0)</f>
        <v>#DIV/0!</v>
      </c>
      <c r="S176" s="201" t="e">
        <f>ROUNDUP((S174+S175),0)</f>
        <v>#DIV/0!</v>
      </c>
      <c r="T176" s="201"/>
      <c r="U176" s="201" t="e">
        <f>ROUNDUP((U174+U175),0)</f>
        <v>#DIV/0!</v>
      </c>
      <c r="V176" s="201" t="e">
        <f>ROUNDUP((V174+V175),0)</f>
        <v>#DIV/0!</v>
      </c>
      <c r="W176" s="193"/>
      <c r="X176" s="193"/>
    </row>
    <row r="177" spans="4:24" s="68" customFormat="1" ht="12" customHeight="1">
      <c r="D177" s="200" t="s">
        <v>653</v>
      </c>
      <c r="E177" s="200"/>
      <c r="F177" s="193"/>
      <c r="G177" s="201"/>
      <c r="H177" s="193"/>
      <c r="I177" s="201">
        <f>+IF(geg!$D38=geg!$D24,IF(MID(geg!$E38,1,2)="MG",I179,0),0)+IF(geg!$D52=geg!$D24,IF(MID(geg!$E52,1,2)="MG",I180,0),0)</f>
        <v>0</v>
      </c>
      <c r="J177" s="201">
        <f>+IF(geg!$D38=geg!$D24,IF(MID(geg!$E38,1,2)="MG",J179,0),0)+IF(geg!$D52=geg!$D24,IF(MID(geg!$E52,1,2)="MG",J180,0),0)</f>
        <v>0</v>
      </c>
      <c r="K177" s="193"/>
      <c r="L177" s="201">
        <f>+IF(geg!$D38=geg!$D24,IF(MID(geg!$E38,1,2)="MG",L179,0),0)+IF(geg!$D52=geg!$D24,IF(MID(geg!$E52,1,2)="MG",L180,0),0)</f>
        <v>0</v>
      </c>
      <c r="M177" s="201">
        <f>+IF(geg!$D38=geg!$D24,IF(MID(geg!$E38,1,2)="MG",M179,0),0)+IF(geg!$D52=geg!$D24,IF(MID(geg!$E52,1,2)="MG",M180,0),0)</f>
        <v>0</v>
      </c>
      <c r="N177" s="201"/>
      <c r="O177" s="201">
        <f>+IF(geg!$D38=geg!$D24,IF(MID(geg!$E38,1,2)="MG",O179,0),0)+IF(geg!$D52=geg!$D24,IF(MID(geg!$E52,1,2)="MG",O180,0),0)</f>
        <v>0</v>
      </c>
      <c r="P177" s="201">
        <f>+IF(geg!$D38=geg!$D24,IF(MID(geg!$E38,1,2)="MG",P179,0),0)+IF(geg!$D52=geg!$D24,IF(MID(geg!$E52,1,2)="MG",P180,0),0)</f>
        <v>0</v>
      </c>
      <c r="Q177" s="201"/>
      <c r="R177" s="201">
        <f>+IF(geg!$D38=geg!$D24,IF(MID(geg!$E38,1,2)="MG",R179,0),0)+IF(geg!$D52=geg!$D24,IF(MID(geg!$E52,1,2)="MG",R180,0),0)</f>
        <v>0</v>
      </c>
      <c r="S177" s="201">
        <f>+IF(geg!$D38=geg!$D24,IF(MID(geg!$E38,1,2)="MG",S179,0),0)+IF(geg!$D52=geg!$D24,IF(MID(geg!$E52,1,2)="MG",S180,0),0)</f>
        <v>0</v>
      </c>
      <c r="T177" s="201"/>
      <c r="U177" s="201">
        <f>+IF(geg!$D38=geg!$D24,IF(MID(geg!$E38,1,2)="MG",U179,0),0)+IF(geg!$D52=geg!$D24,IF(MID(geg!$E52,1,2)="MG",U180,0),0)</f>
        <v>0</v>
      </c>
      <c r="V177" s="201">
        <f>+IF(geg!$D38=geg!$D24,IF(MID(geg!$E38,1,2)="MG",V179,0),0)+IF(geg!$D52=geg!$D24,IF(MID(geg!$E52,1,2)="MG",V180,0),0)</f>
        <v>0</v>
      </c>
      <c r="W177" s="193"/>
      <c r="X177" s="193"/>
    </row>
    <row r="178" spans="4:24" s="68" customFormat="1" ht="12" customHeight="1">
      <c r="D178" s="200" t="s">
        <v>654</v>
      </c>
      <c r="E178" s="200"/>
      <c r="F178" s="200"/>
      <c r="G178" s="201"/>
      <c r="H178" s="193"/>
      <c r="I178" s="205" t="e">
        <f>+I176</f>
        <v>#DIV/0!</v>
      </c>
      <c r="J178" s="205" t="e">
        <f>+J176</f>
        <v>#DIV/0!</v>
      </c>
      <c r="K178" s="193"/>
      <c r="L178" s="205" t="e">
        <f>+L176</f>
        <v>#DIV/0!</v>
      </c>
      <c r="M178" s="205" t="e">
        <f t="shared" ref="M178:V178" si="10">+M176</f>
        <v>#DIV/0!</v>
      </c>
      <c r="N178" s="205">
        <f t="shared" si="10"/>
        <v>0</v>
      </c>
      <c r="O178" s="205" t="e">
        <f t="shared" si="10"/>
        <v>#DIV/0!</v>
      </c>
      <c r="P178" s="205" t="e">
        <f t="shared" si="10"/>
        <v>#DIV/0!</v>
      </c>
      <c r="Q178" s="205">
        <f t="shared" si="10"/>
        <v>0</v>
      </c>
      <c r="R178" s="205" t="e">
        <f t="shared" si="10"/>
        <v>#DIV/0!</v>
      </c>
      <c r="S178" s="205" t="e">
        <f t="shared" si="10"/>
        <v>#DIV/0!</v>
      </c>
      <c r="T178" s="205">
        <f t="shared" si="10"/>
        <v>0</v>
      </c>
      <c r="U178" s="205" t="e">
        <f t="shared" si="10"/>
        <v>#DIV/0!</v>
      </c>
      <c r="V178" s="205" t="e">
        <f t="shared" si="10"/>
        <v>#DIV/0!</v>
      </c>
      <c r="W178" s="193"/>
      <c r="X178" s="193"/>
    </row>
    <row r="179" spans="4:24" s="68" customFormat="1" ht="12" customHeight="1">
      <c r="D179" s="203" t="s">
        <v>8</v>
      </c>
      <c r="E179" s="200"/>
      <c r="F179" s="200">
        <f>E38</f>
        <v>0</v>
      </c>
      <c r="G179" s="201">
        <f>IF(geg!D38="",0,VLOOKUP(geg!E38,grgr,IF(geg!D38="SO",2,3),FALSE))</f>
        <v>0</v>
      </c>
      <c r="H179" s="193"/>
      <c r="I179" s="201">
        <f>IF(geg!$G179=0,0,IF(geg!$G38="ja",0,ROUNDUP(((geg!I41+geg!I43))/geg!$G179,0)))</f>
        <v>0</v>
      </c>
      <c r="J179" s="201">
        <f>IF(geg!$G179=0,0,IF(geg!$G38="ja",0,ROUNDUP(((geg!J41+geg!J43))/geg!$G179,0)))</f>
        <v>0</v>
      </c>
      <c r="K179" s="193"/>
      <c r="L179" s="201">
        <f>IF(geg!$G179=0,0,IF(geg!$G38="ja",0,ROUNDUP(((geg!L41+geg!L43))/geg!$G179,0)))</f>
        <v>0</v>
      </c>
      <c r="M179" s="201">
        <f>IF(geg!$G179=0,0,IF(geg!$G38="ja",0,ROUNDUP(((geg!M41+geg!M43))/geg!$G179,0)))</f>
        <v>0</v>
      </c>
      <c r="N179" s="201"/>
      <c r="O179" s="201">
        <f>IF(geg!$G179=0,0,IF(geg!$G38="ja",0,ROUNDUP(((geg!O41+geg!O43))/geg!$G179,0)))</f>
        <v>0</v>
      </c>
      <c r="P179" s="201">
        <f>IF(geg!$G179=0,0,IF(geg!$G38="ja",0,ROUNDUP(((geg!P41+geg!P43))/geg!$G179,0)))</f>
        <v>0</v>
      </c>
      <c r="Q179" s="201"/>
      <c r="R179" s="201">
        <f>IF(geg!$G179=0,0,IF(geg!$G38="ja",0,ROUNDUP(((geg!R41+geg!R43))/geg!$G179,0)))</f>
        <v>0</v>
      </c>
      <c r="S179" s="201">
        <f>IF(geg!$G179=0,0,IF(geg!$G38="ja",0,ROUNDUP(((geg!S41+geg!S43))/geg!$G179,0)))</f>
        <v>0</v>
      </c>
      <c r="T179" s="201"/>
      <c r="U179" s="201">
        <f>IF(geg!$G179=0,0,IF(geg!$G38="ja",0,ROUNDUP(((geg!U41+geg!U43))/geg!$G179,0)))</f>
        <v>0</v>
      </c>
      <c r="V179" s="201">
        <f>IF(geg!$G179=0,0,IF(geg!$G38="ja",0,ROUNDUP(((geg!V41+geg!V43))/geg!$G179,0)))</f>
        <v>0</v>
      </c>
      <c r="W179" s="193"/>
      <c r="X179" s="193"/>
    </row>
    <row r="180" spans="4:24" s="76" customFormat="1" ht="12" customHeight="1">
      <c r="D180" s="203" t="s">
        <v>8</v>
      </c>
      <c r="E180" s="200"/>
      <c r="F180" s="200">
        <f>E52</f>
        <v>0</v>
      </c>
      <c r="G180" s="201">
        <f>IF(geg!D52="",0,VLOOKUP(geg!E52,grgr,IF(geg!D52="SO",2,3),FALSE))</f>
        <v>0</v>
      </c>
      <c r="H180" s="191"/>
      <c r="I180" s="201">
        <f>IF(geg!$G180=0,0,IF(geg!$G52="ja",0,ROUNDUP((geg!I55+geg!I57)/geg!$G180,0)))</f>
        <v>0</v>
      </c>
      <c r="J180" s="201">
        <f>IF(geg!$G180=0,0,IF(geg!$G52="ja",0,ROUNDUP((geg!J55+geg!J57)/geg!$G180,0)))</f>
        <v>0</v>
      </c>
      <c r="K180" s="193"/>
      <c r="L180" s="201">
        <f>IF(geg!$G180=0,0,IF(geg!$G52="ja",0,ROUNDUP((geg!L55+geg!L57)/geg!$G180,0)))</f>
        <v>0</v>
      </c>
      <c r="M180" s="201">
        <f>IF(geg!$G180=0,0,IF(geg!$G52="ja",0,ROUNDUP((geg!M55+geg!M57)/geg!$G180,0)))</f>
        <v>0</v>
      </c>
      <c r="N180" s="201"/>
      <c r="O180" s="201">
        <f>IF(geg!$G180=0,0,IF(geg!$G52="ja",0,ROUNDUP((geg!O55+geg!O57)/geg!$G180,0)))</f>
        <v>0</v>
      </c>
      <c r="P180" s="201">
        <f>IF(geg!$G180=0,0,IF(geg!$G52="ja",0,ROUNDUP((geg!P55+geg!P57)/geg!$G180,0)))</f>
        <v>0</v>
      </c>
      <c r="Q180" s="201"/>
      <c r="R180" s="201">
        <f>IF(geg!$G180=0,0,IF(geg!$G52="ja",0,ROUNDUP((geg!R55+geg!R57)/geg!$G180,0)))</f>
        <v>0</v>
      </c>
      <c r="S180" s="201">
        <f>IF(geg!$G180=0,0,IF(geg!$G52="ja",0,ROUNDUP((geg!S55+geg!S57)/geg!$G180,0)))</f>
        <v>0</v>
      </c>
      <c r="T180" s="201"/>
      <c r="U180" s="201">
        <f>IF(geg!$G180=0,0,IF(geg!$G52="ja",0,ROUNDUP((geg!U55+geg!U57)/geg!$G180,0)))</f>
        <v>0</v>
      </c>
      <c r="V180" s="201">
        <f>IF(geg!$G180=0,0,IF(geg!$G52="ja",0,ROUNDUP((geg!V55+geg!V57)/geg!$G180,0)))</f>
        <v>0</v>
      </c>
      <c r="W180" s="191"/>
      <c r="X180" s="191"/>
    </row>
    <row r="181" spans="4:24" s="68" customFormat="1" ht="12" customHeight="1">
      <c r="D181" s="206" t="s">
        <v>654</v>
      </c>
      <c r="E181" s="207"/>
      <c r="F181" s="207"/>
      <c r="G181" s="208"/>
      <c r="H181" s="193"/>
      <c r="I181" s="209" t="e">
        <f>+I176+I179+I180</f>
        <v>#DIV/0!</v>
      </c>
      <c r="J181" s="209" t="e">
        <f>+J176+J179+J180</f>
        <v>#DIV/0!</v>
      </c>
      <c r="K181" s="191"/>
      <c r="L181" s="209" t="e">
        <f>+L176+L179+L180</f>
        <v>#DIV/0!</v>
      </c>
      <c r="M181" s="209" t="e">
        <f>+M176+M179+M180</f>
        <v>#DIV/0!</v>
      </c>
      <c r="N181" s="209"/>
      <c r="O181" s="209" t="e">
        <f>+O176+O179+O180</f>
        <v>#DIV/0!</v>
      </c>
      <c r="P181" s="209" t="e">
        <f>+P176+P179+P180</f>
        <v>#DIV/0!</v>
      </c>
      <c r="Q181" s="209"/>
      <c r="R181" s="209" t="e">
        <f>+R176+R179+R180</f>
        <v>#DIV/0!</v>
      </c>
      <c r="S181" s="209" t="e">
        <f>+S176+S179+S180</f>
        <v>#DIV/0!</v>
      </c>
      <c r="T181" s="209"/>
      <c r="U181" s="209" t="e">
        <f>+U176+U179+U180</f>
        <v>#DIV/0!</v>
      </c>
      <c r="V181" s="209" t="e">
        <f>+V176+V179+V180</f>
        <v>#DIV/0!</v>
      </c>
      <c r="W181" s="193"/>
      <c r="X181" s="193"/>
    </row>
    <row r="182" spans="4:24" s="68" customFormat="1" ht="12" customHeight="1">
      <c r="D182" s="200"/>
      <c r="E182" s="200"/>
      <c r="F182" s="200"/>
      <c r="G182" s="201"/>
      <c r="H182" s="193"/>
      <c r="I182" s="209"/>
      <c r="J182" s="209"/>
      <c r="K182" s="191"/>
      <c r="L182" s="209"/>
      <c r="M182" s="209"/>
      <c r="N182" s="209"/>
      <c r="O182" s="209"/>
      <c r="P182" s="209"/>
      <c r="Q182" s="209"/>
      <c r="R182" s="209"/>
      <c r="S182" s="209"/>
      <c r="T182" s="209"/>
      <c r="U182" s="209"/>
      <c r="V182" s="209"/>
      <c r="W182" s="193"/>
      <c r="X182" s="193"/>
    </row>
    <row r="183" spans="4:24" s="68" customFormat="1" ht="12" customHeight="1">
      <c r="D183" s="199" t="str">
        <f>+geg!D76</f>
        <v>VSO</v>
      </c>
      <c r="E183" s="200"/>
      <c r="F183" s="200"/>
      <c r="G183" s="201"/>
      <c r="H183" s="193"/>
      <c r="I183" s="201"/>
      <c r="J183" s="201"/>
      <c r="K183" s="193"/>
      <c r="L183" s="205"/>
      <c r="M183" s="201"/>
      <c r="N183" s="201"/>
      <c r="O183" s="201"/>
      <c r="P183" s="201"/>
      <c r="Q183" s="201"/>
      <c r="R183" s="201"/>
      <c r="S183" s="201"/>
      <c r="T183" s="201"/>
      <c r="U183" s="201"/>
      <c r="V183" s="201"/>
      <c r="W183" s="193"/>
      <c r="X183" s="193"/>
    </row>
    <row r="184" spans="4:24" s="68" customFormat="1" ht="12" customHeight="1">
      <c r="D184" s="203" t="s">
        <v>8</v>
      </c>
      <c r="E184" s="200"/>
      <c r="F184" s="200" t="str">
        <f>E76</f>
        <v>ZMOK</v>
      </c>
      <c r="G184" s="201">
        <f>IF(geg!D76="",0,VLOOKUP(geg!E76,grgr,IF(geg!D76="SO",2,3),FALSE))</f>
        <v>7</v>
      </c>
      <c r="H184" s="193"/>
      <c r="I184" s="204">
        <f>IF($G184=0,0,(geg!I79+geg!I81)/geg!$G184)</f>
        <v>30.428571428571427</v>
      </c>
      <c r="J184" s="204">
        <f>IF($G184=0,0,(geg!J79+geg!J81)/geg!$G184)</f>
        <v>30.428571428571427</v>
      </c>
      <c r="K184" s="193"/>
      <c r="L184" s="204">
        <f>IF($G184=0,0,(geg!L79+geg!L81)/geg!$G184)</f>
        <v>30.428571428571427</v>
      </c>
      <c r="M184" s="204">
        <f>IF(G184=0,0,(geg!M79+geg!M81)/geg!$G184)</f>
        <v>30.428571428571427</v>
      </c>
      <c r="N184" s="204"/>
      <c r="O184" s="204">
        <f>IF(G184=0,0,(geg!O79+geg!O81)/geg!$G184)</f>
        <v>30.428571428571427</v>
      </c>
      <c r="P184" s="204">
        <f>IF(G184=0,0,(geg!P79+geg!P81)/geg!$G184)</f>
        <v>30.428571428571427</v>
      </c>
      <c r="Q184" s="204"/>
      <c r="R184" s="204">
        <f>IF(G184=0,0,(geg!R79+geg!R81)/geg!$G184)</f>
        <v>30.428571428571427</v>
      </c>
      <c r="S184" s="204">
        <f>IF(G184=0,0,(geg!S79+geg!S81)/geg!$G184)</f>
        <v>30.428571428571427</v>
      </c>
      <c r="T184" s="204"/>
      <c r="U184" s="204">
        <f>IF(G184=0,0,(geg!U79+geg!U81)/geg!$G184)</f>
        <v>30.428571428571427</v>
      </c>
      <c r="V184" s="204">
        <f>IF(G184=0,0,(geg!V79+geg!V81)/geg!$G184)</f>
        <v>30.428571428571427</v>
      </c>
      <c r="W184" s="193"/>
      <c r="X184" s="193"/>
    </row>
    <row r="185" spans="4:24" s="68" customFormat="1" ht="12" customHeight="1">
      <c r="D185" s="200" t="s">
        <v>652</v>
      </c>
      <c r="E185" s="200"/>
      <c r="F185" s="200"/>
      <c r="G185" s="201"/>
      <c r="H185" s="193"/>
      <c r="I185" s="204">
        <f>IF($G184=0,0,(IF(AND(geg!$D90=geg!$D76,geg!$G90="ja"),geg!I93+geg!I95,0)+IF(AND(geg!$D107=geg!$D76,geg!$G107="ja"),geg!I110+geg!I112,0))/geg!$G184)</f>
        <v>0</v>
      </c>
      <c r="J185" s="204">
        <f>IF($G184=0,0,(IF(AND(geg!$D90=geg!$D76,geg!$G90="ja"),geg!J93+geg!J95,0)+IF(AND(geg!$D107=geg!$D76,geg!$G107="ja"),geg!J110+geg!J112,0))/geg!$G184)</f>
        <v>0</v>
      </c>
      <c r="K185" s="193"/>
      <c r="L185" s="204">
        <f>IF($G184=0,0,(IF(AND(geg!$D90=geg!$D76,geg!$G90="ja"),geg!L93+geg!L95,0)+IF(AND(geg!$D107=geg!$D76,geg!$G107="ja"),geg!L110+geg!L112,0))/geg!$G184)</f>
        <v>0</v>
      </c>
      <c r="M185" s="204">
        <f>IF(G184=0,0,(IF(AND(geg!$D90=geg!$D76,geg!$G90="ja"),geg!M93+geg!M95,0)+IF(AND(geg!$D107=geg!$D76,geg!$G107="ja"),geg!M110+geg!M112,0))/geg!$G184)</f>
        <v>0</v>
      </c>
      <c r="N185" s="204"/>
      <c r="O185" s="204">
        <f>IF(G184=0,0,(IF(AND(geg!$D90=geg!$D76,geg!$G90="ja"),geg!O93+geg!O95,0)+IF(AND(geg!$D107=geg!$D76,geg!$G107="ja"),geg!O110+geg!O112,0))/geg!$G184)</f>
        <v>0</v>
      </c>
      <c r="P185" s="204">
        <f>IF(G184=0,0,(IF(AND(geg!$D90=geg!$D76,geg!$G90="ja"),geg!P93+geg!P95,0)+IF(AND(geg!$D107=geg!$D76,geg!$G107="ja"),geg!P110+geg!P112,0))/geg!$G184)</f>
        <v>0</v>
      </c>
      <c r="Q185" s="204"/>
      <c r="R185" s="204">
        <f>IF(G184=0,0,(IF(AND(geg!$D90=geg!$D76,geg!$G90="ja"),geg!R93+geg!R95,0)+IF(AND(geg!$D107=geg!$D76,geg!$G107="ja"),geg!R110+geg!R112,0))/geg!$G184)</f>
        <v>0</v>
      </c>
      <c r="S185" s="204">
        <f>IF(G184=0,0,(IF(AND(geg!$D90=geg!$D76,geg!$G90="ja"),geg!S93+geg!S95,0)+IF(AND(geg!$D107=geg!$D76,geg!$G107="ja"),geg!S110+geg!S112,0))/geg!$G184)</f>
        <v>0</v>
      </c>
      <c r="T185" s="204"/>
      <c r="U185" s="204">
        <f>IF(G184=0,0,(IF(AND(geg!$D90=geg!$D76,geg!$G90="ja"),geg!U93+geg!U95,0)+IF(AND(geg!$D107=geg!$D76,geg!$G107="ja"),geg!U110+geg!U112,0))/geg!$G184)</f>
        <v>0</v>
      </c>
      <c r="V185" s="204">
        <f>IF(G184=0,0,(IF(AND(geg!$D90=geg!$D76,geg!$G90="ja"),geg!V93+geg!V95,0)+IF(AND(geg!$D107=geg!$D76,geg!$G107="ja"),geg!V110+geg!V112,0))/geg!$G184)</f>
        <v>0</v>
      </c>
      <c r="W185" s="193"/>
      <c r="X185" s="193"/>
    </row>
    <row r="186" spans="4:24" s="68" customFormat="1" ht="12" customHeight="1">
      <c r="D186" s="200" t="s">
        <v>133</v>
      </c>
      <c r="E186" s="200"/>
      <c r="F186" s="200"/>
      <c r="G186" s="201"/>
      <c r="H186" s="193"/>
      <c r="I186" s="205">
        <f>ROUNDUP((I184+I185),0)</f>
        <v>31</v>
      </c>
      <c r="J186" s="205">
        <f>ROUNDUP((J184+J185),0)</f>
        <v>31</v>
      </c>
      <c r="K186" s="193"/>
      <c r="L186" s="205">
        <f>ROUNDUP((L184+L185),0)</f>
        <v>31</v>
      </c>
      <c r="M186" s="205">
        <f>ROUNDUP((M184+M185),0)</f>
        <v>31</v>
      </c>
      <c r="N186" s="205"/>
      <c r="O186" s="205">
        <f>ROUNDUP((O184+O185),0)</f>
        <v>31</v>
      </c>
      <c r="P186" s="205">
        <f>ROUNDUP((P184+P185),0)</f>
        <v>31</v>
      </c>
      <c r="Q186" s="205"/>
      <c r="R186" s="205">
        <f>ROUNDUP((R184+R185),0)</f>
        <v>31</v>
      </c>
      <c r="S186" s="205">
        <f>ROUNDUP((S184+S185),0)</f>
        <v>31</v>
      </c>
      <c r="T186" s="205"/>
      <c r="U186" s="205">
        <f>ROUNDUP((U184+U185),0)</f>
        <v>31</v>
      </c>
      <c r="V186" s="205">
        <f>ROUNDUP((V184+V185),0)</f>
        <v>31</v>
      </c>
      <c r="W186" s="193"/>
      <c r="X186" s="193"/>
    </row>
    <row r="187" spans="4:24" s="68" customFormat="1" ht="12" customHeight="1">
      <c r="D187" s="200" t="s">
        <v>653</v>
      </c>
      <c r="E187" s="200"/>
      <c r="F187" s="200"/>
      <c r="G187" s="201"/>
      <c r="H187" s="193"/>
      <c r="I187" s="201">
        <f>IF(geg!$D90=geg!$D76,IF(MID(geg!$E90,1,2)="MG",I189,0),0)+IF(geg!$D107=geg!$D76,IF(MID(geg!$E107,1,2)="MG",I190,0),0)</f>
        <v>0</v>
      </c>
      <c r="J187" s="201">
        <f>IF(geg!$D90=geg!$D76,IF(MID(geg!$E90,1,2)="MG",J189,0),0)+IF(geg!$D107=geg!$D76,IF(MID(geg!$E107,1,2)="MG",J190,0),0)</f>
        <v>0</v>
      </c>
      <c r="K187" s="193"/>
      <c r="L187" s="201">
        <f>IF(geg!$D90=geg!$D76,IF(MID(geg!$E90,1,2)="MG",L189,0),0)+IF(geg!$D107=geg!$D76,IF(MID(geg!$E107,1,2)="MG",L190,0),0)</f>
        <v>0</v>
      </c>
      <c r="M187" s="201">
        <f>IF(geg!$D90=geg!$D76,IF(MID(geg!$E90,1,2)="MG",M189,0),0)+IF(geg!$D107=geg!$D76,IF(MID(geg!$E107,1,2)="MG",M190,0),0)</f>
        <v>0</v>
      </c>
      <c r="N187" s="201"/>
      <c r="O187" s="201">
        <f>IF(geg!$D90=geg!$D76,IF(MID(geg!$E90,1,2)="MG",O189,0),0)+IF(geg!$D107=geg!$D76,IF(MID(geg!$E107,1,2)="MG",O190,0),0)</f>
        <v>0</v>
      </c>
      <c r="P187" s="201">
        <f>IF(geg!$D90=geg!$D76,IF(MID(geg!$E90,1,2)="MG",P189,0),0)+IF(geg!$D107=geg!$D76,IF(MID(geg!$E107,1,2)="MG",P190,0),0)</f>
        <v>0</v>
      </c>
      <c r="Q187" s="201"/>
      <c r="R187" s="201">
        <f>IF(geg!$D90=geg!$D76,IF(MID(geg!$E90,1,2)="MG",R189,0),0)+IF(geg!$D107=geg!$D76,IF(MID(geg!$E107,1,2)="MG",R190,0),0)</f>
        <v>0</v>
      </c>
      <c r="S187" s="201">
        <f>IF(geg!$D90=geg!$D76,IF(MID(geg!$E90,1,2)="MG",S189,0),0)+IF(geg!$D107=geg!$D76,IF(MID(geg!$E107,1,2)="MG",S190,0),0)</f>
        <v>0</v>
      </c>
      <c r="T187" s="201"/>
      <c r="U187" s="201">
        <f>IF(geg!$D90=geg!$D76,IF(MID(geg!$E90,1,2)="MG",U189,0),0)+IF(geg!$D107=geg!$D76,IF(MID(geg!$E107,1,2)="MG",U190,0),0)</f>
        <v>0</v>
      </c>
      <c r="V187" s="201">
        <f>IF(geg!$D90=geg!$D76,IF(MID(geg!$E90,1,2)="MG",V189,0),0)+IF(geg!$D107=geg!$D76,IF(MID(geg!$E107,1,2)="MG",V190,0),0)</f>
        <v>0</v>
      </c>
      <c r="W187" s="193"/>
      <c r="X187" s="193"/>
    </row>
    <row r="188" spans="4:24" s="68" customFormat="1" ht="12" customHeight="1">
      <c r="D188" s="200" t="s">
        <v>654</v>
      </c>
      <c r="E188" s="200"/>
      <c r="F188" s="200"/>
      <c r="G188" s="201"/>
      <c r="H188" s="193"/>
      <c r="I188" s="205">
        <f>+I186</f>
        <v>31</v>
      </c>
      <c r="J188" s="205">
        <f>+J186</f>
        <v>31</v>
      </c>
      <c r="K188" s="193"/>
      <c r="L188" s="205">
        <f>+L186</f>
        <v>31</v>
      </c>
      <c r="M188" s="205">
        <f t="shared" ref="M188:V188" si="11">+M186</f>
        <v>31</v>
      </c>
      <c r="N188" s="205">
        <f t="shared" si="11"/>
        <v>0</v>
      </c>
      <c r="O188" s="205">
        <f t="shared" si="11"/>
        <v>31</v>
      </c>
      <c r="P188" s="205">
        <f t="shared" si="11"/>
        <v>31</v>
      </c>
      <c r="Q188" s="205"/>
      <c r="R188" s="205">
        <f t="shared" si="11"/>
        <v>31</v>
      </c>
      <c r="S188" s="205">
        <f t="shared" si="11"/>
        <v>31</v>
      </c>
      <c r="T188" s="205"/>
      <c r="U188" s="205">
        <f t="shared" si="11"/>
        <v>31</v>
      </c>
      <c r="V188" s="205">
        <f t="shared" si="11"/>
        <v>31</v>
      </c>
      <c r="W188" s="193"/>
      <c r="X188" s="193"/>
    </row>
    <row r="189" spans="4:24" s="76" customFormat="1" ht="12" customHeight="1">
      <c r="D189" s="203" t="s">
        <v>8</v>
      </c>
      <c r="E189" s="200"/>
      <c r="F189" s="200">
        <f>E90</f>
        <v>0</v>
      </c>
      <c r="G189" s="201">
        <f>IF(geg!D90="",0,VLOOKUP(geg!E90,grgr,IF(geg!D90="SO",2,3),FALSE))</f>
        <v>0</v>
      </c>
      <c r="H189" s="191"/>
      <c r="I189" s="201">
        <f>IF(geg!$G189=0,0,IF(geg!$G90="ja",0,ROUNDUP(((geg!I93+geg!I95))/geg!$G189,0)))</f>
        <v>0</v>
      </c>
      <c r="J189" s="201">
        <f>IF(geg!$G189=0,0,IF(geg!$G90="ja",0,ROUNDUP(((geg!J93+geg!J95))/geg!$G189,0)))</f>
        <v>0</v>
      </c>
      <c r="K189" s="193"/>
      <c r="L189" s="201">
        <f>IF(geg!$G189=0,0,IF(geg!$G90="ja",0,ROUNDUP(((geg!L93+geg!L95))/geg!$G189,0)))</f>
        <v>0</v>
      </c>
      <c r="M189" s="201">
        <f>IF(geg!$G189=0,0,IF(geg!$G90="ja",0,ROUNDUP(((geg!M93+geg!M95))/geg!$G189,0)))</f>
        <v>0</v>
      </c>
      <c r="N189" s="201"/>
      <c r="O189" s="201">
        <f>IF(geg!$G189=0,0,IF(geg!$G90="ja",0,ROUNDUP(((geg!O93+geg!O95))/geg!$G189,0)))</f>
        <v>0</v>
      </c>
      <c r="P189" s="201">
        <f>IF(geg!$G189=0,0,IF(geg!$G90="ja",0,ROUNDUP(((geg!P93+geg!P95))/geg!$G189,0)))</f>
        <v>0</v>
      </c>
      <c r="Q189" s="201"/>
      <c r="R189" s="201">
        <f>IF(geg!$G189=0,0,IF(geg!$G90="ja",0,ROUNDUP(((geg!R93+geg!R95))/geg!$G189,0)))</f>
        <v>0</v>
      </c>
      <c r="S189" s="201">
        <f>IF(geg!$G189=0,0,IF(geg!$G90="ja",0,ROUNDUP(((geg!S93+geg!S95))/geg!$G189,0)))</f>
        <v>0</v>
      </c>
      <c r="T189" s="201"/>
      <c r="U189" s="201">
        <f>IF(geg!$G189=0,0,IF(geg!$G90="ja",0,ROUNDUP(((geg!U93+geg!U95))/geg!$G189,0)))</f>
        <v>0</v>
      </c>
      <c r="V189" s="201">
        <f>IF(geg!$G189=0,0,IF(geg!$G90="ja",0,ROUNDUP(((geg!V93+geg!V95))/geg!$G189,0)))</f>
        <v>0</v>
      </c>
      <c r="W189" s="191"/>
      <c r="X189" s="191"/>
    </row>
    <row r="190" spans="4:24" s="68" customFormat="1" ht="12" customHeight="1">
      <c r="D190" s="203" t="s">
        <v>8</v>
      </c>
      <c r="E190" s="200"/>
      <c r="F190" s="200">
        <f>E107</f>
        <v>0</v>
      </c>
      <c r="G190" s="201">
        <f>IF(geg!D107="",0,VLOOKUP(geg!E107,grgr,IF(geg!D107="SO",2,3),FALSE))</f>
        <v>0</v>
      </c>
      <c r="H190" s="193"/>
      <c r="I190" s="201">
        <f>IF(geg!$G190=0,0,IF(geg!$G107="ja",0,ROUNDUP(((geg!I110+geg!I112))/geg!$G190,0)))</f>
        <v>0</v>
      </c>
      <c r="J190" s="201">
        <f>IF(geg!$G190=0,0,IF(geg!$G107="ja",0,ROUNDUP(((geg!J110+geg!J112))/geg!$G190,0)))</f>
        <v>0</v>
      </c>
      <c r="K190" s="193"/>
      <c r="L190" s="201">
        <f>IF(geg!$G190=0,0,IF(geg!$G107="ja",0,ROUNDUP(((geg!L110+geg!L112))/geg!$G190,0)))</f>
        <v>0</v>
      </c>
      <c r="M190" s="201">
        <f>IF(geg!$G190=0,0,IF(geg!$G107="ja",0,ROUNDUP(((geg!M110+geg!M112))/geg!$G190,0)))</f>
        <v>0</v>
      </c>
      <c r="N190" s="201"/>
      <c r="O190" s="201">
        <f>IF(geg!$G190=0,0,IF(geg!$G107="ja",0,ROUNDUP(((geg!O110+geg!O112))/geg!$G190,0)))</f>
        <v>0</v>
      </c>
      <c r="P190" s="201">
        <f>IF(geg!$G190=0,0,IF(geg!$G107="ja",0,ROUNDUP(((geg!P110+geg!P112))/geg!$G190,0)))</f>
        <v>0</v>
      </c>
      <c r="Q190" s="201"/>
      <c r="R190" s="201">
        <f>IF(geg!$G190=0,0,IF(geg!$G107="ja",0,ROUNDUP(((geg!R110+geg!R112))/geg!$G190,0)))</f>
        <v>0</v>
      </c>
      <c r="S190" s="201">
        <f>IF(geg!$G190=0,0,IF(geg!$G107="ja",0,ROUNDUP(((geg!S110+geg!S112))/geg!$G190,0)))</f>
        <v>0</v>
      </c>
      <c r="T190" s="201"/>
      <c r="U190" s="201">
        <f>IF(geg!$G190=0,0,IF(geg!$G107="ja",0,ROUNDUP(((geg!U110+geg!U112))/geg!$G190,0)))</f>
        <v>0</v>
      </c>
      <c r="V190" s="201">
        <f>IF(geg!$G190=0,0,IF(geg!$G107="ja",0,ROUNDUP(((geg!V110+geg!V112))/geg!$G190,0)))</f>
        <v>0</v>
      </c>
      <c r="W190" s="193"/>
      <c r="X190" s="193"/>
    </row>
    <row r="191" spans="4:24" s="68" customFormat="1" ht="12" customHeight="1">
      <c r="D191" s="206" t="s">
        <v>654</v>
      </c>
      <c r="E191" s="207"/>
      <c r="F191" s="207"/>
      <c r="G191" s="208"/>
      <c r="H191" s="193"/>
      <c r="I191" s="209">
        <f>+I186+I189+I190</f>
        <v>31</v>
      </c>
      <c r="J191" s="209">
        <f>+J186+J189+J190</f>
        <v>31</v>
      </c>
      <c r="K191" s="191"/>
      <c r="L191" s="209">
        <f>+L186+L189+L190</f>
        <v>31</v>
      </c>
      <c r="M191" s="209">
        <f>+M186+M189+M190</f>
        <v>31</v>
      </c>
      <c r="N191" s="208"/>
      <c r="O191" s="209">
        <f>+O186+O189+O190</f>
        <v>31</v>
      </c>
      <c r="P191" s="209">
        <f>+P186+P189+P190</f>
        <v>31</v>
      </c>
      <c r="Q191" s="208"/>
      <c r="R191" s="209">
        <f>+R186+R189+R190</f>
        <v>31</v>
      </c>
      <c r="S191" s="209">
        <f>+S186+S189+S190</f>
        <v>31</v>
      </c>
      <c r="T191" s="208"/>
      <c r="U191" s="209">
        <f>+U186+U189+U190</f>
        <v>31</v>
      </c>
      <c r="V191" s="209">
        <f>+V186+V189+V190</f>
        <v>31</v>
      </c>
      <c r="W191" s="193"/>
      <c r="X191" s="193"/>
    </row>
    <row r="192" spans="4:24" s="68" customFormat="1" ht="12" customHeight="1">
      <c r="D192" s="200"/>
      <c r="E192" s="200"/>
      <c r="F192" s="200"/>
      <c r="G192" s="201"/>
      <c r="H192" s="193"/>
      <c r="I192" s="201"/>
      <c r="J192" s="201"/>
      <c r="K192" s="193"/>
      <c r="L192" s="201"/>
      <c r="M192" s="201"/>
      <c r="N192" s="201"/>
      <c r="O192" s="201"/>
      <c r="P192" s="201"/>
      <c r="Q192" s="201"/>
      <c r="R192" s="201"/>
      <c r="S192" s="201"/>
      <c r="T192" s="201"/>
      <c r="U192" s="201"/>
      <c r="V192" s="201"/>
      <c r="W192" s="193"/>
      <c r="X192" s="193"/>
    </row>
    <row r="193" spans="4:24" s="68" customFormat="1" ht="12" customHeight="1">
      <c r="D193" s="200"/>
      <c r="E193" s="200"/>
      <c r="F193" s="200"/>
      <c r="G193" s="201"/>
      <c r="H193" s="193"/>
      <c r="I193" s="201"/>
      <c r="J193" s="201"/>
      <c r="K193" s="193"/>
      <c r="L193" s="201"/>
      <c r="M193" s="201"/>
      <c r="N193" s="201"/>
      <c r="O193" s="201"/>
      <c r="P193" s="201"/>
      <c r="Q193" s="201"/>
      <c r="R193" s="201"/>
      <c r="S193" s="201"/>
      <c r="T193" s="201"/>
      <c r="U193" s="201"/>
      <c r="V193" s="201"/>
      <c r="W193" s="193"/>
      <c r="X193" s="193"/>
    </row>
    <row r="194" spans="4:24" s="68" customFormat="1" ht="12" customHeight="1">
      <c r="D194" s="200">
        <f>D24</f>
        <v>0</v>
      </c>
      <c r="E194" s="200">
        <f>E24</f>
        <v>0</v>
      </c>
      <c r="F194" s="200"/>
      <c r="G194" s="201">
        <f>+geg!G174</f>
        <v>0</v>
      </c>
      <c r="H194" s="193"/>
      <c r="I194" s="205" t="e">
        <f>+geg!I176</f>
        <v>#DIV/0!</v>
      </c>
      <c r="J194" s="205" t="e">
        <f>+geg!J176</f>
        <v>#DIV/0!</v>
      </c>
      <c r="K194" s="193"/>
      <c r="L194" s="205" t="e">
        <f>+geg!L176</f>
        <v>#DIV/0!</v>
      </c>
      <c r="M194" s="205" t="e">
        <f>+geg!M176</f>
        <v>#DIV/0!</v>
      </c>
      <c r="N194" s="201"/>
      <c r="O194" s="205" t="e">
        <f>+geg!O176</f>
        <v>#DIV/0!</v>
      </c>
      <c r="P194" s="205" t="e">
        <f>+geg!P176</f>
        <v>#DIV/0!</v>
      </c>
      <c r="Q194" s="201"/>
      <c r="R194" s="205" t="e">
        <f>+geg!R176</f>
        <v>#DIV/0!</v>
      </c>
      <c r="S194" s="205" t="e">
        <f>+geg!S176</f>
        <v>#DIV/0!</v>
      </c>
      <c r="T194" s="201"/>
      <c r="U194" s="205" t="e">
        <f>+geg!U176</f>
        <v>#DIV/0!</v>
      </c>
      <c r="V194" s="205" t="e">
        <f>+geg!V176</f>
        <v>#DIV/0!</v>
      </c>
      <c r="W194" s="193"/>
      <c r="X194" s="193"/>
    </row>
    <row r="195" spans="4:24" s="68" customFormat="1" ht="12" customHeight="1">
      <c r="D195" s="200"/>
      <c r="E195" s="200">
        <f>E38</f>
        <v>0</v>
      </c>
      <c r="F195" s="200"/>
      <c r="G195" s="201">
        <f>+geg!G179</f>
        <v>0</v>
      </c>
      <c r="H195" s="193"/>
      <c r="I195" s="201">
        <f>+geg!I179</f>
        <v>0</v>
      </c>
      <c r="J195" s="201">
        <f>+geg!J179</f>
        <v>0</v>
      </c>
      <c r="K195" s="193"/>
      <c r="L195" s="201">
        <f>+geg!L179</f>
        <v>0</v>
      </c>
      <c r="M195" s="201">
        <f>+geg!M179</f>
        <v>0</v>
      </c>
      <c r="N195" s="201"/>
      <c r="O195" s="201">
        <f>+geg!O179</f>
        <v>0</v>
      </c>
      <c r="P195" s="201">
        <f>+geg!P179</f>
        <v>0</v>
      </c>
      <c r="Q195" s="201"/>
      <c r="R195" s="201">
        <f>+geg!R179</f>
        <v>0</v>
      </c>
      <c r="S195" s="201">
        <f>+geg!S179</f>
        <v>0</v>
      </c>
      <c r="T195" s="201"/>
      <c r="U195" s="201">
        <f>+geg!U179</f>
        <v>0</v>
      </c>
      <c r="V195" s="201">
        <f>+geg!V179</f>
        <v>0</v>
      </c>
      <c r="W195" s="193"/>
      <c r="X195" s="193"/>
    </row>
    <row r="196" spans="4:24" s="68" customFormat="1" ht="12" customHeight="1">
      <c r="D196" s="200"/>
      <c r="E196" s="200">
        <f>E52</f>
        <v>0</v>
      </c>
      <c r="F196" s="200"/>
      <c r="G196" s="201">
        <f>+geg!G180</f>
        <v>0</v>
      </c>
      <c r="H196" s="193"/>
      <c r="I196" s="201">
        <f>+geg!I180</f>
        <v>0</v>
      </c>
      <c r="J196" s="201">
        <f>+geg!J180</f>
        <v>0</v>
      </c>
      <c r="K196" s="193"/>
      <c r="L196" s="201">
        <f>+geg!L180</f>
        <v>0</v>
      </c>
      <c r="M196" s="201">
        <f>+geg!M180</f>
        <v>0</v>
      </c>
      <c r="N196" s="201"/>
      <c r="O196" s="201">
        <f>+geg!O180</f>
        <v>0</v>
      </c>
      <c r="P196" s="201">
        <f>+geg!P180</f>
        <v>0</v>
      </c>
      <c r="Q196" s="201"/>
      <c r="R196" s="201">
        <f>+geg!R180</f>
        <v>0</v>
      </c>
      <c r="S196" s="201">
        <f>+geg!S180</f>
        <v>0</v>
      </c>
      <c r="T196" s="201"/>
      <c r="U196" s="201">
        <f>+geg!U180</f>
        <v>0</v>
      </c>
      <c r="V196" s="201">
        <f>+geg!V180</f>
        <v>0</v>
      </c>
      <c r="W196" s="193"/>
      <c r="X196" s="193"/>
    </row>
    <row r="197" spans="4:24" s="68" customFormat="1" ht="12" customHeight="1">
      <c r="D197" s="200" t="str">
        <f>D76</f>
        <v>VSO</v>
      </c>
      <c r="E197" s="200" t="str">
        <f>E76</f>
        <v>ZMOK</v>
      </c>
      <c r="F197" s="200"/>
      <c r="G197" s="201">
        <f>+geg!G184</f>
        <v>7</v>
      </c>
      <c r="H197" s="193"/>
      <c r="I197" s="205">
        <f>+geg!I186</f>
        <v>31</v>
      </c>
      <c r="J197" s="205">
        <f>+geg!J186</f>
        <v>31</v>
      </c>
      <c r="K197" s="193"/>
      <c r="L197" s="205">
        <f>+geg!L186</f>
        <v>31</v>
      </c>
      <c r="M197" s="205">
        <f>+geg!M186</f>
        <v>31</v>
      </c>
      <c r="N197" s="201"/>
      <c r="O197" s="205">
        <f>+geg!O186</f>
        <v>31</v>
      </c>
      <c r="P197" s="205">
        <f>+geg!P186</f>
        <v>31</v>
      </c>
      <c r="Q197" s="201"/>
      <c r="R197" s="205">
        <f>+geg!R186</f>
        <v>31</v>
      </c>
      <c r="S197" s="205">
        <f>+geg!S186</f>
        <v>31</v>
      </c>
      <c r="T197" s="201"/>
      <c r="U197" s="205">
        <f>+geg!U186</f>
        <v>31</v>
      </c>
      <c r="V197" s="205">
        <f>+geg!V186</f>
        <v>31</v>
      </c>
      <c r="W197" s="193"/>
      <c r="X197" s="193"/>
    </row>
    <row r="198" spans="4:24" s="76" customFormat="1" ht="12" customHeight="1">
      <c r="D198" s="200"/>
      <c r="E198" s="200">
        <f>E90</f>
        <v>0</v>
      </c>
      <c r="F198" s="200"/>
      <c r="G198" s="201">
        <f>+geg!G189</f>
        <v>0</v>
      </c>
      <c r="H198" s="191"/>
      <c r="I198" s="201">
        <f>+geg!I189</f>
        <v>0</v>
      </c>
      <c r="J198" s="201">
        <f>+geg!J189</f>
        <v>0</v>
      </c>
      <c r="K198" s="193"/>
      <c r="L198" s="201">
        <f>+geg!L189</f>
        <v>0</v>
      </c>
      <c r="M198" s="201">
        <f>+geg!M189</f>
        <v>0</v>
      </c>
      <c r="N198" s="201"/>
      <c r="O198" s="201">
        <f>+geg!O189</f>
        <v>0</v>
      </c>
      <c r="P198" s="201">
        <f>+geg!P189</f>
        <v>0</v>
      </c>
      <c r="Q198" s="201"/>
      <c r="R198" s="201">
        <f>+geg!R189</f>
        <v>0</v>
      </c>
      <c r="S198" s="201">
        <f>+geg!S189</f>
        <v>0</v>
      </c>
      <c r="T198" s="201"/>
      <c r="U198" s="201">
        <f>+geg!U189</f>
        <v>0</v>
      </c>
      <c r="V198" s="201">
        <f>+geg!V189</f>
        <v>0</v>
      </c>
      <c r="W198" s="191"/>
      <c r="X198" s="191"/>
    </row>
    <row r="199" spans="4:24" s="68" customFormat="1" ht="12" customHeight="1">
      <c r="D199" s="200"/>
      <c r="E199" s="200">
        <f>E107</f>
        <v>0</v>
      </c>
      <c r="F199" s="200"/>
      <c r="G199" s="201">
        <f>+geg!G190</f>
        <v>0</v>
      </c>
      <c r="H199" s="193"/>
      <c r="I199" s="201">
        <f>+geg!I190</f>
        <v>0</v>
      </c>
      <c r="J199" s="201">
        <f>+geg!J190</f>
        <v>0</v>
      </c>
      <c r="K199" s="193"/>
      <c r="L199" s="201">
        <f>+geg!L190</f>
        <v>0</v>
      </c>
      <c r="M199" s="201">
        <f>+geg!M190</f>
        <v>0</v>
      </c>
      <c r="N199" s="201"/>
      <c r="O199" s="201">
        <f>+geg!O190</f>
        <v>0</v>
      </c>
      <c r="P199" s="201">
        <f>+geg!P190</f>
        <v>0</v>
      </c>
      <c r="Q199" s="201"/>
      <c r="R199" s="201">
        <f>+geg!R190</f>
        <v>0</v>
      </c>
      <c r="S199" s="201">
        <f>+geg!S190</f>
        <v>0</v>
      </c>
      <c r="T199" s="201"/>
      <c r="U199" s="201">
        <f>+geg!U190</f>
        <v>0</v>
      </c>
      <c r="V199" s="201">
        <f>+geg!V190</f>
        <v>0</v>
      </c>
      <c r="W199" s="193"/>
      <c r="X199" s="193"/>
    </row>
    <row r="200" spans="4:24" s="68" customFormat="1" ht="12" customHeight="1">
      <c r="D200" s="207" t="s">
        <v>582</v>
      </c>
      <c r="E200" s="207"/>
      <c r="F200" s="207"/>
      <c r="G200" s="192"/>
      <c r="H200" s="193"/>
      <c r="I200" s="209" t="e">
        <f>SUM(I194:I199)</f>
        <v>#DIV/0!</v>
      </c>
      <c r="J200" s="209" t="e">
        <f>SUM(J194:J199)</f>
        <v>#DIV/0!</v>
      </c>
      <c r="K200" s="191"/>
      <c r="L200" s="209" t="e">
        <f>SUM(L194:L199)</f>
        <v>#DIV/0!</v>
      </c>
      <c r="M200" s="209" t="e">
        <f>SUM(M194:M199)</f>
        <v>#DIV/0!</v>
      </c>
      <c r="N200" s="208"/>
      <c r="O200" s="209" t="e">
        <f>SUM(O194:O199)</f>
        <v>#DIV/0!</v>
      </c>
      <c r="P200" s="209" t="e">
        <f>SUM(P194:P199)</f>
        <v>#DIV/0!</v>
      </c>
      <c r="Q200" s="208"/>
      <c r="R200" s="209" t="e">
        <f>SUM(R194:R199)</f>
        <v>#DIV/0!</v>
      </c>
      <c r="S200" s="209" t="e">
        <f>SUM(S194:S199)</f>
        <v>#DIV/0!</v>
      </c>
      <c r="T200" s="208"/>
      <c r="U200" s="209" t="e">
        <f>SUM(U194:U199)</f>
        <v>#DIV/0!</v>
      </c>
      <c r="V200" s="209" t="e">
        <f>SUM(V194:V199)</f>
        <v>#DIV/0!</v>
      </c>
      <c r="W200" s="193"/>
      <c r="X200" s="193"/>
    </row>
    <row r="201" spans="4:24" s="68" customFormat="1" ht="12" customHeight="1">
      <c r="D201" s="191"/>
      <c r="E201" s="192"/>
      <c r="F201" s="193"/>
      <c r="G201" s="194"/>
      <c r="H201" s="193"/>
      <c r="I201" s="201"/>
      <c r="J201" s="201"/>
      <c r="K201" s="193"/>
      <c r="L201" s="201"/>
      <c r="M201" s="201"/>
      <c r="N201" s="201"/>
      <c r="O201" s="201"/>
      <c r="P201" s="201"/>
      <c r="Q201" s="201"/>
      <c r="R201" s="201"/>
      <c r="S201" s="201"/>
      <c r="T201" s="201"/>
      <c r="U201" s="201"/>
      <c r="V201" s="201"/>
      <c r="W201" s="193"/>
      <c r="X201" s="193"/>
    </row>
    <row r="202" spans="4:24" s="68" customFormat="1" ht="12" customHeight="1">
      <c r="D202" s="191"/>
      <c r="E202" s="192"/>
      <c r="F202" s="193"/>
      <c r="G202" s="194"/>
      <c r="H202" s="193"/>
      <c r="I202" s="201"/>
      <c r="J202" s="201"/>
      <c r="K202" s="193"/>
      <c r="L202" s="201"/>
      <c r="M202" s="201"/>
      <c r="N202" s="201"/>
      <c r="O202" s="201"/>
      <c r="P202" s="201"/>
      <c r="Q202" s="201"/>
      <c r="R202" s="201"/>
      <c r="S202" s="201"/>
      <c r="T202" s="201"/>
      <c r="U202" s="201"/>
      <c r="V202" s="201"/>
      <c r="W202" s="193"/>
      <c r="X202" s="193"/>
    </row>
    <row r="203" spans="4:24" s="68" customFormat="1" ht="12" customHeight="1">
      <c r="D203" s="191"/>
      <c r="E203" s="192"/>
      <c r="F203" s="193"/>
      <c r="G203" s="194"/>
      <c r="H203" s="193"/>
      <c r="I203" s="201"/>
      <c r="J203" s="201"/>
      <c r="K203" s="193"/>
      <c r="L203" s="201"/>
      <c r="M203" s="201"/>
      <c r="N203" s="201"/>
      <c r="O203" s="201"/>
      <c r="P203" s="201"/>
      <c r="Q203" s="201"/>
      <c r="R203" s="201"/>
      <c r="S203" s="201"/>
      <c r="T203" s="201"/>
      <c r="U203" s="201"/>
      <c r="V203" s="201"/>
      <c r="W203" s="193"/>
      <c r="X203" s="193"/>
    </row>
    <row r="204" spans="4:24" s="68" customFormat="1" ht="12" customHeight="1">
      <c r="D204" s="191"/>
      <c r="E204" s="192"/>
      <c r="F204" s="193"/>
      <c r="G204" s="194"/>
      <c r="H204" s="193"/>
      <c r="I204" s="201"/>
      <c r="J204" s="201"/>
      <c r="K204" s="193"/>
      <c r="L204" s="201"/>
      <c r="M204" s="201"/>
      <c r="N204" s="201"/>
      <c r="O204" s="201"/>
      <c r="P204" s="201"/>
      <c r="Q204" s="201"/>
      <c r="R204" s="201"/>
      <c r="S204" s="201"/>
      <c r="T204" s="201"/>
      <c r="U204" s="201"/>
      <c r="V204" s="201"/>
      <c r="W204" s="193"/>
      <c r="X204" s="193"/>
    </row>
    <row r="205" spans="4:24" s="68" customFormat="1" ht="12" customHeight="1">
      <c r="D205" s="191"/>
      <c r="E205" s="192"/>
      <c r="F205" s="193"/>
      <c r="G205" s="194"/>
      <c r="H205" s="193"/>
      <c r="I205" s="201"/>
      <c r="J205" s="201"/>
      <c r="K205" s="193"/>
      <c r="L205" s="201"/>
      <c r="M205" s="201"/>
      <c r="N205" s="201"/>
      <c r="O205" s="201"/>
      <c r="P205" s="201"/>
      <c r="Q205" s="201"/>
      <c r="R205" s="201"/>
      <c r="S205" s="201"/>
      <c r="T205" s="201"/>
      <c r="U205" s="201"/>
      <c r="V205" s="201"/>
      <c r="W205" s="193"/>
      <c r="X205" s="193"/>
    </row>
    <row r="206" spans="4:24" s="68" customFormat="1" ht="12" customHeight="1">
      <c r="D206" s="191"/>
      <c r="E206" s="192"/>
      <c r="F206" s="193"/>
      <c r="G206" s="194"/>
      <c r="H206" s="193"/>
      <c r="I206" s="201"/>
      <c r="J206" s="201"/>
      <c r="K206" s="193"/>
      <c r="L206" s="201"/>
      <c r="M206" s="201"/>
      <c r="N206" s="201"/>
      <c r="O206" s="201"/>
      <c r="P206" s="201"/>
      <c r="Q206" s="201"/>
      <c r="R206" s="201"/>
      <c r="S206" s="201"/>
      <c r="T206" s="201"/>
      <c r="U206" s="201"/>
      <c r="V206" s="201"/>
      <c r="W206" s="193"/>
      <c r="X206" s="193"/>
    </row>
    <row r="207" spans="4:24" s="68" customFormat="1" ht="12" customHeight="1">
      <c r="D207" s="210" t="s">
        <v>194</v>
      </c>
      <c r="E207" s="192"/>
      <c r="F207" s="210" t="s">
        <v>103</v>
      </c>
      <c r="G207" s="210">
        <f>VLOOKUP(I16,grgr,2,FALSE)</f>
        <v>12</v>
      </c>
      <c r="H207" s="193"/>
      <c r="I207" s="210" t="s">
        <v>103</v>
      </c>
      <c r="J207" s="210" t="s">
        <v>105</v>
      </c>
      <c r="K207" s="193"/>
      <c r="L207" s="210" t="s">
        <v>120</v>
      </c>
      <c r="M207" s="210" t="s">
        <v>105</v>
      </c>
      <c r="N207" s="201"/>
      <c r="O207" s="201"/>
      <c r="P207" s="201"/>
      <c r="Q207" s="201"/>
      <c r="R207" s="201"/>
      <c r="S207" s="201"/>
      <c r="T207" s="201"/>
      <c r="U207" s="201"/>
      <c r="V207" s="201"/>
      <c r="W207" s="193"/>
      <c r="X207" s="193"/>
    </row>
    <row r="208" spans="4:24" s="68" customFormat="1" ht="12" customHeight="1">
      <c r="D208" s="210" t="s">
        <v>195</v>
      </c>
      <c r="E208" s="192"/>
      <c r="F208" s="210" t="s">
        <v>120</v>
      </c>
      <c r="G208" s="210">
        <f>VLOOKUP(I16,grgr,3,FALSE)</f>
        <v>7</v>
      </c>
      <c r="H208" s="193"/>
      <c r="I208" s="210"/>
      <c r="J208" s="210" t="s">
        <v>106</v>
      </c>
      <c r="K208" s="193"/>
      <c r="L208" s="210"/>
      <c r="M208" s="210" t="s">
        <v>106</v>
      </c>
      <c r="N208" s="201"/>
      <c r="O208" s="201"/>
      <c r="P208" s="201"/>
      <c r="Q208" s="201"/>
      <c r="R208" s="201"/>
      <c r="S208" s="201"/>
      <c r="T208" s="201"/>
      <c r="U208" s="201"/>
      <c r="V208" s="201"/>
      <c r="W208" s="193"/>
      <c r="X208" s="193"/>
    </row>
    <row r="209" spans="4:24" s="68" customFormat="1">
      <c r="D209" s="191"/>
      <c r="E209" s="192"/>
      <c r="F209" s="210" t="s">
        <v>159</v>
      </c>
      <c r="G209" s="210"/>
      <c r="H209" s="193"/>
      <c r="I209" s="210"/>
      <c r="J209" s="211" t="s">
        <v>107</v>
      </c>
      <c r="K209" s="193"/>
      <c r="L209" s="210"/>
      <c r="M209" s="211" t="s">
        <v>107</v>
      </c>
      <c r="N209" s="201"/>
      <c r="O209" s="201"/>
      <c r="P209" s="201"/>
      <c r="Q209" s="201"/>
      <c r="R209" s="201"/>
      <c r="S209" s="201"/>
      <c r="T209" s="201"/>
      <c r="U209" s="201"/>
      <c r="V209" s="201"/>
      <c r="W209" s="193"/>
      <c r="X209" s="193"/>
    </row>
    <row r="210" spans="4:24" s="68" customFormat="1">
      <c r="D210" s="191"/>
      <c r="E210" s="192"/>
      <c r="F210" s="193"/>
      <c r="G210" s="194"/>
      <c r="H210" s="193"/>
      <c r="I210" s="210"/>
      <c r="J210" s="211" t="s">
        <v>108</v>
      </c>
      <c r="K210" s="193"/>
      <c r="L210" s="210"/>
      <c r="M210" s="211" t="s">
        <v>108</v>
      </c>
      <c r="N210" s="201"/>
      <c r="O210" s="201"/>
      <c r="P210" s="201"/>
      <c r="Q210" s="201"/>
      <c r="R210" s="201"/>
      <c r="S210" s="201"/>
      <c r="T210" s="201"/>
      <c r="U210" s="201"/>
      <c r="V210" s="201"/>
      <c r="W210" s="193"/>
      <c r="X210" s="193"/>
    </row>
    <row r="211" spans="4:24">
      <c r="D211" s="193"/>
      <c r="E211" s="193"/>
      <c r="F211" s="193"/>
      <c r="G211" s="193"/>
      <c r="H211" s="210"/>
      <c r="I211" s="210"/>
      <c r="J211" s="211" t="s">
        <v>109</v>
      </c>
      <c r="K211" s="193"/>
      <c r="L211" s="210"/>
      <c r="M211" s="211" t="s">
        <v>110</v>
      </c>
      <c r="N211" s="193"/>
      <c r="O211" s="193"/>
      <c r="P211" s="193"/>
      <c r="Q211" s="193"/>
      <c r="R211" s="193"/>
      <c r="S211" s="193"/>
      <c r="T211" s="193"/>
      <c r="U211" s="193"/>
      <c r="V211" s="193"/>
      <c r="W211" s="210"/>
      <c r="X211" s="210"/>
    </row>
    <row r="212" spans="4:24">
      <c r="D212" s="193"/>
      <c r="E212" s="193"/>
      <c r="F212" s="193"/>
      <c r="G212" s="193"/>
      <c r="H212" s="210"/>
      <c r="I212" s="210"/>
      <c r="J212" s="211" t="s">
        <v>110</v>
      </c>
      <c r="K212" s="193"/>
      <c r="L212" s="210"/>
      <c r="M212" s="211" t="s">
        <v>111</v>
      </c>
      <c r="N212" s="193"/>
      <c r="O212" s="193"/>
      <c r="P212" s="193"/>
      <c r="Q212" s="193"/>
      <c r="R212" s="193"/>
      <c r="S212" s="193"/>
      <c r="T212" s="193"/>
      <c r="U212" s="193"/>
      <c r="V212" s="193"/>
      <c r="W212" s="210"/>
      <c r="X212" s="210"/>
    </row>
    <row r="213" spans="4:24">
      <c r="D213" s="210"/>
      <c r="E213" s="210"/>
      <c r="F213" s="210"/>
      <c r="G213" s="210"/>
      <c r="H213" s="210"/>
      <c r="I213" s="210"/>
      <c r="J213" s="211" t="s">
        <v>111</v>
      </c>
      <c r="K213" s="210"/>
      <c r="L213" s="210"/>
      <c r="M213" s="211" t="s">
        <v>112</v>
      </c>
      <c r="N213" s="210"/>
      <c r="O213" s="210"/>
      <c r="P213" s="210"/>
      <c r="Q213" s="210"/>
      <c r="R213" s="210"/>
      <c r="S213" s="210"/>
      <c r="T213" s="210"/>
      <c r="U213" s="210"/>
      <c r="V213" s="210"/>
      <c r="W213" s="210"/>
      <c r="X213" s="210"/>
    </row>
    <row r="214" spans="4:24">
      <c r="D214" s="210"/>
      <c r="E214" s="210"/>
      <c r="F214" s="210"/>
      <c r="G214" s="210"/>
      <c r="H214" s="210"/>
      <c r="I214" s="210"/>
      <c r="J214" s="211" t="s">
        <v>112</v>
      </c>
      <c r="K214" s="210"/>
      <c r="L214" s="210"/>
      <c r="M214" s="211" t="s">
        <v>113</v>
      </c>
      <c r="N214" s="210"/>
      <c r="O214" s="210"/>
      <c r="P214" s="210"/>
      <c r="Q214" s="210"/>
      <c r="R214" s="210"/>
      <c r="S214" s="210"/>
      <c r="T214" s="210"/>
      <c r="U214" s="210"/>
      <c r="V214" s="210"/>
      <c r="W214" s="210"/>
      <c r="X214" s="210"/>
    </row>
    <row r="215" spans="4:24">
      <c r="D215" s="210"/>
      <c r="E215" s="210"/>
      <c r="F215" s="210"/>
      <c r="G215" s="210"/>
      <c r="H215" s="210"/>
      <c r="I215" s="210"/>
      <c r="J215" s="211" t="s">
        <v>113</v>
      </c>
      <c r="K215" s="210"/>
      <c r="L215" s="210"/>
      <c r="M215" s="211" t="s">
        <v>114</v>
      </c>
      <c r="N215" s="210"/>
      <c r="O215" s="210"/>
      <c r="P215" s="210"/>
      <c r="Q215" s="210"/>
      <c r="R215" s="210"/>
      <c r="S215" s="210"/>
      <c r="T215" s="210"/>
      <c r="U215" s="210"/>
      <c r="V215" s="210"/>
      <c r="W215" s="210"/>
      <c r="X215" s="210"/>
    </row>
    <row r="216" spans="4:24">
      <c r="D216" s="210"/>
      <c r="E216" s="210"/>
      <c r="F216" s="210"/>
      <c r="G216" s="210"/>
      <c r="H216" s="210"/>
      <c r="I216" s="210"/>
      <c r="J216" s="211" t="s">
        <v>114</v>
      </c>
      <c r="K216" s="210"/>
      <c r="L216" s="210"/>
      <c r="M216" s="211" t="s">
        <v>115</v>
      </c>
      <c r="N216" s="210"/>
      <c r="O216" s="210"/>
      <c r="P216" s="210"/>
      <c r="Q216" s="210"/>
      <c r="R216" s="210"/>
      <c r="S216" s="210"/>
      <c r="T216" s="210"/>
      <c r="U216" s="210"/>
      <c r="V216" s="210"/>
      <c r="W216" s="210"/>
      <c r="X216" s="210"/>
    </row>
    <row r="217" spans="4:24">
      <c r="D217" s="210"/>
      <c r="E217" s="210"/>
      <c r="F217" s="210"/>
      <c r="G217" s="210"/>
      <c r="H217" s="210"/>
      <c r="I217" s="210"/>
      <c r="J217" s="211" t="s">
        <v>115</v>
      </c>
      <c r="K217" s="210"/>
      <c r="L217" s="210"/>
      <c r="M217" s="211" t="s">
        <v>116</v>
      </c>
      <c r="N217" s="210"/>
      <c r="O217" s="210"/>
      <c r="P217" s="210"/>
      <c r="Q217" s="210"/>
      <c r="R217" s="210"/>
      <c r="S217" s="210"/>
      <c r="T217" s="210"/>
      <c r="U217" s="210"/>
      <c r="V217" s="210"/>
      <c r="W217" s="210"/>
      <c r="X217" s="210"/>
    </row>
    <row r="218" spans="4:24">
      <c r="D218" s="210"/>
      <c r="E218" s="210"/>
      <c r="F218" s="210"/>
      <c r="G218" s="210"/>
      <c r="H218" s="210"/>
      <c r="I218" s="210"/>
      <c r="J218" s="211" t="s">
        <v>116</v>
      </c>
      <c r="K218" s="210"/>
      <c r="L218" s="210"/>
      <c r="M218" s="211" t="s">
        <v>117</v>
      </c>
      <c r="N218" s="210"/>
      <c r="O218" s="210"/>
      <c r="P218" s="210"/>
      <c r="Q218" s="210"/>
      <c r="R218" s="210"/>
      <c r="S218" s="210"/>
      <c r="T218" s="210"/>
      <c r="U218" s="210"/>
      <c r="V218" s="210"/>
      <c r="W218" s="210"/>
      <c r="X218" s="210"/>
    </row>
    <row r="219" spans="4:24">
      <c r="D219" s="210"/>
      <c r="E219" s="210"/>
      <c r="F219" s="210"/>
      <c r="G219" s="210"/>
      <c r="H219" s="210"/>
      <c r="I219" s="210"/>
      <c r="J219" s="211" t="s">
        <v>117</v>
      </c>
      <c r="K219" s="210"/>
      <c r="L219" s="210"/>
      <c r="M219" s="211" t="s">
        <v>118</v>
      </c>
      <c r="N219" s="210"/>
      <c r="O219" s="210"/>
      <c r="P219" s="210"/>
      <c r="Q219" s="210"/>
      <c r="R219" s="210"/>
      <c r="S219" s="210"/>
      <c r="T219" s="210"/>
      <c r="U219" s="210"/>
      <c r="V219" s="210"/>
      <c r="W219" s="210"/>
      <c r="X219" s="210"/>
    </row>
    <row r="220" spans="4:24">
      <c r="D220" s="210"/>
      <c r="E220" s="210"/>
      <c r="F220" s="210"/>
      <c r="G220" s="210"/>
      <c r="H220" s="210"/>
      <c r="I220" s="210"/>
      <c r="J220" s="211" t="s">
        <v>118</v>
      </c>
      <c r="K220" s="210"/>
      <c r="L220" s="210"/>
      <c r="M220" s="211" t="s">
        <v>119</v>
      </c>
      <c r="N220" s="210"/>
      <c r="O220" s="210"/>
      <c r="P220" s="210"/>
      <c r="Q220" s="210"/>
      <c r="R220" s="210"/>
      <c r="S220" s="210"/>
      <c r="T220" s="210"/>
      <c r="U220" s="210"/>
      <c r="V220" s="210"/>
      <c r="W220" s="210"/>
      <c r="X220" s="210"/>
    </row>
    <row r="221" spans="4:24">
      <c r="D221" s="210"/>
      <c r="E221" s="210"/>
      <c r="F221" s="210"/>
      <c r="G221" s="210"/>
      <c r="H221" s="210"/>
      <c r="I221" s="210"/>
      <c r="J221" s="211" t="s">
        <v>119</v>
      </c>
      <c r="K221" s="210"/>
      <c r="L221" s="210"/>
      <c r="M221" s="210"/>
      <c r="N221" s="210"/>
      <c r="O221" s="210"/>
      <c r="P221" s="210"/>
      <c r="Q221" s="210"/>
      <c r="R221" s="210"/>
      <c r="S221" s="210"/>
      <c r="T221" s="210"/>
      <c r="U221" s="210"/>
      <c r="V221" s="210"/>
      <c r="W221" s="210"/>
      <c r="X221" s="210"/>
    </row>
    <row r="222" spans="4:24">
      <c r="I222" s="65"/>
      <c r="J222" s="65"/>
      <c r="L222" s="65"/>
      <c r="M222" s="65"/>
      <c r="N222" s="65"/>
      <c r="O222" s="65"/>
      <c r="P222" s="65"/>
      <c r="Q222" s="65"/>
      <c r="R222" s="65"/>
      <c r="S222" s="65"/>
      <c r="T222" s="65"/>
      <c r="U222" s="65"/>
      <c r="V222" s="65"/>
    </row>
    <row r="223" spans="4:24">
      <c r="I223" s="65"/>
      <c r="J223" s="65"/>
      <c r="L223" s="65"/>
      <c r="M223" s="65"/>
      <c r="N223" s="65"/>
      <c r="O223" s="65"/>
      <c r="P223" s="65"/>
      <c r="Q223" s="65"/>
      <c r="R223" s="65"/>
      <c r="S223" s="65"/>
      <c r="T223" s="65"/>
      <c r="U223" s="65"/>
      <c r="V223" s="65"/>
    </row>
    <row r="224" spans="4:24">
      <c r="I224" s="65"/>
      <c r="J224" s="65"/>
      <c r="L224" s="65"/>
      <c r="M224" s="65"/>
      <c r="N224" s="65"/>
      <c r="O224" s="65"/>
      <c r="P224" s="65"/>
      <c r="Q224" s="65"/>
      <c r="R224" s="65"/>
      <c r="S224" s="65"/>
      <c r="T224" s="65"/>
      <c r="U224" s="65"/>
      <c r="V224" s="65"/>
    </row>
    <row r="225" spans="9:22">
      <c r="I225" s="65"/>
      <c r="J225" s="65"/>
      <c r="L225" s="65"/>
      <c r="M225" s="65"/>
      <c r="N225" s="65"/>
      <c r="O225" s="65"/>
      <c r="P225" s="65"/>
      <c r="Q225" s="65"/>
      <c r="R225" s="65"/>
      <c r="S225" s="65"/>
      <c r="T225" s="65"/>
      <c r="U225" s="65"/>
      <c r="V225" s="65"/>
    </row>
    <row r="226" spans="9:22">
      <c r="I226" s="65"/>
      <c r="J226" s="65"/>
      <c r="L226" s="65"/>
      <c r="M226" s="65"/>
      <c r="N226" s="65"/>
      <c r="O226" s="65"/>
      <c r="P226" s="65"/>
      <c r="Q226" s="65"/>
      <c r="R226" s="65"/>
      <c r="S226" s="65"/>
      <c r="T226" s="65"/>
      <c r="U226" s="65"/>
      <c r="V226" s="65"/>
    </row>
    <row r="227" spans="9:22">
      <c r="I227" s="65"/>
      <c r="J227" s="65"/>
      <c r="L227" s="65"/>
      <c r="M227" s="65"/>
      <c r="N227" s="65"/>
      <c r="O227" s="65"/>
      <c r="P227" s="65"/>
      <c r="Q227" s="65"/>
      <c r="R227" s="65"/>
      <c r="S227" s="65"/>
      <c r="T227" s="65"/>
      <c r="U227" s="65"/>
      <c r="V227" s="65"/>
    </row>
    <row r="228" spans="9:22">
      <c r="I228" s="65"/>
      <c r="J228" s="65"/>
      <c r="L228" s="65"/>
      <c r="M228" s="65"/>
      <c r="N228" s="65"/>
      <c r="O228" s="65"/>
      <c r="P228" s="65"/>
      <c r="Q228" s="65"/>
      <c r="R228" s="65"/>
      <c r="S228" s="65"/>
      <c r="T228" s="65"/>
      <c r="U228" s="65"/>
      <c r="V228" s="65"/>
    </row>
    <row r="229" spans="9:22">
      <c r="I229" s="65"/>
      <c r="J229" s="65"/>
      <c r="L229" s="65"/>
      <c r="M229" s="65"/>
      <c r="N229" s="65"/>
      <c r="O229" s="65"/>
      <c r="P229" s="65"/>
      <c r="Q229" s="65"/>
      <c r="R229" s="65"/>
      <c r="S229" s="65"/>
      <c r="T229" s="65"/>
      <c r="U229" s="65"/>
      <c r="V229" s="65"/>
    </row>
    <row r="230" spans="9:22">
      <c r="I230" s="65"/>
      <c r="J230" s="65"/>
      <c r="L230" s="65"/>
      <c r="M230" s="65"/>
      <c r="N230" s="65"/>
      <c r="O230" s="65"/>
      <c r="P230" s="65"/>
      <c r="Q230" s="65"/>
      <c r="R230" s="65"/>
      <c r="S230" s="65"/>
      <c r="T230" s="65"/>
      <c r="U230" s="65"/>
      <c r="V230" s="65"/>
    </row>
    <row r="231" spans="9:22">
      <c r="I231" s="65"/>
      <c r="J231" s="65"/>
      <c r="L231" s="65"/>
      <c r="M231" s="65"/>
      <c r="N231" s="65"/>
      <c r="O231" s="65"/>
      <c r="P231" s="65"/>
      <c r="Q231" s="65"/>
      <c r="R231" s="65"/>
      <c r="S231" s="65"/>
      <c r="T231" s="65"/>
      <c r="U231" s="65"/>
      <c r="V231" s="65"/>
    </row>
    <row r="232" spans="9:22">
      <c r="I232" s="65"/>
      <c r="J232" s="65"/>
      <c r="L232" s="65"/>
      <c r="M232" s="65"/>
      <c r="N232" s="65"/>
      <c r="O232" s="65"/>
      <c r="P232" s="65"/>
      <c r="Q232" s="65"/>
      <c r="R232" s="65"/>
      <c r="S232" s="65"/>
      <c r="T232" s="65"/>
      <c r="U232" s="65"/>
      <c r="V232" s="65"/>
    </row>
    <row r="233" spans="9:22">
      <c r="I233" s="65"/>
      <c r="J233" s="65"/>
      <c r="L233" s="65"/>
      <c r="M233" s="65"/>
      <c r="N233" s="65"/>
      <c r="O233" s="65"/>
      <c r="P233" s="65"/>
      <c r="Q233" s="65"/>
      <c r="R233" s="65"/>
      <c r="S233" s="65"/>
      <c r="T233" s="65"/>
      <c r="U233" s="65"/>
      <c r="V233" s="65"/>
    </row>
    <row r="234" spans="9:22">
      <c r="I234" s="65"/>
      <c r="J234" s="65"/>
      <c r="L234" s="65"/>
      <c r="M234" s="65"/>
      <c r="N234" s="65"/>
      <c r="O234" s="65"/>
      <c r="P234" s="65"/>
      <c r="Q234" s="65"/>
      <c r="R234" s="65"/>
      <c r="S234" s="65"/>
      <c r="T234" s="65"/>
      <c r="U234" s="65"/>
      <c r="V234" s="65"/>
    </row>
    <row r="235" spans="9:22">
      <c r="I235" s="65"/>
      <c r="J235" s="65"/>
      <c r="L235" s="65"/>
      <c r="M235" s="65"/>
      <c r="N235" s="65"/>
      <c r="O235" s="65"/>
      <c r="P235" s="65"/>
      <c r="Q235" s="65"/>
      <c r="R235" s="65"/>
      <c r="S235" s="65"/>
      <c r="T235" s="65"/>
      <c r="U235" s="65"/>
      <c r="V235" s="65"/>
    </row>
    <row r="236" spans="9:22">
      <c r="I236" s="65"/>
      <c r="J236" s="65"/>
      <c r="L236" s="65"/>
      <c r="M236" s="65"/>
      <c r="N236" s="65"/>
      <c r="O236" s="65"/>
      <c r="P236" s="65"/>
      <c r="Q236" s="65"/>
      <c r="R236" s="65"/>
      <c r="S236" s="65"/>
      <c r="T236" s="65"/>
      <c r="U236" s="65"/>
      <c r="V236" s="65"/>
    </row>
    <row r="237" spans="9:22">
      <c r="I237" s="65"/>
      <c r="J237" s="65"/>
      <c r="L237" s="65"/>
      <c r="M237" s="65"/>
      <c r="N237" s="65"/>
      <c r="O237" s="65"/>
      <c r="P237" s="65"/>
      <c r="Q237" s="65"/>
      <c r="R237" s="65"/>
      <c r="S237" s="65"/>
      <c r="T237" s="65"/>
      <c r="U237" s="65"/>
      <c r="V237" s="65"/>
    </row>
    <row r="238" spans="9:22">
      <c r="I238" s="65"/>
      <c r="J238" s="65"/>
      <c r="L238" s="65"/>
      <c r="M238" s="65"/>
      <c r="N238" s="65"/>
      <c r="O238" s="65"/>
      <c r="P238" s="65"/>
      <c r="Q238" s="65"/>
      <c r="R238" s="65"/>
      <c r="S238" s="65"/>
      <c r="T238" s="65"/>
      <c r="U238" s="65"/>
      <c r="V238" s="65"/>
    </row>
    <row r="239" spans="9:22">
      <c r="I239" s="65"/>
      <c r="J239" s="65"/>
      <c r="L239" s="65"/>
      <c r="M239" s="65"/>
      <c r="N239" s="65"/>
      <c r="O239" s="65"/>
      <c r="P239" s="65"/>
      <c r="Q239" s="65"/>
      <c r="R239" s="65"/>
      <c r="S239" s="65"/>
      <c r="T239" s="65"/>
      <c r="U239" s="65"/>
      <c r="V239" s="65"/>
    </row>
    <row r="240" spans="9:22">
      <c r="I240" s="65"/>
      <c r="J240" s="65"/>
      <c r="L240" s="65"/>
      <c r="M240" s="65"/>
      <c r="N240" s="65"/>
      <c r="O240" s="65"/>
      <c r="P240" s="65"/>
      <c r="Q240" s="65"/>
      <c r="R240" s="65"/>
      <c r="S240" s="65"/>
      <c r="T240" s="65"/>
      <c r="U240" s="65"/>
      <c r="V240" s="65"/>
    </row>
    <row r="241" spans="9:22">
      <c r="I241" s="65"/>
      <c r="J241" s="65"/>
      <c r="L241" s="65"/>
      <c r="M241" s="65"/>
      <c r="N241" s="65"/>
      <c r="O241" s="65"/>
      <c r="P241" s="65"/>
      <c r="Q241" s="65"/>
      <c r="R241" s="65"/>
      <c r="S241" s="65"/>
      <c r="T241" s="65"/>
      <c r="U241" s="65"/>
      <c r="V241" s="65"/>
    </row>
    <row r="242" spans="9:22">
      <c r="I242" s="65"/>
      <c r="J242" s="65"/>
      <c r="L242" s="65"/>
      <c r="M242" s="65"/>
      <c r="N242" s="65"/>
      <c r="O242" s="65"/>
      <c r="P242" s="65"/>
      <c r="Q242" s="65"/>
      <c r="R242" s="65"/>
      <c r="S242" s="65"/>
      <c r="T242" s="65"/>
      <c r="U242" s="65"/>
      <c r="V242" s="65"/>
    </row>
    <row r="243" spans="9:22">
      <c r="I243" s="65"/>
      <c r="J243" s="65"/>
      <c r="L243" s="65"/>
      <c r="M243" s="65"/>
      <c r="N243" s="65"/>
      <c r="O243" s="65"/>
      <c r="P243" s="65"/>
      <c r="Q243" s="65"/>
      <c r="R243" s="65"/>
      <c r="S243" s="65"/>
      <c r="T243" s="65"/>
      <c r="U243" s="65"/>
      <c r="V243" s="65"/>
    </row>
    <row r="244" spans="9:22">
      <c r="I244" s="65"/>
      <c r="J244" s="65"/>
      <c r="L244" s="65"/>
      <c r="M244" s="65"/>
      <c r="N244" s="65"/>
      <c r="O244" s="65"/>
      <c r="P244" s="65"/>
      <c r="Q244" s="65"/>
      <c r="R244" s="65"/>
      <c r="S244" s="65"/>
      <c r="T244" s="65"/>
      <c r="U244" s="65"/>
      <c r="V244" s="65"/>
    </row>
    <row r="245" spans="9:22">
      <c r="I245" s="65"/>
      <c r="J245" s="65"/>
      <c r="L245" s="65"/>
      <c r="M245" s="65"/>
      <c r="N245" s="65"/>
      <c r="O245" s="65"/>
      <c r="P245" s="65"/>
      <c r="Q245" s="65"/>
      <c r="R245" s="65"/>
      <c r="S245" s="65"/>
      <c r="T245" s="65"/>
      <c r="U245" s="65"/>
      <c r="V245" s="65"/>
    </row>
    <row r="246" spans="9:22">
      <c r="I246" s="65"/>
      <c r="J246" s="65"/>
      <c r="L246" s="65"/>
      <c r="M246" s="65"/>
      <c r="N246" s="65"/>
      <c r="O246" s="65"/>
      <c r="P246" s="65"/>
      <c r="Q246" s="65"/>
      <c r="R246" s="65"/>
      <c r="S246" s="65"/>
      <c r="T246" s="65"/>
      <c r="U246" s="65"/>
      <c r="V246" s="65"/>
    </row>
    <row r="247" spans="9:22">
      <c r="I247" s="65"/>
      <c r="J247" s="65"/>
      <c r="L247" s="65"/>
      <c r="M247" s="65"/>
      <c r="N247" s="65"/>
      <c r="O247" s="65"/>
      <c r="P247" s="65"/>
      <c r="Q247" s="65"/>
      <c r="R247" s="65"/>
      <c r="S247" s="65"/>
      <c r="T247" s="65"/>
      <c r="U247" s="65"/>
      <c r="V247" s="65"/>
    </row>
    <row r="248" spans="9:22">
      <c r="I248" s="65"/>
      <c r="J248" s="65"/>
      <c r="L248" s="65"/>
      <c r="M248" s="65"/>
      <c r="N248" s="65"/>
      <c r="O248" s="65"/>
      <c r="P248" s="65"/>
      <c r="Q248" s="65"/>
      <c r="R248" s="65"/>
      <c r="S248" s="65"/>
      <c r="T248" s="65"/>
      <c r="U248" s="65"/>
      <c r="V248" s="65"/>
    </row>
    <row r="249" spans="9:22">
      <c r="I249" s="65"/>
      <c r="J249" s="65"/>
      <c r="L249" s="65"/>
      <c r="M249" s="65"/>
      <c r="N249" s="65"/>
      <c r="O249" s="65"/>
      <c r="P249" s="65"/>
      <c r="Q249" s="65"/>
      <c r="R249" s="65"/>
      <c r="S249" s="65"/>
      <c r="T249" s="65"/>
      <c r="U249" s="65"/>
      <c r="V249" s="65"/>
    </row>
    <row r="250" spans="9:22">
      <c r="I250" s="65"/>
      <c r="J250" s="65"/>
      <c r="L250" s="65"/>
      <c r="M250" s="65"/>
      <c r="N250" s="65"/>
      <c r="O250" s="65"/>
      <c r="P250" s="65"/>
      <c r="Q250" s="65"/>
      <c r="R250" s="65"/>
      <c r="S250" s="65"/>
      <c r="T250" s="65"/>
      <c r="U250" s="65"/>
      <c r="V250" s="65"/>
    </row>
    <row r="251" spans="9:22">
      <c r="I251" s="65"/>
      <c r="J251" s="65"/>
      <c r="L251" s="65"/>
      <c r="M251" s="65"/>
      <c r="N251" s="65"/>
      <c r="O251" s="65"/>
      <c r="P251" s="65"/>
      <c r="Q251" s="65"/>
      <c r="R251" s="65"/>
      <c r="S251" s="65"/>
      <c r="T251" s="65"/>
      <c r="U251" s="65"/>
      <c r="V251" s="65"/>
    </row>
    <row r="252" spans="9:22">
      <c r="I252" s="65"/>
      <c r="J252" s="65"/>
      <c r="L252" s="65"/>
      <c r="M252" s="65"/>
      <c r="N252" s="65"/>
      <c r="O252" s="65"/>
      <c r="P252" s="65"/>
      <c r="Q252" s="65"/>
      <c r="R252" s="65"/>
      <c r="S252" s="65"/>
      <c r="T252" s="65"/>
      <c r="U252" s="65"/>
      <c r="V252" s="65"/>
    </row>
    <row r="253" spans="9:22">
      <c r="I253" s="65"/>
      <c r="J253" s="65"/>
      <c r="L253" s="65"/>
      <c r="M253" s="65"/>
      <c r="N253" s="65"/>
      <c r="O253" s="65"/>
      <c r="P253" s="65"/>
      <c r="Q253" s="65"/>
      <c r="R253" s="65"/>
      <c r="S253" s="65"/>
      <c r="T253" s="65"/>
      <c r="U253" s="65"/>
      <c r="V253" s="65"/>
    </row>
    <row r="254" spans="9:22">
      <c r="I254" s="65"/>
      <c r="J254" s="65"/>
      <c r="L254" s="65"/>
      <c r="M254" s="65"/>
      <c r="N254" s="65"/>
      <c r="O254" s="65"/>
      <c r="P254" s="65"/>
      <c r="Q254" s="65"/>
      <c r="R254" s="65"/>
      <c r="S254" s="65"/>
      <c r="T254" s="65"/>
      <c r="U254" s="65"/>
      <c r="V254" s="65"/>
    </row>
    <row r="255" spans="9:22">
      <c r="I255" s="65"/>
      <c r="J255" s="65"/>
      <c r="L255" s="65"/>
      <c r="M255" s="65"/>
      <c r="N255" s="65"/>
      <c r="O255" s="65"/>
      <c r="P255" s="65"/>
      <c r="Q255" s="65"/>
      <c r="R255" s="65"/>
      <c r="S255" s="65"/>
      <c r="T255" s="65"/>
      <c r="U255" s="65"/>
      <c r="V255" s="65"/>
    </row>
    <row r="256" spans="9:22">
      <c r="I256" s="65"/>
      <c r="J256" s="65"/>
      <c r="L256" s="65"/>
      <c r="M256" s="65"/>
      <c r="N256" s="65"/>
      <c r="O256" s="65"/>
      <c r="P256" s="65"/>
      <c r="Q256" s="65"/>
      <c r="R256" s="65"/>
      <c r="S256" s="65"/>
      <c r="T256" s="65"/>
      <c r="U256" s="65"/>
      <c r="V256" s="65"/>
    </row>
    <row r="257" spans="9:22">
      <c r="I257" s="65"/>
      <c r="J257" s="65"/>
      <c r="L257" s="65"/>
      <c r="M257" s="65"/>
      <c r="N257" s="65"/>
      <c r="O257" s="65"/>
      <c r="P257" s="65"/>
      <c r="Q257" s="65"/>
      <c r="R257" s="65"/>
      <c r="S257" s="65"/>
      <c r="T257" s="65"/>
      <c r="U257" s="65"/>
      <c r="V257" s="65"/>
    </row>
    <row r="258" spans="9:22">
      <c r="I258" s="65"/>
      <c r="J258" s="65"/>
      <c r="L258" s="65"/>
      <c r="M258" s="65"/>
      <c r="N258" s="65"/>
      <c r="O258" s="65"/>
      <c r="P258" s="65"/>
      <c r="Q258" s="65"/>
      <c r="R258" s="65"/>
      <c r="S258" s="65"/>
      <c r="T258" s="65"/>
      <c r="U258" s="65"/>
      <c r="V258" s="65"/>
    </row>
    <row r="259" spans="9:22">
      <c r="I259" s="65"/>
      <c r="J259" s="65"/>
      <c r="L259" s="65"/>
      <c r="M259" s="65"/>
      <c r="N259" s="65"/>
      <c r="O259" s="65"/>
      <c r="P259" s="65"/>
      <c r="Q259" s="65"/>
      <c r="R259" s="65"/>
      <c r="S259" s="65"/>
      <c r="T259" s="65"/>
      <c r="U259" s="65"/>
      <c r="V259" s="65"/>
    </row>
    <row r="260" spans="9:22">
      <c r="I260" s="65"/>
      <c r="J260" s="65"/>
      <c r="L260" s="65"/>
      <c r="M260" s="65"/>
      <c r="N260" s="65"/>
      <c r="O260" s="65"/>
      <c r="P260" s="65"/>
      <c r="Q260" s="65"/>
      <c r="R260" s="65"/>
      <c r="S260" s="65"/>
      <c r="T260" s="65"/>
      <c r="U260" s="65"/>
      <c r="V260" s="65"/>
    </row>
    <row r="261" spans="9:22">
      <c r="I261" s="65"/>
      <c r="J261" s="65"/>
      <c r="L261" s="65"/>
      <c r="M261" s="65"/>
      <c r="N261" s="65"/>
      <c r="O261" s="65"/>
      <c r="P261" s="65"/>
      <c r="Q261" s="65"/>
      <c r="R261" s="65"/>
      <c r="S261" s="65"/>
      <c r="T261" s="65"/>
      <c r="U261" s="65"/>
      <c r="V261" s="65"/>
    </row>
    <row r="262" spans="9:22">
      <c r="I262" s="65"/>
      <c r="J262" s="65"/>
      <c r="L262" s="65"/>
      <c r="M262" s="65"/>
      <c r="N262" s="65"/>
      <c r="O262" s="65"/>
      <c r="P262" s="65"/>
      <c r="Q262" s="65"/>
      <c r="R262" s="65"/>
      <c r="S262" s="65"/>
      <c r="T262" s="65"/>
      <c r="U262" s="65"/>
      <c r="V262" s="65"/>
    </row>
    <row r="263" spans="9:22">
      <c r="I263" s="65"/>
      <c r="J263" s="65"/>
      <c r="L263" s="65"/>
      <c r="M263" s="65"/>
      <c r="N263" s="65"/>
      <c r="O263" s="65"/>
      <c r="P263" s="65"/>
      <c r="Q263" s="65"/>
      <c r="R263" s="65"/>
      <c r="S263" s="65"/>
      <c r="T263" s="65"/>
      <c r="U263" s="65"/>
      <c r="V263" s="65"/>
    </row>
    <row r="264" spans="9:22">
      <c r="I264" s="65"/>
      <c r="J264" s="65"/>
      <c r="L264" s="65"/>
      <c r="M264" s="65"/>
      <c r="N264" s="65"/>
      <c r="O264" s="65"/>
      <c r="P264" s="65"/>
      <c r="Q264" s="65"/>
      <c r="R264" s="65"/>
      <c r="S264" s="65"/>
      <c r="T264" s="65"/>
      <c r="U264" s="65"/>
      <c r="V264" s="65"/>
    </row>
    <row r="265" spans="9:22">
      <c r="I265" s="65"/>
      <c r="J265" s="65"/>
      <c r="L265" s="65"/>
      <c r="M265" s="65"/>
      <c r="N265" s="65"/>
      <c r="O265" s="65"/>
      <c r="P265" s="65"/>
      <c r="Q265" s="65"/>
      <c r="R265" s="65"/>
      <c r="S265" s="65"/>
      <c r="T265" s="65"/>
      <c r="U265" s="65"/>
      <c r="V265" s="65"/>
    </row>
    <row r="266" spans="9:22">
      <c r="I266" s="65"/>
      <c r="J266" s="65"/>
      <c r="L266" s="65"/>
      <c r="M266" s="65"/>
      <c r="N266" s="65"/>
      <c r="O266" s="65"/>
      <c r="P266" s="65"/>
      <c r="Q266" s="65"/>
      <c r="R266" s="65"/>
      <c r="S266" s="65"/>
      <c r="T266" s="65"/>
      <c r="U266" s="65"/>
      <c r="V266" s="65"/>
    </row>
    <row r="267" spans="9:22">
      <c r="I267" s="65"/>
      <c r="J267" s="65"/>
      <c r="L267" s="65"/>
      <c r="M267" s="65"/>
      <c r="N267" s="65"/>
      <c r="O267" s="65"/>
      <c r="P267" s="65"/>
      <c r="Q267" s="65"/>
      <c r="R267" s="65"/>
      <c r="S267" s="65"/>
      <c r="T267" s="65"/>
      <c r="U267" s="65"/>
      <c r="V267" s="65"/>
    </row>
    <row r="268" spans="9:22">
      <c r="I268" s="65"/>
      <c r="J268" s="65"/>
      <c r="L268" s="65"/>
      <c r="M268" s="65"/>
      <c r="N268" s="65"/>
      <c r="O268" s="65"/>
      <c r="P268" s="65"/>
      <c r="Q268" s="65"/>
      <c r="R268" s="65"/>
      <c r="S268" s="65"/>
      <c r="T268" s="65"/>
      <c r="U268" s="65"/>
      <c r="V268" s="65"/>
    </row>
    <row r="269" spans="9:22">
      <c r="I269" s="65"/>
      <c r="J269" s="65"/>
      <c r="L269" s="65"/>
      <c r="M269" s="65"/>
      <c r="N269" s="65"/>
      <c r="O269" s="65"/>
      <c r="P269" s="65"/>
      <c r="Q269" s="65"/>
      <c r="R269" s="65"/>
      <c r="S269" s="65"/>
      <c r="T269" s="65"/>
      <c r="U269" s="65"/>
      <c r="V269" s="65"/>
    </row>
    <row r="270" spans="9:22">
      <c r="M270" s="65"/>
    </row>
  </sheetData>
  <sheetProtection password="DFB1" sheet="1" objects="1" scenarios="1"/>
  <mergeCells count="20">
    <mergeCell ref="I124:J124"/>
    <mergeCell ref="L124:M124"/>
    <mergeCell ref="O124:P124"/>
    <mergeCell ref="R124:S124"/>
    <mergeCell ref="U124:V124"/>
    <mergeCell ref="I69:J69"/>
    <mergeCell ref="L69:M69"/>
    <mergeCell ref="O69:P69"/>
    <mergeCell ref="R69:S69"/>
    <mergeCell ref="U69:V69"/>
    <mergeCell ref="I8:J8"/>
    <mergeCell ref="L8:M8"/>
    <mergeCell ref="U8:V8"/>
    <mergeCell ref="O8:P8"/>
    <mergeCell ref="R8:S8"/>
    <mergeCell ref="U170:V170"/>
    <mergeCell ref="I170:J170"/>
    <mergeCell ref="L170:M170"/>
    <mergeCell ref="O170:P170"/>
    <mergeCell ref="R170:S170"/>
  </mergeCells>
  <phoneticPr fontId="0" type="noConversion"/>
  <dataValidations count="6">
    <dataValidation type="list" allowBlank="1" showInputMessage="1" showErrorMessage="1" sqref="G107 G90 G52 G38">
      <formula1>"ja,nee"</formula1>
    </dataValidation>
    <dataValidation allowBlank="1" showErrorMessage="1" prompt="VSO: dan geen leerlingen jonger dan 8 jaar!" sqref="I108:J109 R109:S109 O109:P109 V109 L108:V108 O111:O114 L109:M109 I115:I116 I111:J114 O92:P92 O78:P78 I84:I85 I94:J97 L78:M78 I80:J83 I77:J78 L92:M92 O94:O97 L91:V91 V92 O80:O83 R92:S92 V78 L77:V77 R78:S78 L94:L99 I98:I99 I91:J92 I25:J26 L28:L33 R40:S40 O54:P54 O40:P40 M25:V25 I28:I33 R26:S26 V40 M40 O26:P26 R54:S54 V54 L53:V53 M39:V39 J28:J31 L39:L40 I39:J40 L54:M54 I56:I61 I42:I47 V26 I53:J54 M26 L25:L26 J42:J45"/>
    <dataValidation type="list" allowBlank="1" showInputMessage="1" showErrorMessage="1" sqref="E107 I16 E24 E52 E38 E90 E76">
      <formula1>$J$209:$J$221</formula1>
    </dataValidation>
    <dataValidation type="list" allowBlank="1" showInputMessage="1" showErrorMessage="1" sqref="D107 D76 D90">
      <formula1>$L$206:$L$207</formula1>
    </dataValidation>
    <dataValidation type="list" allowBlank="1" showInputMessage="1" showErrorMessage="1" sqref="D52 D24 D38">
      <formula1>$I$207:$I$208</formula1>
    </dataValidation>
    <dataValidation type="list" allowBlank="1" showInputMessage="1" showErrorMessage="1" sqref="I15">
      <formula1>"SO,VSO,SOVSO"</formula1>
    </dataValidation>
  </dataValidations>
  <pageMargins left="0.74803149606299213" right="0.74803149606299213" top="0.98425196850393704" bottom="0.98425196850393704" header="0.51181102362204722" footer="0.51181102362204722"/>
  <pageSetup paperSize="9" scale="58" orientation="landscape" r:id="rId1"/>
  <headerFooter alignWithMargins="0">
    <oddHeader>&amp;L&amp;"Arial,Vet"&amp;F&amp;R&amp;"Arial,Vet"&amp;A</oddHeader>
    <oddFooter>&amp;L&amp;"Arial,Vet"PO-Raad&amp;C&amp;"Arial,Vet"&amp;D&amp;R&amp;"Arial,Vet"pagina &amp;P</oddFooter>
  </headerFooter>
  <rowBreaks count="2" manualBreakCount="2">
    <brk id="65" min="1" max="23" man="1"/>
    <brk id="120" min="1" max="23" man="1"/>
  </rowBreaks>
  <drawing r:id="rId2"/>
  <legacyDrawing r:id="rId3"/>
</worksheet>
</file>

<file path=xl/worksheets/sheet20.xml><?xml version="1.0" encoding="utf-8"?>
<worksheet xmlns="http://schemas.openxmlformats.org/spreadsheetml/2006/main" xmlns:r="http://schemas.openxmlformats.org/officeDocument/2006/relationships">
  <dimension ref="B2:K102"/>
  <sheetViews>
    <sheetView topLeftCell="A73" zoomScale="85" zoomScaleNormal="85" workbookViewId="0">
      <selection activeCell="E93" sqref="E93"/>
    </sheetView>
  </sheetViews>
  <sheetFormatPr defaultColWidth="3.7109375" defaultRowHeight="12.75"/>
  <cols>
    <col min="1" max="1" width="3.7109375" style="997"/>
    <col min="2" max="3" width="2.7109375" style="997" customWidth="1"/>
    <col min="4" max="4" width="20.7109375" style="997" customWidth="1"/>
    <col min="5" max="5" width="10.85546875" style="997" customWidth="1"/>
    <col min="6" max="6" width="2.7109375" style="997" customWidth="1"/>
    <col min="7" max="9" width="14.7109375" style="1017" customWidth="1"/>
    <col min="10" max="11" width="2.7109375" style="997" customWidth="1"/>
    <col min="12" max="36" width="12.85546875" style="997" customWidth="1"/>
    <col min="37" max="16384" width="3.7109375" style="997"/>
  </cols>
  <sheetData>
    <row r="2" spans="2:11">
      <c r="B2" s="993"/>
      <c r="C2" s="994"/>
      <c r="D2" s="994"/>
      <c r="E2" s="994"/>
      <c r="F2" s="994"/>
      <c r="G2" s="995"/>
      <c r="H2" s="995"/>
      <c r="I2" s="995"/>
      <c r="J2" s="994"/>
      <c r="K2" s="996"/>
    </row>
    <row r="3" spans="2:11">
      <c r="B3" s="998"/>
      <c r="C3" s="999"/>
      <c r="D3" s="999"/>
      <c r="E3" s="999"/>
      <c r="F3" s="999"/>
      <c r="G3" s="1000"/>
      <c r="H3" s="1000"/>
      <c r="I3" s="1000"/>
      <c r="J3" s="999"/>
      <c r="K3" s="1001"/>
    </row>
    <row r="4" spans="2:11" s="1006" customFormat="1" ht="18.75">
      <c r="B4" s="1002"/>
      <c r="C4" s="1003" t="s">
        <v>805</v>
      </c>
      <c r="D4" s="1003"/>
      <c r="E4" s="1003"/>
      <c r="F4" s="1003"/>
      <c r="G4" s="1004"/>
      <c r="H4" s="1004"/>
      <c r="I4" s="1004"/>
      <c r="J4" s="1003"/>
      <c r="K4" s="1005"/>
    </row>
    <row r="5" spans="2:11" ht="15.75">
      <c r="B5" s="998"/>
      <c r="C5" s="1007" t="str">
        <f>geg!$I$12</f>
        <v>De speciale school</v>
      </c>
      <c r="D5" s="999"/>
      <c r="E5" s="999"/>
      <c r="F5" s="999"/>
      <c r="G5" s="1000"/>
      <c r="H5" s="1000"/>
      <c r="I5" s="1000"/>
      <c r="J5" s="999"/>
      <c r="K5" s="1001"/>
    </row>
    <row r="6" spans="2:11">
      <c r="B6" s="998"/>
      <c r="C6" s="999"/>
      <c r="D6" s="999"/>
      <c r="E6" s="999"/>
      <c r="F6" s="999"/>
      <c r="G6" s="1000"/>
      <c r="H6" s="1000"/>
      <c r="I6" s="1000"/>
      <c r="J6" s="999"/>
      <c r="K6" s="1001"/>
    </row>
    <row r="7" spans="2:11">
      <c r="B7" s="998"/>
      <c r="C7" s="999"/>
      <c r="D7" s="999"/>
      <c r="E7" s="999"/>
      <c r="F7" s="999"/>
      <c r="G7" s="1000"/>
      <c r="H7" s="1000"/>
      <c r="I7" s="1000"/>
      <c r="J7" s="999"/>
      <c r="K7" s="1001"/>
    </row>
    <row r="8" spans="2:11">
      <c r="B8" s="998"/>
      <c r="C8" s="999"/>
      <c r="D8" s="999"/>
      <c r="E8" s="999"/>
      <c r="F8" s="999"/>
      <c r="G8" s="1000"/>
      <c r="H8" s="1000"/>
      <c r="I8" s="1000"/>
      <c r="J8" s="999"/>
      <c r="K8" s="1001"/>
    </row>
    <row r="9" spans="2:11">
      <c r="B9" s="998"/>
      <c r="C9" s="999"/>
      <c r="D9" s="999"/>
      <c r="E9" s="999"/>
      <c r="F9" s="999"/>
      <c r="G9" s="1008" t="str">
        <f>tab!F2</f>
        <v>2014/15</v>
      </c>
      <c r="H9" s="1008" t="str">
        <f>tab!G2</f>
        <v>2015/16</v>
      </c>
      <c r="I9" s="1008" t="str">
        <f>tab!H2</f>
        <v>2016/17</v>
      </c>
      <c r="J9" s="999"/>
      <c r="K9" s="1001"/>
    </row>
    <row r="10" spans="2:11">
      <c r="B10" s="998"/>
      <c r="C10" s="999"/>
      <c r="D10" s="999"/>
      <c r="E10" s="999"/>
      <c r="F10" s="999"/>
      <c r="G10" s="1061">
        <f>tab!F3</f>
        <v>41548</v>
      </c>
      <c r="H10" s="1061">
        <f>tab!G3</f>
        <v>41913</v>
      </c>
      <c r="I10" s="1061">
        <f>tab!H3</f>
        <v>42278</v>
      </c>
      <c r="J10" s="999"/>
      <c r="K10" s="1001"/>
    </row>
    <row r="11" spans="2:11">
      <c r="B11" s="998"/>
      <c r="C11" s="999"/>
      <c r="D11" s="999"/>
      <c r="E11" s="999"/>
      <c r="F11" s="999"/>
      <c r="G11" s="1000"/>
      <c r="H11" s="1000"/>
      <c r="I11" s="1000"/>
      <c r="J11" s="999"/>
      <c r="K11" s="1001"/>
    </row>
    <row r="12" spans="2:11">
      <c r="B12" s="998"/>
      <c r="C12" s="1009"/>
      <c r="D12" s="1009"/>
      <c r="E12" s="1009"/>
      <c r="F12" s="1009"/>
      <c r="G12" s="1010"/>
      <c r="H12" s="1010"/>
      <c r="I12" s="1010"/>
      <c r="J12" s="1009"/>
      <c r="K12" s="1001"/>
    </row>
    <row r="13" spans="2:11">
      <c r="B13" s="998"/>
      <c r="C13" s="1009"/>
      <c r="D13" s="155" t="s">
        <v>246</v>
      </c>
      <c r="E13" s="1009"/>
      <c r="F13" s="1009"/>
      <c r="G13" s="1011" t="str">
        <f>geg!I15</f>
        <v>VSO</v>
      </c>
      <c r="H13" s="1010"/>
      <c r="I13" s="1010"/>
      <c r="J13" s="1009"/>
      <c r="K13" s="1001"/>
    </row>
    <row r="14" spans="2:11">
      <c r="B14" s="998"/>
      <c r="C14" s="1009"/>
      <c r="D14" s="156" t="s">
        <v>200</v>
      </c>
      <c r="E14" s="1009"/>
      <c r="F14" s="1009"/>
      <c r="G14" s="1011" t="str">
        <f>geg!I16</f>
        <v>ZMOK</v>
      </c>
      <c r="H14" s="1010"/>
      <c r="I14" s="1010"/>
      <c r="J14" s="1009"/>
      <c r="K14" s="1001"/>
    </row>
    <row r="15" spans="2:11">
      <c r="B15" s="998"/>
      <c r="C15" s="1009"/>
      <c r="D15" s="156" t="s">
        <v>179</v>
      </c>
      <c r="E15" s="1009"/>
      <c r="F15" s="1009"/>
      <c r="G15" s="1011">
        <f>geg!I17</f>
        <v>7</v>
      </c>
      <c r="H15" s="1010"/>
      <c r="I15" s="1010"/>
      <c r="J15" s="1009"/>
      <c r="K15" s="1001"/>
    </row>
    <row r="16" spans="2:11">
      <c r="B16" s="998"/>
      <c r="C16" s="1009"/>
      <c r="D16" s="1009"/>
      <c r="E16" s="1009"/>
      <c r="F16" s="1009"/>
      <c r="G16" s="1010"/>
      <c r="H16" s="1010"/>
      <c r="I16" s="1010"/>
      <c r="J16" s="1009"/>
      <c r="K16" s="1001"/>
    </row>
    <row r="17" spans="2:11">
      <c r="B17" s="998"/>
      <c r="C17" s="999"/>
      <c r="D17" s="999"/>
      <c r="E17" s="999"/>
      <c r="F17" s="999"/>
      <c r="G17" s="1000"/>
      <c r="H17" s="1000"/>
      <c r="I17" s="1000"/>
      <c r="J17" s="999"/>
      <c r="K17" s="1001"/>
    </row>
    <row r="18" spans="2:11">
      <c r="B18" s="998"/>
      <c r="C18" s="1009"/>
      <c r="D18" s="1009"/>
      <c r="E18" s="1009"/>
      <c r="F18" s="1009"/>
      <c r="G18" s="1060"/>
      <c r="H18" s="1010"/>
      <c r="I18" s="1010"/>
      <c r="J18" s="1009"/>
      <c r="K18" s="1001"/>
    </row>
    <row r="19" spans="2:11">
      <c r="B19" s="998"/>
      <c r="C19" s="1009"/>
      <c r="D19" s="1009" t="s">
        <v>178</v>
      </c>
      <c r="E19" s="1009"/>
      <c r="F19" s="1009"/>
      <c r="G19" s="1028">
        <v>42.11</v>
      </c>
      <c r="H19" s="1028">
        <f>G19</f>
        <v>42.11</v>
      </c>
      <c r="I19" s="1028">
        <f>H19</f>
        <v>42.11</v>
      </c>
      <c r="J19" s="1009"/>
      <c r="K19" s="1001"/>
    </row>
    <row r="20" spans="2:11">
      <c r="B20" s="998"/>
      <c r="C20" s="1009"/>
      <c r="D20" s="1009"/>
      <c r="E20" s="1009"/>
      <c r="F20" s="1009"/>
      <c r="G20" s="1010"/>
      <c r="H20" s="1010"/>
      <c r="I20" s="1010"/>
      <c r="J20" s="1009"/>
      <c r="K20" s="1001"/>
    </row>
    <row r="21" spans="2:11">
      <c r="B21" s="998"/>
      <c r="C21" s="1009"/>
      <c r="D21" s="133" t="s">
        <v>813</v>
      </c>
      <c r="E21" s="150" t="s">
        <v>811</v>
      </c>
      <c r="F21" s="1009"/>
      <c r="G21" s="1028">
        <v>0</v>
      </c>
      <c r="H21" s="1028">
        <f>G21</f>
        <v>0</v>
      </c>
      <c r="I21" s="1028">
        <f>H21</f>
        <v>0</v>
      </c>
      <c r="J21" s="1009"/>
      <c r="K21" s="1001"/>
    </row>
    <row r="22" spans="2:11">
      <c r="B22" s="998"/>
      <c r="C22" s="1009"/>
      <c r="D22" s="133" t="s">
        <v>815</v>
      </c>
      <c r="E22" s="150" t="s">
        <v>811</v>
      </c>
      <c r="F22" s="1009"/>
      <c r="G22" s="1028">
        <v>0</v>
      </c>
      <c r="H22" s="1028">
        <f t="shared" ref="H22:I23" si="0">G22</f>
        <v>0</v>
      </c>
      <c r="I22" s="1028">
        <f t="shared" si="0"/>
        <v>0</v>
      </c>
      <c r="J22" s="1009"/>
      <c r="K22" s="1001"/>
    </row>
    <row r="23" spans="2:11">
      <c r="B23" s="998"/>
      <c r="C23" s="1009"/>
      <c r="D23" s="133" t="s">
        <v>814</v>
      </c>
      <c r="E23" s="150" t="s">
        <v>811</v>
      </c>
      <c r="F23" s="1009"/>
      <c r="G23" s="1028">
        <v>0</v>
      </c>
      <c r="H23" s="1028">
        <f t="shared" si="0"/>
        <v>0</v>
      </c>
      <c r="I23" s="1028">
        <f t="shared" si="0"/>
        <v>0</v>
      </c>
      <c r="J23" s="1009"/>
      <c r="K23" s="1001"/>
    </row>
    <row r="24" spans="2:11">
      <c r="B24" s="998"/>
      <c r="C24" s="1009"/>
      <c r="D24" s="133"/>
      <c r="E24" s="150"/>
      <c r="F24" s="1009"/>
      <c r="G24" s="1018">
        <f>SUM(G21:G23)</f>
        <v>0</v>
      </c>
      <c r="H24" s="1018">
        <f>SUM(H21:H23)</f>
        <v>0</v>
      </c>
      <c r="I24" s="1018">
        <f>SUM(I21:I23)</f>
        <v>0</v>
      </c>
      <c r="J24" s="1009"/>
      <c r="K24" s="1001"/>
    </row>
    <row r="25" spans="2:11">
      <c r="B25" s="998"/>
      <c r="C25" s="1009"/>
      <c r="D25" s="133"/>
      <c r="E25" s="150"/>
      <c r="F25" s="1009"/>
      <c r="G25" s="150"/>
      <c r="H25" s="150"/>
      <c r="I25" s="150"/>
      <c r="J25" s="1009"/>
      <c r="K25" s="1001"/>
    </row>
    <row r="26" spans="2:11">
      <c r="B26" s="998"/>
      <c r="C26" s="1009"/>
      <c r="D26" s="133" t="s">
        <v>813</v>
      </c>
      <c r="E26" s="150" t="s">
        <v>812</v>
      </c>
      <c r="F26" s="1009"/>
      <c r="G26" s="1028">
        <v>0</v>
      </c>
      <c r="H26" s="1028">
        <f>G26</f>
        <v>0</v>
      </c>
      <c r="I26" s="1028">
        <f>H26</f>
        <v>0</v>
      </c>
      <c r="J26" s="1009"/>
      <c r="K26" s="1001"/>
    </row>
    <row r="27" spans="2:11">
      <c r="B27" s="998"/>
      <c r="C27" s="1009"/>
      <c r="D27" s="133" t="s">
        <v>815</v>
      </c>
      <c r="E27" s="150" t="s">
        <v>812</v>
      </c>
      <c r="F27" s="1009"/>
      <c r="G27" s="1028">
        <v>0</v>
      </c>
      <c r="H27" s="1028">
        <f t="shared" ref="H27:I27" si="1">G27</f>
        <v>0</v>
      </c>
      <c r="I27" s="1028">
        <f t="shared" si="1"/>
        <v>0</v>
      </c>
      <c r="J27" s="1009"/>
      <c r="K27" s="1001"/>
    </row>
    <row r="28" spans="2:11">
      <c r="B28" s="998"/>
      <c r="C28" s="1009"/>
      <c r="D28" s="133" t="s">
        <v>814</v>
      </c>
      <c r="E28" s="150" t="s">
        <v>812</v>
      </c>
      <c r="F28" s="1009"/>
      <c r="G28" s="1028">
        <v>0</v>
      </c>
      <c r="H28" s="1028">
        <f t="shared" ref="H28:I28" si="2">G28</f>
        <v>0</v>
      </c>
      <c r="I28" s="1028">
        <f t="shared" si="2"/>
        <v>0</v>
      </c>
      <c r="J28" s="1009"/>
      <c r="K28" s="1001"/>
    </row>
    <row r="29" spans="2:11">
      <c r="B29" s="998"/>
      <c r="C29" s="1009"/>
      <c r="D29" s="133"/>
      <c r="E29" s="150"/>
      <c r="F29" s="1009"/>
      <c r="G29" s="1018">
        <f>SUM(G26:G28)</f>
        <v>0</v>
      </c>
      <c r="H29" s="1018">
        <f>SUM(H26:H28)</f>
        <v>0</v>
      </c>
      <c r="I29" s="1018">
        <f>SUM(I26:I28)</f>
        <v>0</v>
      </c>
      <c r="J29" s="1009"/>
      <c r="K29" s="1001"/>
    </row>
    <row r="30" spans="2:11">
      <c r="B30" s="998"/>
      <c r="C30" s="1009"/>
      <c r="D30" s="133"/>
      <c r="E30" s="150"/>
      <c r="F30" s="1009"/>
      <c r="G30" s="1010"/>
      <c r="H30" s="1010"/>
      <c r="I30" s="1010"/>
      <c r="J30" s="1009"/>
      <c r="K30" s="1001"/>
    </row>
    <row r="31" spans="2:11">
      <c r="B31" s="998"/>
      <c r="C31" s="1009"/>
      <c r="D31" s="133" t="s">
        <v>813</v>
      </c>
      <c r="E31" s="150" t="s">
        <v>120</v>
      </c>
      <c r="F31" s="1009"/>
      <c r="G31" s="1028">
        <v>213</v>
      </c>
      <c r="H31" s="1028">
        <f>G31</f>
        <v>213</v>
      </c>
      <c r="I31" s="1028">
        <f>H31</f>
        <v>213</v>
      </c>
      <c r="J31" s="1009"/>
      <c r="K31" s="1001"/>
    </row>
    <row r="32" spans="2:11">
      <c r="B32" s="998"/>
      <c r="C32" s="1009"/>
      <c r="D32" s="133" t="s">
        <v>815</v>
      </c>
      <c r="E32" s="150" t="s">
        <v>120</v>
      </c>
      <c r="F32" s="1009"/>
      <c r="G32" s="1028">
        <v>0</v>
      </c>
      <c r="H32" s="1028">
        <f t="shared" ref="H32:I32" si="3">G32</f>
        <v>0</v>
      </c>
      <c r="I32" s="1028">
        <f t="shared" si="3"/>
        <v>0</v>
      </c>
      <c r="J32" s="1009"/>
      <c r="K32" s="1001"/>
    </row>
    <row r="33" spans="2:11">
      <c r="B33" s="998"/>
      <c r="C33" s="1009"/>
      <c r="D33" s="133" t="s">
        <v>814</v>
      </c>
      <c r="E33" s="150" t="s">
        <v>120</v>
      </c>
      <c r="F33" s="1009"/>
      <c r="G33" s="1028">
        <v>0</v>
      </c>
      <c r="H33" s="1028">
        <f t="shared" ref="H33:I33" si="4">G33</f>
        <v>0</v>
      </c>
      <c r="I33" s="1028">
        <f t="shared" si="4"/>
        <v>0</v>
      </c>
      <c r="J33" s="1009"/>
      <c r="K33" s="1001"/>
    </row>
    <row r="34" spans="2:11">
      <c r="B34" s="998"/>
      <c r="C34" s="1009"/>
      <c r="D34" s="133"/>
      <c r="E34" s="150"/>
      <c r="F34" s="1009"/>
      <c r="G34" s="1018">
        <f>SUM(G31:G33)</f>
        <v>213</v>
      </c>
      <c r="H34" s="1018">
        <f>SUM(H31:H33)</f>
        <v>213</v>
      </c>
      <c r="I34" s="1018">
        <f>SUM(I31:I33)</f>
        <v>213</v>
      </c>
      <c r="J34" s="1009"/>
      <c r="K34" s="1001"/>
    </row>
    <row r="35" spans="2:11">
      <c r="B35" s="998"/>
      <c r="C35" s="1009"/>
      <c r="D35" s="1009"/>
      <c r="E35" s="1009"/>
      <c r="F35" s="1009"/>
      <c r="G35" s="1010"/>
      <c r="H35" s="1010"/>
      <c r="I35" s="1010"/>
      <c r="J35" s="1009"/>
      <c r="K35" s="1001"/>
    </row>
    <row r="36" spans="2:11">
      <c r="B36" s="998"/>
      <c r="C36" s="999"/>
      <c r="D36" s="999"/>
      <c r="E36" s="999"/>
      <c r="F36" s="999"/>
      <c r="G36" s="1000"/>
      <c r="H36" s="1000"/>
      <c r="I36" s="1000"/>
      <c r="J36" s="999"/>
      <c r="K36" s="1001"/>
    </row>
    <row r="37" spans="2:11">
      <c r="B37" s="998"/>
      <c r="C37" s="1025"/>
      <c r="D37" s="1025"/>
      <c r="E37" s="1025"/>
      <c r="F37" s="1025"/>
      <c r="G37" s="1026"/>
      <c r="H37" s="1026"/>
      <c r="I37" s="1026"/>
      <c r="J37" s="1025"/>
      <c r="K37" s="1001"/>
    </row>
    <row r="38" spans="2:11">
      <c r="B38" s="998"/>
      <c r="C38" s="1009"/>
      <c r="D38" s="1027" t="s">
        <v>808</v>
      </c>
      <c r="E38" s="1027"/>
      <c r="F38" s="1009"/>
      <c r="G38" s="1010"/>
      <c r="H38" s="1010"/>
      <c r="I38" s="1010"/>
      <c r="J38" s="1009"/>
      <c r="K38" s="1001"/>
    </row>
    <row r="39" spans="2:11">
      <c r="B39" s="998"/>
      <c r="C39" s="1009"/>
      <c r="D39" s="1027"/>
      <c r="E39" s="1027"/>
      <c r="F39" s="1009"/>
      <c r="G39" s="1010"/>
      <c r="H39" s="1010"/>
      <c r="I39" s="1010"/>
      <c r="J39" s="1009"/>
      <c r="K39" s="1001"/>
    </row>
    <row r="40" spans="2:11">
      <c r="B40" s="998"/>
      <c r="C40" s="1009"/>
      <c r="D40" s="1029" t="s">
        <v>817</v>
      </c>
      <c r="E40" s="1030"/>
      <c r="F40" s="1009"/>
      <c r="G40" s="1010"/>
      <c r="H40" s="1010"/>
      <c r="I40" s="1010"/>
      <c r="J40" s="1009"/>
      <c r="K40" s="1001"/>
    </row>
    <row r="41" spans="2:11">
      <c r="B41" s="998"/>
      <c r="C41" s="1009"/>
      <c r="D41" s="1031" t="s">
        <v>770</v>
      </c>
      <c r="E41" s="1031"/>
      <c r="F41" s="1009"/>
      <c r="G41" s="1019">
        <f>'tab nieuw'!$C$27+('tab nieuw'!$C$28*G19)</f>
        <v>71955.585499999986</v>
      </c>
      <c r="H41" s="1019">
        <f>'tab nieuw'!$C$27+('tab nieuw'!$C$28*H19)</f>
        <v>71955.585499999986</v>
      </c>
      <c r="I41" s="1019">
        <f>'tab nieuw'!$C$27+('tab nieuw'!$C$28*I19)</f>
        <v>71955.585499999986</v>
      </c>
      <c r="J41" s="1009"/>
      <c r="K41" s="1001"/>
    </row>
    <row r="42" spans="2:11">
      <c r="B42" s="998"/>
      <c r="C42" s="1009"/>
      <c r="D42" s="1031" t="s">
        <v>810</v>
      </c>
      <c r="E42" s="1043"/>
      <c r="F42" s="1009"/>
      <c r="G42" s="1019">
        <f>IF(G24+G29+G34=0,0,IF(G24+G29+G34&lt;50,IF(geg!$J$159=1,2,1),IF(geg!$I$15="SOVSO",3,2))*tab!$D$95+tab!D96)</f>
        <v>37994.559999999998</v>
      </c>
      <c r="H42" s="1019">
        <f>IF(H24+H29+H34=0,0,IF(H24+H29+H34&lt;50,IF(geg!$J$159=1,2,1),IF(geg!$I$15="SOVSO",3,2))*tab!$D$95+tab!E96)</f>
        <v>35506.559999999998</v>
      </c>
      <c r="I42" s="1019">
        <f>IF(I24+I29+I34=0,0,IF(I24+I29+I34&lt;50,IF(geg!$J$159=1,2,1),IF(geg!$I$15="SOVSO",3,2))*tab!$D$95+tab!F96)</f>
        <v>35506.559999999998</v>
      </c>
      <c r="J42" s="1009"/>
      <c r="K42" s="1001"/>
    </row>
    <row r="43" spans="2:11">
      <c r="B43" s="998"/>
      <c r="C43" s="1009"/>
      <c r="D43" s="1031"/>
      <c r="E43" s="1031"/>
      <c r="F43" s="1009"/>
      <c r="G43" s="1085">
        <f>SUM(G41:G42)</f>
        <v>109950.14549999998</v>
      </c>
      <c r="H43" s="1085">
        <f>SUM(H41:H42)</f>
        <v>107462.14549999998</v>
      </c>
      <c r="I43" s="1085">
        <f>SUM(I41:I42)</f>
        <v>107462.14549999998</v>
      </c>
      <c r="J43" s="1009"/>
      <c r="K43" s="1001"/>
    </row>
    <row r="44" spans="2:11">
      <c r="B44" s="998"/>
      <c r="C44" s="1009"/>
      <c r="D44" s="1029" t="s">
        <v>816</v>
      </c>
      <c r="E44" s="1029"/>
      <c r="F44" s="1009"/>
      <c r="G44" s="1009"/>
      <c r="H44" s="1009"/>
      <c r="I44" s="1009"/>
      <c r="J44" s="1009"/>
      <c r="K44" s="1001"/>
    </row>
    <row r="45" spans="2:11">
      <c r="B45" s="998"/>
      <c r="C45" s="1009"/>
      <c r="D45" s="1031" t="s">
        <v>771</v>
      </c>
      <c r="E45" s="1031"/>
      <c r="F45" s="1009"/>
      <c r="G45" s="1019">
        <f>IF(G24=0,0*(G24*('tab nieuw'!$C$30+('tab nieuw'!$C$31*G19))))</f>
        <v>0</v>
      </c>
      <c r="H45" s="1019">
        <f>IF(H24=0,0*(H24*('tab nieuw'!$C$30+('tab nieuw'!$C$31*H19))))</f>
        <v>0</v>
      </c>
      <c r="I45" s="1019">
        <f>IF(I24=0,0*(I24*('tab nieuw'!$C$30+('tab nieuw'!$C$31*I19))))</f>
        <v>0</v>
      </c>
      <c r="J45" s="1009"/>
      <c r="K45" s="1001"/>
    </row>
    <row r="46" spans="2:11">
      <c r="B46" s="998"/>
      <c r="C46" s="1009"/>
      <c r="D46" s="1031" t="s">
        <v>772</v>
      </c>
      <c r="E46" s="1031"/>
      <c r="F46" s="1009"/>
      <c r="G46" s="1019">
        <f>IF(G29=0,0,(G29*('tab nieuw'!$C$33+('tab nieuw'!$C$34*G19))))</f>
        <v>0</v>
      </c>
      <c r="H46" s="1019">
        <f>IF(H29=0,0,(H29*('tab nieuw'!$C$33+('tab nieuw'!$C$34*H19))))</f>
        <v>0</v>
      </c>
      <c r="I46" s="1019">
        <f>IF(I29=0,0,(I29*('tab nieuw'!$C$33+('tab nieuw'!$C$34*I19))))</f>
        <v>0</v>
      </c>
      <c r="J46" s="1009"/>
      <c r="K46" s="1001"/>
    </row>
    <row r="47" spans="2:11">
      <c r="B47" s="998"/>
      <c r="C47" s="1009"/>
      <c r="D47" s="1031" t="s">
        <v>773</v>
      </c>
      <c r="E47" s="1031"/>
      <c r="F47" s="1009"/>
      <c r="G47" s="1019">
        <f>IF(G34=0,0,(G34*('tab nieuw'!$C$36+('tab nieuw'!$C$37*G19))))</f>
        <v>999242.61869999988</v>
      </c>
      <c r="H47" s="1019">
        <f>IF(H34=0,0,(H34*('tab nieuw'!$C$36+('tab nieuw'!$C$37*H19))))</f>
        <v>999242.61869999988</v>
      </c>
      <c r="I47" s="1019">
        <f>IF(I34=0,0,(I34*('tab nieuw'!$C$36+('tab nieuw'!$C$37*I19))))</f>
        <v>999242.61869999988</v>
      </c>
      <c r="J47" s="1009"/>
      <c r="K47" s="1001"/>
    </row>
    <row r="48" spans="2:11">
      <c r="B48" s="998"/>
      <c r="C48" s="1009"/>
      <c r="D48" s="1031" t="s">
        <v>774</v>
      </c>
      <c r="E48" s="1031"/>
      <c r="F48" s="1009"/>
      <c r="G48" s="1019">
        <f>'tab nieuw'!$C$39*(G34+G24+G29)</f>
        <v>73427.490000000005</v>
      </c>
      <c r="H48" s="1019">
        <f>'tab nieuw'!$C$39*(H34+H24+H29)</f>
        <v>73427.490000000005</v>
      </c>
      <c r="I48" s="1019">
        <f>'tab nieuw'!$C$39*(I34+I24+I29)</f>
        <v>73427.490000000005</v>
      </c>
      <c r="J48" s="1009"/>
      <c r="K48" s="1001"/>
    </row>
    <row r="49" spans="2:11">
      <c r="B49" s="998"/>
      <c r="C49" s="1009"/>
      <c r="D49" s="1031"/>
      <c r="E49" s="1031"/>
      <c r="F49" s="1009"/>
      <c r="G49" s="1085">
        <f>SUM(G45:G48)</f>
        <v>1072670.1087</v>
      </c>
      <c r="H49" s="1085">
        <f>SUM(H45:H48)</f>
        <v>1072670.1087</v>
      </c>
      <c r="I49" s="1085">
        <f>SUM(I45:I48)</f>
        <v>1072670.1087</v>
      </c>
      <c r="J49" s="1009"/>
      <c r="K49" s="1001"/>
    </row>
    <row r="50" spans="2:11">
      <c r="B50" s="998"/>
      <c r="C50" s="1009"/>
      <c r="D50" s="1009"/>
      <c r="E50" s="1009"/>
      <c r="F50" s="1009"/>
      <c r="G50" s="1009"/>
      <c r="H50" s="1009"/>
      <c r="I50" s="1009"/>
      <c r="J50" s="1009"/>
      <c r="K50" s="1001"/>
    </row>
    <row r="51" spans="2:11">
      <c r="B51" s="998"/>
      <c r="C51" s="1009"/>
      <c r="D51" s="1009"/>
      <c r="E51" s="1009"/>
      <c r="F51" s="1009"/>
      <c r="G51" s="1020">
        <f>G43+G49</f>
        <v>1182620.2541999999</v>
      </c>
      <c r="H51" s="1020">
        <f>SUM(H41:H48)</f>
        <v>1287594.3996999997</v>
      </c>
      <c r="I51" s="1020">
        <f>SUM(I41:I48)</f>
        <v>1287594.3996999997</v>
      </c>
      <c r="J51" s="1009"/>
      <c r="K51" s="1001"/>
    </row>
    <row r="52" spans="2:11">
      <c r="B52" s="998"/>
      <c r="C52" s="1009"/>
      <c r="D52" s="1044"/>
      <c r="E52" s="1044"/>
      <c r="F52" s="1044"/>
      <c r="G52" s="1045"/>
      <c r="H52" s="1045"/>
      <c r="I52" s="1045"/>
      <c r="J52" s="1009"/>
      <c r="K52" s="1001"/>
    </row>
    <row r="53" spans="2:11">
      <c r="B53" s="998"/>
      <c r="C53" s="1009"/>
      <c r="D53" s="1025"/>
      <c r="E53" s="1025"/>
      <c r="F53" s="1025"/>
      <c r="G53" s="1037"/>
      <c r="H53" s="1037"/>
      <c r="I53" s="1037"/>
      <c r="J53" s="1009"/>
      <c r="K53" s="1001"/>
    </row>
    <row r="54" spans="2:11">
      <c r="B54" s="998"/>
      <c r="C54" s="1009"/>
      <c r="D54" s="1012" t="s">
        <v>822</v>
      </c>
      <c r="E54" s="1012"/>
      <c r="F54" s="1009"/>
      <c r="G54" s="1021"/>
      <c r="H54" s="1021"/>
      <c r="I54" s="1021"/>
      <c r="J54" s="1009"/>
      <c r="K54" s="1001"/>
    </row>
    <row r="55" spans="2:11">
      <c r="B55" s="998"/>
      <c r="C55" s="1009"/>
      <c r="D55" s="1009"/>
      <c r="E55" s="1009"/>
      <c r="F55" s="1009"/>
      <c r="G55" s="1021"/>
      <c r="H55" s="1021"/>
      <c r="I55" s="1021"/>
      <c r="J55" s="1009"/>
      <c r="K55" s="1001"/>
    </row>
    <row r="56" spans="2:11">
      <c r="B56" s="998"/>
      <c r="C56" s="1009"/>
      <c r="D56" s="1031" t="s">
        <v>771</v>
      </c>
      <c r="E56" s="1031"/>
      <c r="F56" s="1009"/>
      <c r="G56" s="1019">
        <f>G21*'tab nieuw'!$C$43+G22*'tab nieuw'!$C$44+G23*'tab nieuw'!$C$45</f>
        <v>0</v>
      </c>
      <c r="H56" s="1019">
        <f>H21*'tab nieuw'!$C$43+H22*'tab nieuw'!$C$44+H23*'tab nieuw'!$C$45</f>
        <v>0</v>
      </c>
      <c r="I56" s="1019">
        <f>I21*'tab nieuw'!$C$43+I22*'tab nieuw'!$C$44+I23*'tab nieuw'!$C$45</f>
        <v>0</v>
      </c>
      <c r="J56" s="1009"/>
      <c r="K56" s="1001"/>
    </row>
    <row r="57" spans="2:11">
      <c r="B57" s="998"/>
      <c r="C57" s="1009"/>
      <c r="D57" s="1031" t="s">
        <v>772</v>
      </c>
      <c r="E57" s="1031"/>
      <c r="F57" s="1009"/>
      <c r="G57" s="1019">
        <f>G26*'tab nieuw'!$C$46+G27*'tab nieuw'!$C$47+G28*'tab nieuw'!$C$48</f>
        <v>0</v>
      </c>
      <c r="H57" s="1019">
        <f>H26*'tab nieuw'!$C$46+H27*'tab nieuw'!$C$47+H28*'tab nieuw'!$C$48</f>
        <v>0</v>
      </c>
      <c r="I57" s="1019">
        <f>I26*'tab nieuw'!$C$46+I27*'tab nieuw'!$C$47+I28*'tab nieuw'!$C$48</f>
        <v>0</v>
      </c>
      <c r="J57" s="1009"/>
      <c r="K57" s="1001"/>
    </row>
    <row r="58" spans="2:11">
      <c r="B58" s="998"/>
      <c r="C58" s="1009"/>
      <c r="D58" s="1031" t="s">
        <v>773</v>
      </c>
      <c r="E58" s="1031"/>
      <c r="F58" s="1009"/>
      <c r="G58" s="1019">
        <f>G31*'tab nieuw'!$C$49+G32*'tab nieuw'!$C$50+G33*'tab nieuw'!$C$51</f>
        <v>1572900.0849827407</v>
      </c>
      <c r="H58" s="1019">
        <f>H31*'tab nieuw'!$C$49+H32*'tab nieuw'!$C$50+H33*'tab nieuw'!$C$51</f>
        <v>1572900.0849827407</v>
      </c>
      <c r="I58" s="1019">
        <f>I31*'tab nieuw'!$C$49+I32*'tab nieuw'!$C$50+I33*'tab nieuw'!$C$51</f>
        <v>1572900.0849827407</v>
      </c>
      <c r="J58" s="1009"/>
      <c r="K58" s="1001"/>
    </row>
    <row r="59" spans="2:11">
      <c r="B59" s="998"/>
      <c r="C59" s="1009"/>
      <c r="D59" s="1009"/>
      <c r="E59" s="1009"/>
      <c r="F59" s="1009"/>
      <c r="G59" s="1020">
        <f>SUM(G56:G58)</f>
        <v>1572900.0849827407</v>
      </c>
      <c r="H59" s="1020">
        <f>SUM(H56:H58)</f>
        <v>1572900.0849827407</v>
      </c>
      <c r="I59" s="1020">
        <f>SUM(I56:I58)</f>
        <v>1572900.0849827407</v>
      </c>
      <c r="J59" s="1009"/>
      <c r="K59" s="1001"/>
    </row>
    <row r="60" spans="2:11">
      <c r="B60" s="998"/>
      <c r="C60" s="1036"/>
      <c r="D60" s="1044"/>
      <c r="E60" s="1044"/>
      <c r="F60" s="1044"/>
      <c r="G60" s="1045"/>
      <c r="H60" s="1045"/>
      <c r="I60" s="1045"/>
      <c r="J60" s="1036"/>
      <c r="K60" s="1001"/>
    </row>
    <row r="61" spans="2:11">
      <c r="B61" s="998"/>
      <c r="C61" s="1024"/>
      <c r="D61" s="1025"/>
      <c r="E61" s="1025"/>
      <c r="F61" s="1025"/>
      <c r="G61" s="1037"/>
      <c r="H61" s="1037"/>
      <c r="I61" s="1037"/>
      <c r="J61" s="1024"/>
      <c r="K61" s="1001"/>
    </row>
    <row r="62" spans="2:11">
      <c r="B62" s="998"/>
      <c r="C62" s="1024"/>
      <c r="D62" s="1049" t="s">
        <v>311</v>
      </c>
      <c r="E62" s="1024"/>
      <c r="F62" s="1024"/>
      <c r="G62" s="1047">
        <f>G51+G59</f>
        <v>2755520.3391827405</v>
      </c>
      <c r="H62" s="1047">
        <f>H51+H59</f>
        <v>2860494.4846827406</v>
      </c>
      <c r="I62" s="1047">
        <f>I51+I59</f>
        <v>2860494.4846827406</v>
      </c>
      <c r="J62" s="1024"/>
      <c r="K62" s="1001"/>
    </row>
    <row r="63" spans="2:11">
      <c r="B63" s="998"/>
      <c r="C63" s="1024"/>
      <c r="D63" s="1024"/>
      <c r="E63" s="1024"/>
      <c r="F63" s="1024"/>
      <c r="G63" s="1046"/>
      <c r="H63" s="1046"/>
      <c r="I63" s="1046"/>
      <c r="J63" s="1024"/>
      <c r="K63" s="1001"/>
    </row>
    <row r="64" spans="2:11">
      <c r="B64" s="998"/>
      <c r="C64" s="1024"/>
      <c r="D64" s="1024"/>
      <c r="E64" s="1024"/>
      <c r="F64" s="1024"/>
      <c r="G64" s="1046"/>
      <c r="H64" s="1046"/>
      <c r="I64" s="1046"/>
      <c r="J64" s="1024"/>
      <c r="K64" s="1001"/>
    </row>
    <row r="65" spans="2:11">
      <c r="B65" s="998"/>
      <c r="C65" s="999"/>
      <c r="D65" s="999"/>
      <c r="E65" s="999"/>
      <c r="F65" s="999"/>
      <c r="G65" s="1038"/>
      <c r="H65" s="1038"/>
      <c r="I65" s="1038"/>
      <c r="J65" s="999"/>
      <c r="K65" s="1001"/>
    </row>
    <row r="66" spans="2:11">
      <c r="B66" s="998"/>
      <c r="C66" s="999"/>
      <c r="D66" s="999"/>
      <c r="E66" s="999"/>
      <c r="F66" s="999"/>
      <c r="G66" s="1038"/>
      <c r="H66" s="1038"/>
      <c r="I66" s="1038"/>
      <c r="J66" s="999"/>
      <c r="K66" s="1001"/>
    </row>
    <row r="67" spans="2:11">
      <c r="B67" s="998"/>
      <c r="C67" s="999"/>
      <c r="D67" s="999"/>
      <c r="E67" s="999"/>
      <c r="F67" s="999"/>
      <c r="G67" s="1038"/>
      <c r="H67" s="1038"/>
      <c r="I67" s="1038"/>
      <c r="J67" s="999"/>
      <c r="K67" s="1001"/>
    </row>
    <row r="68" spans="2:11">
      <c r="B68" s="998"/>
      <c r="C68" s="999"/>
      <c r="D68" s="999"/>
      <c r="E68" s="999"/>
      <c r="F68" s="999"/>
      <c r="G68" s="1051">
        <f>'tab nieuw'!C3</f>
        <v>2015</v>
      </c>
      <c r="H68" s="1051">
        <f>'tab nieuw'!D3</f>
        <v>2016</v>
      </c>
      <c r="I68" s="1051">
        <f>'tab nieuw'!E3</f>
        <v>2017</v>
      </c>
      <c r="J68" s="999"/>
      <c r="K68" s="1001"/>
    </row>
    <row r="69" spans="2:11">
      <c r="B69" s="998"/>
      <c r="C69" s="999"/>
      <c r="D69" s="999"/>
      <c r="E69" s="999"/>
      <c r="F69" s="999"/>
      <c r="G69" s="1038"/>
      <c r="H69" s="1038"/>
      <c r="I69" s="1038"/>
      <c r="J69" s="999"/>
      <c r="K69" s="1001"/>
    </row>
    <row r="70" spans="2:11">
      <c r="B70" s="998"/>
      <c r="C70" s="1009"/>
      <c r="D70" s="1009"/>
      <c r="E70" s="1009"/>
      <c r="F70" s="1009"/>
      <c r="G70" s="1021"/>
      <c r="H70" s="1021"/>
      <c r="I70" s="1021"/>
      <c r="J70" s="1009"/>
      <c r="K70" s="1001"/>
    </row>
    <row r="71" spans="2:11">
      <c r="B71" s="998"/>
      <c r="C71" s="1009"/>
      <c r="D71" s="1027" t="s">
        <v>823</v>
      </c>
      <c r="E71" s="1009"/>
      <c r="F71" s="1009"/>
      <c r="G71" s="1009"/>
      <c r="H71" s="1009"/>
      <c r="I71" s="1009"/>
      <c r="J71" s="1009"/>
      <c r="K71" s="1001"/>
    </row>
    <row r="72" spans="2:11">
      <c r="B72" s="998"/>
      <c r="C72" s="1009"/>
      <c r="D72" s="1009"/>
      <c r="E72" s="1009"/>
      <c r="F72" s="1009"/>
      <c r="G72" s="1021"/>
      <c r="H72" s="1021"/>
      <c r="I72" s="1021"/>
      <c r="J72" s="1009"/>
      <c r="K72" s="1001"/>
    </row>
    <row r="73" spans="2:11">
      <c r="B73" s="998"/>
      <c r="C73" s="1009"/>
      <c r="D73" s="1031" t="s">
        <v>824</v>
      </c>
      <c r="E73" s="1009"/>
      <c r="F73" s="1009"/>
      <c r="G73" s="1019">
        <f>G24*'tab nieuw'!$C$57+G29*'tab nieuw'!$C$58+G34*'tab nieuw'!$C$59</f>
        <v>222369.87</v>
      </c>
      <c r="H73" s="1019">
        <f>H24*'tab nieuw'!$C$57+H29*'tab nieuw'!$C$58+H34*'tab nieuw'!$C$59</f>
        <v>222369.87</v>
      </c>
      <c r="I73" s="1019">
        <f>I24*'tab nieuw'!$C$57+I29*'tab nieuw'!$C$58+I34*'tab nieuw'!$C$59</f>
        <v>222369.87</v>
      </c>
      <c r="J73" s="1009"/>
      <c r="K73" s="1001"/>
    </row>
    <row r="74" spans="2:11">
      <c r="B74" s="998"/>
      <c r="C74" s="1009"/>
      <c r="D74" s="1031" t="s">
        <v>770</v>
      </c>
      <c r="E74" s="1009"/>
      <c r="F74" s="1009"/>
      <c r="G74" s="1019">
        <f>VLOOKUP(G14,'tab nieuw'!$A$62:$E$75,3)</f>
        <v>18039.2</v>
      </c>
      <c r="H74" s="1019">
        <f t="shared" ref="H74:I76" si="5">G74</f>
        <v>18039.2</v>
      </c>
      <c r="I74" s="1019">
        <f t="shared" si="5"/>
        <v>18039.2</v>
      </c>
      <c r="J74" s="1009"/>
      <c r="K74" s="1001"/>
    </row>
    <row r="75" spans="2:11">
      <c r="B75" s="998"/>
      <c r="C75" s="1009"/>
      <c r="D75" s="1031" t="s">
        <v>776</v>
      </c>
      <c r="E75" s="1009"/>
      <c r="F75" s="1009"/>
      <c r="G75" s="1019">
        <f>IF(G13="VSO",0,VLOOKUP(G14,'tab nieuw'!A62:E75,4))</f>
        <v>0</v>
      </c>
      <c r="H75" s="1019">
        <f t="shared" si="5"/>
        <v>0</v>
      </c>
      <c r="I75" s="1019">
        <f t="shared" si="5"/>
        <v>0</v>
      </c>
      <c r="J75" s="1009"/>
      <c r="K75" s="1001"/>
    </row>
    <row r="76" spans="2:11">
      <c r="B76" s="998"/>
      <c r="C76" s="1009"/>
      <c r="D76" s="1031" t="s">
        <v>777</v>
      </c>
      <c r="E76" s="1009"/>
      <c r="F76" s="1009"/>
      <c r="G76" s="1019">
        <f>IF(G13="SO",0,VLOOKUP(G14,'tab nieuw'!A62:E75,5))</f>
        <v>13741.78</v>
      </c>
      <c r="H76" s="1019">
        <f t="shared" si="5"/>
        <v>13741.78</v>
      </c>
      <c r="I76" s="1019">
        <f t="shared" si="5"/>
        <v>13741.78</v>
      </c>
      <c r="J76" s="1009"/>
      <c r="K76" s="1001"/>
    </row>
    <row r="77" spans="2:11">
      <c r="B77" s="998"/>
      <c r="C77" s="1009"/>
      <c r="D77" s="1009"/>
      <c r="E77" s="1009"/>
      <c r="F77" s="1009"/>
      <c r="G77" s="1020">
        <f>SUM(G73:G76)</f>
        <v>254150.85</v>
      </c>
      <c r="H77" s="1020">
        <f>SUM(H73:H76)</f>
        <v>254150.85</v>
      </c>
      <c r="I77" s="1020">
        <f>SUM(I73:I76)</f>
        <v>254150.85</v>
      </c>
      <c r="J77" s="1009"/>
      <c r="K77" s="1001"/>
    </row>
    <row r="78" spans="2:11">
      <c r="B78" s="998"/>
      <c r="C78" s="1009"/>
      <c r="D78" s="1044"/>
      <c r="E78" s="1044"/>
      <c r="F78" s="1044"/>
      <c r="G78" s="1045"/>
      <c r="H78" s="1045"/>
      <c r="I78" s="1045"/>
      <c r="J78" s="1009"/>
      <c r="K78" s="1001"/>
    </row>
    <row r="79" spans="2:11">
      <c r="B79" s="998"/>
      <c r="C79" s="1009"/>
      <c r="D79" s="1025"/>
      <c r="E79" s="1025"/>
      <c r="F79" s="1025"/>
      <c r="G79" s="1037"/>
      <c r="H79" s="1037"/>
      <c r="I79" s="1037"/>
      <c r="J79" s="1009"/>
      <c r="K79" s="1001"/>
    </row>
    <row r="80" spans="2:11">
      <c r="B80" s="998"/>
      <c r="C80" s="1009"/>
      <c r="D80" s="1012" t="s">
        <v>821</v>
      </c>
      <c r="E80" s="1012"/>
      <c r="F80" s="1009"/>
      <c r="G80" s="1021"/>
      <c r="H80" s="1021"/>
      <c r="I80" s="1021"/>
      <c r="J80" s="1009"/>
      <c r="K80" s="1001"/>
    </row>
    <row r="81" spans="2:11">
      <c r="B81" s="998"/>
      <c r="C81" s="1009"/>
      <c r="D81" s="1009"/>
      <c r="E81" s="1009"/>
      <c r="F81" s="1009"/>
      <c r="G81" s="1021"/>
      <c r="H81" s="1021"/>
      <c r="I81" s="1021"/>
      <c r="J81" s="1009"/>
      <c r="K81" s="1001"/>
    </row>
    <row r="82" spans="2:11">
      <c r="B82" s="998"/>
      <c r="C82" s="1009"/>
      <c r="D82" s="1031" t="s">
        <v>771</v>
      </c>
      <c r="E82" s="1031"/>
      <c r="F82" s="1009"/>
      <c r="G82" s="1019">
        <f>G21*'tab nieuw'!$C$79+G22*'tab nieuw'!$C$80+G23*'tab nieuw'!$C$81</f>
        <v>0</v>
      </c>
      <c r="H82" s="1019">
        <f>H21*'tab nieuw'!$C$79+H22*'tab nieuw'!$C$80+H23*'tab nieuw'!$C$81</f>
        <v>0</v>
      </c>
      <c r="I82" s="1019">
        <f>I21*'tab nieuw'!$C$79+I22*'tab nieuw'!$C$80+I23*'tab nieuw'!$C$81</f>
        <v>0</v>
      </c>
      <c r="J82" s="1009"/>
      <c r="K82" s="1001"/>
    </row>
    <row r="83" spans="2:11">
      <c r="B83" s="998"/>
      <c r="C83" s="1009"/>
      <c r="D83" s="1031" t="s">
        <v>772</v>
      </c>
      <c r="E83" s="1031"/>
      <c r="F83" s="1009"/>
      <c r="G83" s="1019">
        <f>G26*'tab nieuw'!$C$82+G27*'tab nieuw'!$C$83+G28*'tab nieuw'!$C$84</f>
        <v>0</v>
      </c>
      <c r="H83" s="1019">
        <f>H26*'tab nieuw'!$C$82+H27*'tab nieuw'!$C$83+H28*'tab nieuw'!$C$84</f>
        <v>0</v>
      </c>
      <c r="I83" s="1019">
        <f>I26*'tab nieuw'!$C$82+I27*'tab nieuw'!$C$83+I28*'tab nieuw'!$C$84</f>
        <v>0</v>
      </c>
      <c r="J83" s="1009"/>
      <c r="K83" s="1001"/>
    </row>
    <row r="84" spans="2:11">
      <c r="B84" s="998"/>
      <c r="C84" s="1009"/>
      <c r="D84" s="1031" t="s">
        <v>773</v>
      </c>
      <c r="E84" s="1031"/>
      <c r="F84" s="1009"/>
      <c r="G84" s="1019">
        <f>G31*'tab nieuw'!$C$85+G32*'tab nieuw'!$C$86+G33*'tab nieuw'!$C$87</f>
        <v>77562.578108670583</v>
      </c>
      <c r="H84" s="1019">
        <f>H31*'tab nieuw'!$C$85+H32*'tab nieuw'!$C$86+H33*'tab nieuw'!$C$87</f>
        <v>77562.578108670583</v>
      </c>
      <c r="I84" s="1019">
        <f>I31*'tab nieuw'!$C$85+I32*'tab nieuw'!$C$86+I33*'tab nieuw'!$C$87</f>
        <v>77562.578108670583</v>
      </c>
      <c r="J84" s="1009"/>
      <c r="K84" s="1001"/>
    </row>
    <row r="85" spans="2:11">
      <c r="B85" s="998"/>
      <c r="C85" s="1009"/>
      <c r="D85" s="1009"/>
      <c r="E85" s="1009"/>
      <c r="F85" s="1009"/>
      <c r="G85" s="1020">
        <f>SUM(G82:G84)</f>
        <v>77562.578108670583</v>
      </c>
      <c r="H85" s="1020">
        <f>SUM(H82:H84)</f>
        <v>77562.578108670583</v>
      </c>
      <c r="I85" s="1020">
        <f>SUM(I82:I84)</f>
        <v>77562.578108670583</v>
      </c>
      <c r="J85" s="1009"/>
      <c r="K85" s="1001"/>
    </row>
    <row r="86" spans="2:11">
      <c r="B86" s="998"/>
      <c r="C86" s="1009"/>
      <c r="D86" s="1044"/>
      <c r="E86" s="1044"/>
      <c r="F86" s="1044"/>
      <c r="G86" s="1045"/>
      <c r="H86" s="1045"/>
      <c r="I86" s="1045"/>
      <c r="J86" s="1009"/>
      <c r="K86" s="1001"/>
    </row>
    <row r="87" spans="2:11">
      <c r="B87" s="998"/>
      <c r="C87" s="1009"/>
      <c r="D87" s="1025"/>
      <c r="E87" s="1025"/>
      <c r="F87" s="1025"/>
      <c r="G87" s="1037"/>
      <c r="H87" s="1037"/>
      <c r="I87" s="1037"/>
      <c r="J87" s="1009"/>
      <c r="K87" s="1001"/>
    </row>
    <row r="88" spans="2:11">
      <c r="B88" s="998"/>
      <c r="C88" s="1009"/>
      <c r="D88" s="1025" t="s">
        <v>827</v>
      </c>
      <c r="E88" s="1025"/>
      <c r="F88" s="1025"/>
      <c r="G88" s="1037"/>
      <c r="H88" s="1037"/>
      <c r="I88" s="1037"/>
      <c r="J88" s="1009"/>
      <c r="K88" s="1001"/>
    </row>
    <row r="89" spans="2:11">
      <c r="B89" s="998"/>
      <c r="C89" s="1009"/>
      <c r="D89" s="1025"/>
      <c r="E89" s="1025"/>
      <c r="F89" s="1025"/>
      <c r="G89" s="1037"/>
      <c r="H89" s="1037"/>
      <c r="I89" s="1037"/>
      <c r="J89" s="1009"/>
      <c r="K89" s="1001"/>
    </row>
    <row r="90" spans="2:11">
      <c r="B90" s="998"/>
      <c r="C90" s="1009"/>
      <c r="D90" s="1052" t="s">
        <v>828</v>
      </c>
      <c r="E90" s="1025"/>
      <c r="F90" s="1025"/>
      <c r="G90" s="1021"/>
      <c r="H90" s="1021"/>
      <c r="I90" s="1021"/>
      <c r="J90" s="1009"/>
      <c r="K90" s="1001"/>
    </row>
    <row r="91" spans="2:11">
      <c r="B91" s="998"/>
      <c r="C91" s="1009"/>
      <c r="D91" s="1025" t="s">
        <v>130</v>
      </c>
      <c r="E91" s="1053" t="s">
        <v>835</v>
      </c>
      <c r="F91" s="1025"/>
      <c r="G91" s="1019"/>
      <c r="H91" s="1019"/>
      <c r="I91" s="1019"/>
      <c r="J91" s="1009"/>
      <c r="K91" s="1001"/>
    </row>
    <row r="92" spans="2:11">
      <c r="B92" s="998"/>
      <c r="C92" s="1009"/>
      <c r="D92" s="1025" t="s">
        <v>831</v>
      </c>
      <c r="E92" s="1053" t="s">
        <v>195</v>
      </c>
      <c r="F92" s="1025"/>
      <c r="G92" s="1019"/>
      <c r="H92" s="1019"/>
      <c r="I92" s="1019"/>
      <c r="J92" s="1009"/>
      <c r="K92" s="1001"/>
    </row>
    <row r="93" spans="2:11">
      <c r="B93" s="998"/>
      <c r="C93" s="1009"/>
      <c r="D93" s="1025" t="s">
        <v>830</v>
      </c>
      <c r="E93" s="1053">
        <v>75</v>
      </c>
      <c r="F93" s="1025"/>
      <c r="G93" s="1019"/>
      <c r="H93" s="1019"/>
      <c r="I93" s="1019"/>
      <c r="J93" s="1009"/>
      <c r="K93" s="1001"/>
    </row>
    <row r="94" spans="2:11">
      <c r="B94" s="998"/>
      <c r="C94" s="1009"/>
      <c r="D94" s="1025" t="s">
        <v>829</v>
      </c>
      <c r="E94" s="1025"/>
      <c r="F94" s="1025"/>
      <c r="G94" s="1019"/>
      <c r="H94" s="1019"/>
      <c r="I94" s="1019"/>
      <c r="J94" s="1009"/>
      <c r="K94" s="1001"/>
    </row>
    <row r="95" spans="2:11">
      <c r="B95" s="998"/>
      <c r="C95" s="1009"/>
      <c r="D95" s="1025"/>
      <c r="E95" s="1025"/>
      <c r="F95" s="1025"/>
      <c r="G95" s="1020">
        <f>SUM(G90:G94)</f>
        <v>0</v>
      </c>
      <c r="H95" s="1020">
        <f>SUM(H90:H94)</f>
        <v>0</v>
      </c>
      <c r="I95" s="1020">
        <f>SUM(I90:I94)</f>
        <v>0</v>
      </c>
      <c r="J95" s="1009"/>
      <c r="K95" s="1001"/>
    </row>
    <row r="96" spans="2:11">
      <c r="B96" s="998"/>
      <c r="C96" s="1009"/>
      <c r="D96" s="1044"/>
      <c r="E96" s="1044"/>
      <c r="F96" s="1044"/>
      <c r="G96" s="1045"/>
      <c r="H96" s="1045"/>
      <c r="I96" s="1045"/>
      <c r="J96" s="1009"/>
      <c r="K96" s="1001"/>
    </row>
    <row r="97" spans="2:11">
      <c r="B97" s="998"/>
      <c r="C97" s="1009"/>
      <c r="D97" s="1025"/>
      <c r="E97" s="1025"/>
      <c r="F97" s="1025"/>
      <c r="G97" s="1037"/>
      <c r="H97" s="1037"/>
      <c r="I97" s="1037"/>
      <c r="J97" s="1009"/>
      <c r="K97" s="1001"/>
    </row>
    <row r="98" spans="2:11">
      <c r="B98" s="998"/>
      <c r="C98" s="1009"/>
      <c r="G98" s="997"/>
      <c r="H98" s="1037"/>
      <c r="I98" s="1037"/>
      <c r="J98" s="1009"/>
      <c r="K98" s="1001"/>
    </row>
    <row r="99" spans="2:11">
      <c r="B99" s="998"/>
      <c r="C99" s="1009"/>
      <c r="D99" s="1050" t="s">
        <v>311</v>
      </c>
      <c r="E99" s="1009"/>
      <c r="F99" s="1009"/>
      <c r="G99" s="1048">
        <f>G77+G85+G95</f>
        <v>331713.42810867057</v>
      </c>
      <c r="H99" s="1048">
        <f>H77+H85+H95</f>
        <v>331713.42810867057</v>
      </c>
      <c r="I99" s="1048">
        <f>I77+I85+I95</f>
        <v>331713.42810867057</v>
      </c>
      <c r="J99" s="1009"/>
      <c r="K99" s="1001"/>
    </row>
    <row r="100" spans="2:11">
      <c r="B100" s="998"/>
      <c r="C100" s="1009"/>
      <c r="D100" s="1009"/>
      <c r="E100" s="1009"/>
      <c r="F100" s="1009"/>
      <c r="G100" s="1021"/>
      <c r="H100" s="1021"/>
      <c r="I100" s="1021"/>
      <c r="J100" s="1009"/>
      <c r="K100" s="1001"/>
    </row>
    <row r="101" spans="2:11">
      <c r="B101" s="998"/>
      <c r="C101" s="999"/>
      <c r="D101" s="999"/>
      <c r="E101" s="999"/>
      <c r="F101" s="999"/>
      <c r="G101" s="1000"/>
      <c r="H101" s="1000"/>
      <c r="I101" s="1000"/>
      <c r="J101" s="999"/>
      <c r="K101" s="1001"/>
    </row>
    <row r="102" spans="2:11">
      <c r="B102" s="1013"/>
      <c r="C102" s="1014"/>
      <c r="D102" s="1014"/>
      <c r="E102" s="1014"/>
      <c r="F102" s="1014"/>
      <c r="G102" s="1015"/>
      <c r="H102" s="1015"/>
      <c r="I102" s="1015"/>
      <c r="J102" s="1014"/>
      <c r="K102" s="1016"/>
    </row>
  </sheetData>
  <dataValidations count="2">
    <dataValidation type="list" allowBlank="1" showInputMessage="1" showErrorMessage="1" sqref="E91">
      <formula1>"H, W"</formula1>
    </dataValidation>
    <dataValidation type="list" allowBlank="1" showInputMessage="1" showErrorMessage="1" sqref="E92">
      <formula1>"ja, nee"</formula1>
    </dataValidation>
  </dataValidations>
  <pageMargins left="0.70866141732283472" right="0.70866141732283472" top="0.74803149606299213" bottom="0.74803149606299213" header="0.31496062992125984" footer="0.31496062992125984"/>
  <pageSetup paperSize="9" scale="65" orientation="portrait" r:id="rId1"/>
  <drawing r:id="rId2"/>
  <legacyDrawing r:id="rId3"/>
</worksheet>
</file>

<file path=xl/worksheets/sheet21.xml><?xml version="1.0" encoding="utf-8"?>
<worksheet xmlns="http://schemas.openxmlformats.org/spreadsheetml/2006/main" xmlns:r="http://schemas.openxmlformats.org/officeDocument/2006/relationships">
  <dimension ref="A1:J137"/>
  <sheetViews>
    <sheetView zoomScale="85" zoomScaleNormal="85" workbookViewId="0">
      <pane ySplit="3" topLeftCell="A100" activePane="bottomLeft" state="frozen"/>
      <selection activeCell="E93" sqref="E93"/>
      <selection pane="bottomLeft" activeCell="E93" sqref="E93"/>
    </sheetView>
  </sheetViews>
  <sheetFormatPr defaultRowHeight="12.75"/>
  <cols>
    <col min="1" max="1" width="41.140625" style="982" customWidth="1"/>
    <col min="2" max="8" width="16.85546875" style="982" customWidth="1"/>
    <col min="9" max="11" width="14.85546875" style="982" customWidth="1"/>
    <col min="12" max="16384" width="9.140625" style="982"/>
  </cols>
  <sheetData>
    <row r="1" spans="1:10" s="983" customFormat="1">
      <c r="A1" s="983" t="s">
        <v>290</v>
      </c>
      <c r="C1" s="984" t="s">
        <v>539</v>
      </c>
      <c r="D1" s="984" t="s">
        <v>574</v>
      </c>
      <c r="E1" s="984" t="s">
        <v>33</v>
      </c>
      <c r="F1" s="984" t="s">
        <v>760</v>
      </c>
      <c r="G1" s="984"/>
    </row>
    <row r="2" spans="1:10" s="983" customFormat="1">
      <c r="A2" s="983" t="s">
        <v>324</v>
      </c>
      <c r="C2" s="985">
        <v>41913</v>
      </c>
      <c r="D2" s="985">
        <v>42278</v>
      </c>
      <c r="E2" s="985">
        <v>42644</v>
      </c>
      <c r="F2" s="985">
        <v>43009</v>
      </c>
      <c r="G2" s="985"/>
    </row>
    <row r="3" spans="1:10" s="983" customFormat="1">
      <c r="A3" s="983" t="s">
        <v>414</v>
      </c>
      <c r="C3" s="986">
        <v>2015</v>
      </c>
      <c r="D3" s="986">
        <v>2016</v>
      </c>
      <c r="E3" s="986">
        <v>2017</v>
      </c>
      <c r="F3" s="986">
        <v>2016</v>
      </c>
      <c r="G3" s="986"/>
    </row>
    <row r="5" spans="1:10">
      <c r="A5" s="987" t="s">
        <v>164</v>
      </c>
    </row>
    <row r="6" spans="1:10">
      <c r="A6" s="982" t="s">
        <v>765</v>
      </c>
      <c r="B6" s="1033">
        <v>80902.44</v>
      </c>
      <c r="I6" s="2"/>
      <c r="J6" s="2"/>
    </row>
    <row r="7" spans="1:10">
      <c r="A7" s="982" t="s">
        <v>766</v>
      </c>
      <c r="B7" s="1033">
        <v>77857.3</v>
      </c>
    </row>
    <row r="8" spans="1:10">
      <c r="A8" s="982" t="s">
        <v>166</v>
      </c>
      <c r="B8" s="1033">
        <v>60462.73</v>
      </c>
    </row>
    <row r="9" spans="1:10">
      <c r="A9" s="982" t="s">
        <v>167</v>
      </c>
      <c r="B9" s="1033">
        <v>17394.57</v>
      </c>
    </row>
    <row r="10" spans="1:10">
      <c r="A10" s="982" t="s">
        <v>168</v>
      </c>
      <c r="B10" s="1033">
        <v>36373.99</v>
      </c>
      <c r="D10" s="7"/>
      <c r="E10" s="9"/>
      <c r="F10" s="9"/>
      <c r="G10" s="9"/>
      <c r="H10" s="9"/>
    </row>
    <row r="11" spans="1:10">
      <c r="A11" s="982" t="s">
        <v>170</v>
      </c>
      <c r="B11" s="1033">
        <v>21090.99</v>
      </c>
    </row>
    <row r="12" spans="1:10">
      <c r="A12" s="982" t="s">
        <v>171</v>
      </c>
      <c r="B12" s="1033">
        <v>955.39</v>
      </c>
    </row>
    <row r="13" spans="1:10">
      <c r="A13" s="982" t="s">
        <v>172</v>
      </c>
      <c r="B13" s="1035">
        <v>41.21</v>
      </c>
    </row>
    <row r="16" spans="1:10">
      <c r="A16" s="982" t="s">
        <v>768</v>
      </c>
      <c r="B16" s="982" t="s">
        <v>769</v>
      </c>
      <c r="C16" s="982" t="s">
        <v>767</v>
      </c>
      <c r="E16" s="2" t="s">
        <v>156</v>
      </c>
      <c r="F16" s="2"/>
      <c r="G16" s="2"/>
      <c r="H16" s="2"/>
      <c r="I16" s="2"/>
    </row>
    <row r="17" spans="1:9">
      <c r="A17" s="982" t="s">
        <v>770</v>
      </c>
      <c r="B17" s="982">
        <v>1.1734</v>
      </c>
      <c r="C17" s="988">
        <f>ROUND(B17*$B$8,2)</f>
        <v>70946.97</v>
      </c>
      <c r="E17" s="7" t="s">
        <v>157</v>
      </c>
      <c r="F17" s="2" t="s">
        <v>158</v>
      </c>
      <c r="G17" s="2" t="s">
        <v>159</v>
      </c>
      <c r="H17" s="7" t="s">
        <v>160</v>
      </c>
      <c r="I17" s="2" t="s">
        <v>161</v>
      </c>
    </row>
    <row r="18" spans="1:9">
      <c r="A18" s="982" t="s">
        <v>771</v>
      </c>
      <c r="B18" s="982">
        <v>5.6500000000000002E-2</v>
      </c>
      <c r="C18" s="988">
        <f>ROUND(B18*$B$8,2)</f>
        <v>3416.14</v>
      </c>
      <c r="E18" s="7" t="s">
        <v>162</v>
      </c>
      <c r="F18" s="2">
        <v>1</v>
      </c>
      <c r="G18" s="2">
        <v>1</v>
      </c>
      <c r="H18" s="2">
        <v>2</v>
      </c>
      <c r="I18" s="2">
        <v>2</v>
      </c>
    </row>
    <row r="19" spans="1:9">
      <c r="A19" s="982" t="s">
        <v>772</v>
      </c>
      <c r="B19" s="982">
        <v>3.9300000000000002E-2</v>
      </c>
      <c r="C19" s="988">
        <f>ROUND(B19*$B$8,2)</f>
        <v>2376.19</v>
      </c>
      <c r="E19" s="7" t="s">
        <v>163</v>
      </c>
      <c r="F19" s="2">
        <v>2</v>
      </c>
      <c r="G19" s="2">
        <v>3</v>
      </c>
      <c r="H19" s="2">
        <v>2</v>
      </c>
      <c r="I19" s="2">
        <v>3</v>
      </c>
    </row>
    <row r="20" spans="1:9">
      <c r="A20" s="982" t="s">
        <v>773</v>
      </c>
      <c r="B20" s="982">
        <v>7.6499999999999999E-2</v>
      </c>
      <c r="C20" s="988">
        <f>ROUND(B20*$B$8,2)</f>
        <v>4625.3999999999996</v>
      </c>
    </row>
    <row r="21" spans="1:9">
      <c r="D21" s="989"/>
      <c r="E21" s="989"/>
    </row>
    <row r="22" spans="1:9">
      <c r="D22" s="989"/>
      <c r="E22" s="989"/>
    </row>
    <row r="23" spans="1:9">
      <c r="A23" s="992" t="s">
        <v>826</v>
      </c>
      <c r="D23" s="989"/>
      <c r="E23" s="989"/>
    </row>
    <row r="24" spans="1:9">
      <c r="D24" s="989"/>
      <c r="E24" s="989"/>
    </row>
    <row r="25" spans="1:9">
      <c r="A25" s="1034" t="s">
        <v>820</v>
      </c>
      <c r="D25" s="989"/>
      <c r="E25" s="989"/>
    </row>
    <row r="26" spans="1:9">
      <c r="D26" s="989"/>
      <c r="E26" s="989"/>
    </row>
    <row r="27" spans="1:9">
      <c r="A27" s="983" t="s">
        <v>806</v>
      </c>
      <c r="C27" s="988">
        <f>ROUND(B17*$B$11,2)</f>
        <v>24748.17</v>
      </c>
      <c r="D27" s="1023"/>
    </row>
    <row r="28" spans="1:9">
      <c r="A28" s="990" t="s">
        <v>807</v>
      </c>
      <c r="C28" s="988">
        <f>ROUND(B17*$B$12,2)</f>
        <v>1121.05</v>
      </c>
      <c r="D28" s="1023"/>
    </row>
    <row r="29" spans="1:9">
      <c r="A29" s="991" t="s">
        <v>771</v>
      </c>
      <c r="D29" s="1022"/>
    </row>
    <row r="30" spans="1:9">
      <c r="A30" s="983" t="s">
        <v>170</v>
      </c>
      <c r="C30" s="988">
        <f>ROUND(B18*$B$11,2)</f>
        <v>1191.6400000000001</v>
      </c>
      <c r="D30" s="1023"/>
    </row>
    <row r="31" spans="1:9">
      <c r="A31" s="990" t="s">
        <v>171</v>
      </c>
      <c r="C31" s="988">
        <f>ROUND(B18*$B$12,2)</f>
        <v>53.98</v>
      </c>
      <c r="D31" s="1023"/>
    </row>
    <row r="32" spans="1:9">
      <c r="A32" s="991" t="s">
        <v>772</v>
      </c>
      <c r="D32" s="1022"/>
    </row>
    <row r="33" spans="1:6">
      <c r="A33" s="983" t="s">
        <v>170</v>
      </c>
      <c r="C33" s="988">
        <f>ROUND(B19*$B$11,2)</f>
        <v>828.88</v>
      </c>
      <c r="D33" s="1023"/>
    </row>
    <row r="34" spans="1:6">
      <c r="A34" s="990" t="s">
        <v>171</v>
      </c>
      <c r="C34" s="988">
        <f>ROUND(B19*$B$12,2)</f>
        <v>37.549999999999997</v>
      </c>
      <c r="D34" s="1023"/>
    </row>
    <row r="35" spans="1:6">
      <c r="A35" s="991" t="s">
        <v>773</v>
      </c>
      <c r="D35" s="1022"/>
    </row>
    <row r="36" spans="1:6">
      <c r="A36" s="983" t="s">
        <v>170</v>
      </c>
      <c r="C36" s="988">
        <f>ROUND(B20*$B$11,2)</f>
        <v>1613.46</v>
      </c>
      <c r="D36" s="1023"/>
    </row>
    <row r="37" spans="1:6">
      <c r="A37" s="990" t="s">
        <v>171</v>
      </c>
      <c r="C37" s="988">
        <f>ROUND(B20*$B$12,2)</f>
        <v>73.09</v>
      </c>
      <c r="D37" s="1023"/>
    </row>
    <row r="38" spans="1:6">
      <c r="A38" s="990"/>
      <c r="D38" s="1022"/>
    </row>
    <row r="39" spans="1:6">
      <c r="A39" s="982" t="s">
        <v>774</v>
      </c>
      <c r="C39" s="1033">
        <v>344.73</v>
      </c>
      <c r="D39" s="1023"/>
    </row>
    <row r="42" spans="1:6">
      <c r="A42" s="1034" t="s">
        <v>819</v>
      </c>
      <c r="B42" s="989"/>
      <c r="C42" s="989"/>
      <c r="D42" s="989"/>
      <c r="E42" s="989"/>
      <c r="F42" s="989"/>
    </row>
    <row r="43" spans="1:6">
      <c r="A43" s="982" t="s">
        <v>771</v>
      </c>
      <c r="B43" s="989" t="s">
        <v>778</v>
      </c>
      <c r="C43" s="1033">
        <v>7412.1325087719279</v>
      </c>
      <c r="D43" s="1032"/>
      <c r="F43" s="989"/>
    </row>
    <row r="44" spans="1:6">
      <c r="B44" s="989" t="s">
        <v>779</v>
      </c>
      <c r="C44" s="1033">
        <v>11273.46254901961</v>
      </c>
      <c r="D44" s="1032"/>
      <c r="F44" s="989"/>
    </row>
    <row r="45" spans="1:6">
      <c r="B45" s="989" t="s">
        <v>780</v>
      </c>
      <c r="C45" s="1033">
        <v>17327.757267002522</v>
      </c>
      <c r="D45" s="1032"/>
      <c r="F45" s="989"/>
    </row>
    <row r="46" spans="1:6">
      <c r="A46" s="982" t="s">
        <v>772</v>
      </c>
      <c r="B46" s="989" t="s">
        <v>778</v>
      </c>
      <c r="C46" s="1033">
        <v>6742.8650564188538</v>
      </c>
      <c r="D46" s="1032"/>
      <c r="F46" s="989"/>
    </row>
    <row r="47" spans="1:6">
      <c r="B47" s="989" t="s">
        <v>779</v>
      </c>
      <c r="C47" s="1033">
        <v>12366.087634529147</v>
      </c>
      <c r="D47" s="1032"/>
      <c r="F47" s="989"/>
    </row>
    <row r="48" spans="1:6">
      <c r="B48" s="989" t="s">
        <v>780</v>
      </c>
      <c r="C48" s="1033">
        <v>18373.05514848659</v>
      </c>
      <c r="D48" s="1032"/>
      <c r="F48" s="989"/>
    </row>
    <row r="49" spans="1:6">
      <c r="A49" s="982" t="s">
        <v>773</v>
      </c>
      <c r="B49" s="989" t="s">
        <v>778</v>
      </c>
      <c r="C49" s="1033">
        <v>7384.5074412335243</v>
      </c>
      <c r="D49" s="1032"/>
      <c r="F49" s="989"/>
    </row>
    <row r="50" spans="1:6">
      <c r="B50" s="989" t="s">
        <v>779</v>
      </c>
      <c r="C50" s="1033">
        <v>13868.256367041202</v>
      </c>
      <c r="D50" s="1032"/>
      <c r="F50" s="989"/>
    </row>
    <row r="51" spans="1:6">
      <c r="B51" s="989" t="s">
        <v>780</v>
      </c>
      <c r="C51" s="1033">
        <v>17042.825687203796</v>
      </c>
      <c r="D51" s="1032"/>
      <c r="F51" s="989"/>
    </row>
    <row r="54" spans="1:6" s="992" customFormat="1">
      <c r="A54" s="992" t="s">
        <v>775</v>
      </c>
    </row>
    <row r="56" spans="1:6">
      <c r="A56" s="1034" t="s">
        <v>825</v>
      </c>
    </row>
    <row r="57" spans="1:6">
      <c r="A57" s="982" t="s">
        <v>771</v>
      </c>
      <c r="C57" s="1033">
        <v>529.85</v>
      </c>
      <c r="D57" s="1032"/>
    </row>
    <row r="58" spans="1:6">
      <c r="A58" s="982" t="s">
        <v>772</v>
      </c>
      <c r="C58" s="1033">
        <v>453.21</v>
      </c>
      <c r="D58" s="1032"/>
    </row>
    <row r="59" spans="1:6">
      <c r="A59" s="982" t="s">
        <v>773</v>
      </c>
      <c r="C59" s="1033">
        <v>1043.99</v>
      </c>
      <c r="D59" s="1032"/>
    </row>
    <row r="61" spans="1:6">
      <c r="A61" s="982" t="s">
        <v>199</v>
      </c>
      <c r="C61" s="982" t="s">
        <v>804</v>
      </c>
      <c r="D61" s="982" t="s">
        <v>776</v>
      </c>
      <c r="E61" s="982" t="s">
        <v>777</v>
      </c>
    </row>
    <row r="62" spans="1:6">
      <c r="A62" s="982" t="s">
        <v>782</v>
      </c>
      <c r="C62" s="1033">
        <v>28083.85</v>
      </c>
      <c r="D62" s="1033">
        <v>13702.85</v>
      </c>
      <c r="E62" s="1033">
        <v>16165.86</v>
      </c>
      <c r="F62" s="989"/>
    </row>
    <row r="63" spans="1:6">
      <c r="A63" s="982" t="s">
        <v>783</v>
      </c>
      <c r="C63" s="1033">
        <v>28083.85</v>
      </c>
      <c r="D63" s="1033">
        <v>9537</v>
      </c>
      <c r="E63" s="1033">
        <v>11695.16</v>
      </c>
      <c r="F63" s="989"/>
    </row>
    <row r="64" spans="1:6">
      <c r="A64" s="982" t="s">
        <v>109</v>
      </c>
      <c r="C64" s="1033">
        <v>19340.79</v>
      </c>
      <c r="D64" s="1033">
        <v>7928.89</v>
      </c>
      <c r="E64" s="1033">
        <v>0</v>
      </c>
      <c r="F64" s="989"/>
    </row>
    <row r="65" spans="1:8">
      <c r="A65" s="982" t="s">
        <v>110</v>
      </c>
      <c r="C65" s="1033">
        <v>25788.58</v>
      </c>
      <c r="D65" s="1033">
        <v>19481.900000000001</v>
      </c>
      <c r="E65" s="1033">
        <v>19397.45</v>
      </c>
      <c r="F65" s="989"/>
    </row>
    <row r="66" spans="1:8">
      <c r="A66" s="982" t="s">
        <v>784</v>
      </c>
      <c r="C66" s="1033">
        <v>18039.2</v>
      </c>
      <c r="D66" s="1033">
        <v>7788.56</v>
      </c>
      <c r="E66" s="1033">
        <v>13741.78</v>
      </c>
      <c r="F66" s="989"/>
    </row>
    <row r="67" spans="1:8">
      <c r="A67" s="982" t="s">
        <v>785</v>
      </c>
      <c r="C67" s="1033">
        <v>19824.62</v>
      </c>
      <c r="D67" s="1033">
        <v>8241.17</v>
      </c>
      <c r="E67" s="1033">
        <v>12854.33</v>
      </c>
      <c r="F67" s="989"/>
    </row>
    <row r="68" spans="1:8">
      <c r="A68" s="982" t="s">
        <v>286</v>
      </c>
      <c r="C68" s="1033">
        <v>24524.34</v>
      </c>
      <c r="D68" s="1033">
        <v>13704.12</v>
      </c>
      <c r="E68" s="1033">
        <v>16469.75</v>
      </c>
      <c r="F68" s="989"/>
    </row>
    <row r="69" spans="1:8">
      <c r="A69" s="982" t="s">
        <v>287</v>
      </c>
      <c r="C69" s="1033">
        <v>19233.97</v>
      </c>
      <c r="D69" s="1033">
        <v>12869.23</v>
      </c>
      <c r="E69" s="1033">
        <v>16007.6</v>
      </c>
      <c r="F69" s="989"/>
    </row>
    <row r="70" spans="1:8">
      <c r="A70" s="982" t="s">
        <v>288</v>
      </c>
      <c r="C70" s="1033">
        <v>23441.89</v>
      </c>
      <c r="D70" s="1033">
        <v>6886.83</v>
      </c>
      <c r="E70" s="1033">
        <v>9473.94</v>
      </c>
      <c r="F70" s="989"/>
    </row>
    <row r="71" spans="1:8">
      <c r="A71" s="982" t="s">
        <v>115</v>
      </c>
      <c r="C71" s="1033">
        <v>18039.2</v>
      </c>
      <c r="D71" s="1033">
        <v>7788.56</v>
      </c>
      <c r="E71" s="1033">
        <v>13741.78</v>
      </c>
      <c r="F71" s="989"/>
    </row>
    <row r="72" spans="1:8">
      <c r="A72" s="982" t="s">
        <v>108</v>
      </c>
      <c r="C72" s="1033">
        <v>19266.580000000002</v>
      </c>
      <c r="D72" s="1033">
        <v>8689.51</v>
      </c>
      <c r="E72" s="1033">
        <v>11326.92</v>
      </c>
      <c r="F72" s="989"/>
    </row>
    <row r="73" spans="1:8">
      <c r="A73" s="982" t="s">
        <v>111</v>
      </c>
      <c r="C73" s="1033">
        <v>19185.060000000001</v>
      </c>
      <c r="D73" s="1033">
        <v>9917.69</v>
      </c>
      <c r="E73" s="1033">
        <v>12445.51</v>
      </c>
      <c r="F73" s="989"/>
    </row>
    <row r="74" spans="1:8">
      <c r="A74" s="982" t="s">
        <v>114</v>
      </c>
      <c r="C74" s="1033">
        <v>18039.2</v>
      </c>
      <c r="D74" s="1033">
        <v>7788.56</v>
      </c>
      <c r="E74" s="1033">
        <v>13741.78</v>
      </c>
      <c r="F74" s="989"/>
    </row>
    <row r="75" spans="1:8">
      <c r="A75" s="982" t="s">
        <v>786</v>
      </c>
      <c r="C75" s="1033">
        <v>18039.2</v>
      </c>
      <c r="D75" s="1033">
        <v>7788.56</v>
      </c>
      <c r="E75" s="1033">
        <v>13741.78</v>
      </c>
      <c r="F75" s="989"/>
    </row>
    <row r="76" spans="1:8">
      <c r="B76" s="989"/>
      <c r="C76" s="989"/>
      <c r="D76" s="989"/>
      <c r="E76" s="989"/>
      <c r="F76" s="989"/>
    </row>
    <row r="77" spans="1:8">
      <c r="B77" s="989"/>
      <c r="C77" s="989"/>
      <c r="D77" s="989"/>
      <c r="E77" s="989"/>
      <c r="F77" s="989"/>
    </row>
    <row r="78" spans="1:8">
      <c r="A78" s="1034" t="s">
        <v>787</v>
      </c>
      <c r="F78" s="989"/>
      <c r="G78" s="989"/>
      <c r="H78" s="989"/>
    </row>
    <row r="79" spans="1:8">
      <c r="A79" s="982" t="s">
        <v>771</v>
      </c>
      <c r="B79" s="989" t="s">
        <v>778</v>
      </c>
      <c r="C79" s="1033">
        <v>486.1554231113335</v>
      </c>
      <c r="D79" s="1032">
        <f>C79</f>
        <v>486.1554231113335</v>
      </c>
    </row>
    <row r="80" spans="1:8">
      <c r="B80" s="989" t="s">
        <v>779</v>
      </c>
      <c r="C80" s="1033">
        <v>937.0832829681741</v>
      </c>
      <c r="D80" s="1032">
        <f t="shared" ref="D80:D87" si="0">C80</f>
        <v>937.0832829681741</v>
      </c>
    </row>
    <row r="81" spans="1:6">
      <c r="B81" s="989" t="s">
        <v>780</v>
      </c>
      <c r="C81" s="1033">
        <v>1293.3163084186847</v>
      </c>
      <c r="D81" s="1032">
        <f t="shared" si="0"/>
        <v>1293.3163084186847</v>
      </c>
    </row>
    <row r="82" spans="1:6">
      <c r="A82" s="982" t="s">
        <v>772</v>
      </c>
      <c r="B82" s="989" t="s">
        <v>778</v>
      </c>
      <c r="C82" s="1033">
        <v>564.78833740932123</v>
      </c>
      <c r="D82" s="1032">
        <f t="shared" si="0"/>
        <v>564.78833740932123</v>
      </c>
      <c r="E82" s="989"/>
      <c r="F82" s="989"/>
    </row>
    <row r="83" spans="1:6">
      <c r="B83" s="989" t="s">
        <v>779</v>
      </c>
      <c r="C83" s="1033">
        <v>1013.7925969658482</v>
      </c>
      <c r="D83" s="1032">
        <f t="shared" si="0"/>
        <v>1013.7925969658482</v>
      </c>
      <c r="E83" s="989"/>
      <c r="F83" s="989"/>
    </row>
    <row r="84" spans="1:6">
      <c r="B84" s="989" t="s">
        <v>780</v>
      </c>
      <c r="C84" s="1033">
        <v>1325.2961918025387</v>
      </c>
      <c r="D84" s="1032">
        <f t="shared" si="0"/>
        <v>1325.2961918025387</v>
      </c>
      <c r="E84" s="989"/>
      <c r="F84" s="989"/>
    </row>
    <row r="85" spans="1:6">
      <c r="A85" s="982" t="s">
        <v>773</v>
      </c>
      <c r="B85" s="989" t="s">
        <v>778</v>
      </c>
      <c r="C85" s="1033">
        <v>364.14355919563656</v>
      </c>
      <c r="D85" s="1032">
        <f t="shared" si="0"/>
        <v>364.14355919563656</v>
      </c>
      <c r="E85" s="989"/>
      <c r="F85" s="989"/>
    </row>
    <row r="86" spans="1:6">
      <c r="B86" s="989" t="s">
        <v>779</v>
      </c>
      <c r="C86" s="1033">
        <v>695.53775941743118</v>
      </c>
      <c r="D86" s="1032">
        <f t="shared" si="0"/>
        <v>695.53775941743118</v>
      </c>
      <c r="E86" s="989"/>
      <c r="F86" s="989"/>
    </row>
    <row r="87" spans="1:6">
      <c r="B87" s="989" t="s">
        <v>780</v>
      </c>
      <c r="C87" s="1033">
        <v>808.910312210906</v>
      </c>
      <c r="D87" s="1032">
        <f t="shared" si="0"/>
        <v>808.910312210906</v>
      </c>
      <c r="E87" s="989"/>
      <c r="F87" s="989"/>
    </row>
    <row r="88" spans="1:6">
      <c r="B88" s="989"/>
      <c r="C88" s="989"/>
      <c r="D88" s="989"/>
      <c r="E88" s="989"/>
      <c r="F88" s="989"/>
    </row>
    <row r="89" spans="1:6">
      <c r="A89" s="1034" t="s">
        <v>818</v>
      </c>
      <c r="C89" s="989"/>
      <c r="D89" s="989"/>
      <c r="E89" s="989"/>
      <c r="F89" s="989"/>
    </row>
    <row r="90" spans="1:6">
      <c r="A90" s="982" t="s">
        <v>771</v>
      </c>
      <c r="B90" s="989" t="s">
        <v>778</v>
      </c>
      <c r="C90" s="989">
        <f t="shared" ref="C90:C98" si="1">C43+C79</f>
        <v>7898.2879318832611</v>
      </c>
      <c r="D90" s="1032">
        <f t="shared" ref="D90:D98" si="2">C90</f>
        <v>7898.2879318832611</v>
      </c>
      <c r="E90" s="989"/>
      <c r="F90" s="989"/>
    </row>
    <row r="91" spans="1:6">
      <c r="B91" s="989" t="s">
        <v>779</v>
      </c>
      <c r="C91" s="989">
        <f t="shared" si="1"/>
        <v>12210.545831987785</v>
      </c>
      <c r="D91" s="1032">
        <f t="shared" si="2"/>
        <v>12210.545831987785</v>
      </c>
      <c r="E91" s="989"/>
      <c r="F91" s="989"/>
    </row>
    <row r="92" spans="1:6">
      <c r="B92" s="989" t="s">
        <v>780</v>
      </c>
      <c r="C92" s="989">
        <f t="shared" si="1"/>
        <v>18621.073575421207</v>
      </c>
      <c r="D92" s="1032">
        <f t="shared" si="2"/>
        <v>18621.073575421207</v>
      </c>
      <c r="E92" s="989"/>
      <c r="F92" s="989"/>
    </row>
    <row r="93" spans="1:6">
      <c r="A93" s="982" t="s">
        <v>772</v>
      </c>
      <c r="B93" s="989" t="s">
        <v>778</v>
      </c>
      <c r="C93" s="989">
        <f t="shared" si="1"/>
        <v>7307.6533938281755</v>
      </c>
      <c r="D93" s="1032">
        <f t="shared" si="2"/>
        <v>7307.6533938281755</v>
      </c>
      <c r="E93" s="989"/>
      <c r="F93" s="989"/>
    </row>
    <row r="94" spans="1:6">
      <c r="B94" s="989" t="s">
        <v>779</v>
      </c>
      <c r="C94" s="989">
        <f t="shared" si="1"/>
        <v>13379.880231494995</v>
      </c>
      <c r="D94" s="1032">
        <f t="shared" si="2"/>
        <v>13379.880231494995</v>
      </c>
      <c r="E94" s="989"/>
      <c r="F94" s="989"/>
    </row>
    <row r="95" spans="1:6">
      <c r="B95" s="989" t="s">
        <v>780</v>
      </c>
      <c r="C95" s="989">
        <f t="shared" si="1"/>
        <v>19698.351340289129</v>
      </c>
      <c r="D95" s="1032">
        <f t="shared" si="2"/>
        <v>19698.351340289129</v>
      </c>
      <c r="E95" s="989"/>
      <c r="F95" s="989"/>
    </row>
    <row r="96" spans="1:6">
      <c r="A96" s="982" t="s">
        <v>773</v>
      </c>
      <c r="B96" s="989" t="s">
        <v>778</v>
      </c>
      <c r="C96" s="989">
        <f t="shared" si="1"/>
        <v>7748.6510004291613</v>
      </c>
      <c r="D96" s="1032">
        <f t="shared" si="2"/>
        <v>7748.6510004291613</v>
      </c>
      <c r="E96" s="989"/>
      <c r="F96" s="989"/>
    </row>
    <row r="97" spans="1:6">
      <c r="B97" s="989" t="s">
        <v>779</v>
      </c>
      <c r="C97" s="989">
        <f t="shared" si="1"/>
        <v>14563.794126458633</v>
      </c>
      <c r="D97" s="1032">
        <f t="shared" si="2"/>
        <v>14563.794126458633</v>
      </c>
      <c r="E97" s="989"/>
      <c r="F97" s="989"/>
    </row>
    <row r="98" spans="1:6">
      <c r="B98" s="989" t="s">
        <v>780</v>
      </c>
      <c r="C98" s="989">
        <f t="shared" si="1"/>
        <v>17851.735999414701</v>
      </c>
      <c r="D98" s="1032">
        <f t="shared" si="2"/>
        <v>17851.735999414701</v>
      </c>
      <c r="E98" s="989"/>
      <c r="F98" s="989"/>
    </row>
    <row r="99" spans="1:6">
      <c r="B99" s="989"/>
      <c r="C99" s="989"/>
      <c r="D99" s="989"/>
      <c r="E99" s="989"/>
      <c r="F99" s="989"/>
    </row>
    <row r="100" spans="1:6">
      <c r="B100" s="989"/>
      <c r="C100" s="989"/>
      <c r="D100" s="989"/>
      <c r="E100" s="989"/>
      <c r="F100" s="989"/>
    </row>
    <row r="101" spans="1:6">
      <c r="B101" s="989"/>
      <c r="C101" s="989"/>
      <c r="D101" s="989"/>
      <c r="E101" s="989"/>
      <c r="F101" s="989"/>
    </row>
    <row r="102" spans="1:6" ht="12.75" hidden="1" customHeight="1">
      <c r="B102" s="989" t="s">
        <v>788</v>
      </c>
      <c r="C102" s="989"/>
      <c r="D102" s="989"/>
      <c r="E102" s="989"/>
      <c r="F102" s="989"/>
    </row>
    <row r="103" spans="1:6" ht="12.75" hidden="1" customHeight="1">
      <c r="A103" s="982" t="s">
        <v>789</v>
      </c>
      <c r="B103" s="989" t="s">
        <v>778</v>
      </c>
      <c r="C103" s="989" t="s">
        <v>779</v>
      </c>
      <c r="D103" s="989" t="s">
        <v>780</v>
      </c>
      <c r="E103" s="989" t="s">
        <v>781</v>
      </c>
      <c r="F103" s="989" t="s">
        <v>790</v>
      </c>
    </row>
    <row r="104" spans="1:6" ht="12.75" hidden="1" customHeight="1">
      <c r="A104" s="982" t="s">
        <v>791</v>
      </c>
      <c r="B104" s="989">
        <v>5700</v>
      </c>
      <c r="C104" s="989">
        <v>510</v>
      </c>
      <c r="D104" s="989">
        <v>794</v>
      </c>
      <c r="E104" s="989">
        <v>2554</v>
      </c>
      <c r="F104" s="989">
        <v>9558</v>
      </c>
    </row>
    <row r="105" spans="1:6" ht="12.75" hidden="1" customHeight="1">
      <c r="A105" s="982" t="s">
        <v>792</v>
      </c>
      <c r="B105" s="989">
        <v>15509</v>
      </c>
      <c r="C105" s="989">
        <v>892</v>
      </c>
      <c r="D105" s="989">
        <v>3502</v>
      </c>
      <c r="E105" s="989">
        <v>4310</v>
      </c>
      <c r="F105" s="989">
        <v>24213</v>
      </c>
    </row>
    <row r="106" spans="1:6" ht="12.75" hidden="1" customHeight="1">
      <c r="A106" s="982" t="s">
        <v>793</v>
      </c>
      <c r="B106" s="989">
        <v>30417</v>
      </c>
      <c r="C106" s="989">
        <v>1068</v>
      </c>
      <c r="D106" s="989">
        <v>1899</v>
      </c>
      <c r="E106" s="989">
        <v>2320</v>
      </c>
      <c r="F106" s="989">
        <v>35704</v>
      </c>
    </row>
    <row r="107" spans="1:6" ht="12.75" hidden="1" customHeight="1">
      <c r="A107" s="982" t="s">
        <v>794</v>
      </c>
      <c r="B107" s="989">
        <v>42249155.29999999</v>
      </c>
      <c r="C107" s="989">
        <v>5749465.9000000013</v>
      </c>
      <c r="D107" s="989">
        <v>13758239.270000001</v>
      </c>
      <c r="E107" s="989">
        <v>24814423.560000006</v>
      </c>
      <c r="F107" s="989">
        <v>86571284.030000001</v>
      </c>
    </row>
    <row r="108" spans="1:6" ht="12.75" hidden="1" customHeight="1">
      <c r="A108" s="982" t="s">
        <v>795</v>
      </c>
      <c r="B108" s="989">
        <v>104575094.16</v>
      </c>
      <c r="C108" s="989">
        <v>11030550.17</v>
      </c>
      <c r="D108" s="989">
        <v>64342439.13000004</v>
      </c>
      <c r="E108" s="989">
        <v>32814154.720000006</v>
      </c>
      <c r="F108" s="989">
        <v>212762238.18000004</v>
      </c>
    </row>
    <row r="109" spans="1:6" ht="12.75" hidden="1" customHeight="1">
      <c r="A109" s="982" t="s">
        <v>796</v>
      </c>
      <c r="B109" s="989">
        <v>224614562.84000012</v>
      </c>
      <c r="C109" s="989">
        <v>14811297.800000004</v>
      </c>
      <c r="D109" s="989">
        <v>32364325.980000008</v>
      </c>
      <c r="E109" s="989">
        <v>23287396.879999999</v>
      </c>
      <c r="F109" s="989">
        <v>295077583.50000012</v>
      </c>
    </row>
    <row r="110" spans="1:6" ht="12.75" hidden="1" customHeight="1">
      <c r="A110" s="982" t="s">
        <v>797</v>
      </c>
      <c r="B110" s="989">
        <v>2771085.911734601</v>
      </c>
      <c r="C110" s="989">
        <v>477912.47431376879</v>
      </c>
      <c r="D110" s="989">
        <v>1026893.1488844356</v>
      </c>
      <c r="E110" s="989">
        <v>1928726.2427089752</v>
      </c>
      <c r="F110" s="989">
        <v>6204617.7776417807</v>
      </c>
    </row>
    <row r="111" spans="1:6" ht="12.75" hidden="1" customHeight="1">
      <c r="A111" s="982" t="s">
        <v>798</v>
      </c>
      <c r="B111" s="989">
        <v>8759302.3248811625</v>
      </c>
      <c r="C111" s="989">
        <v>904302.99649353663</v>
      </c>
      <c r="D111" s="989">
        <v>4641187.2636924908</v>
      </c>
      <c r="E111" s="989">
        <v>3665936.0560513632</v>
      </c>
      <c r="F111" s="989">
        <v>17970728.641118553</v>
      </c>
    </row>
    <row r="112" spans="1:6" ht="12.75" hidden="1" customHeight="1">
      <c r="A112" s="982" t="s">
        <v>799</v>
      </c>
      <c r="B112" s="989">
        <v>11076154.640053676</v>
      </c>
      <c r="C112" s="989">
        <v>742834.32705781655</v>
      </c>
      <c r="D112" s="989">
        <v>1536120.6828885104</v>
      </c>
      <c r="E112" s="989">
        <v>1679126.23</v>
      </c>
      <c r="F112" s="989">
        <v>15034235.880000003</v>
      </c>
    </row>
    <row r="113" spans="1:9" ht="12.75" hidden="1" customHeight="1">
      <c r="B113" s="989"/>
      <c r="C113" s="989"/>
      <c r="D113" s="989"/>
      <c r="E113" s="989"/>
      <c r="F113" s="989"/>
    </row>
    <row r="114" spans="1:9" ht="12.75" hidden="1" customHeight="1">
      <c r="B114" s="989"/>
      <c r="C114" s="989"/>
      <c r="D114" s="989"/>
      <c r="E114" s="989"/>
      <c r="F114" s="989"/>
    </row>
    <row r="115" spans="1:9" ht="12.75" hidden="1" customHeight="1">
      <c r="A115" s="982" t="s">
        <v>800</v>
      </c>
      <c r="B115" s="989"/>
      <c r="C115" s="989"/>
      <c r="D115" s="989"/>
      <c r="E115" s="989"/>
      <c r="F115" s="989"/>
    </row>
    <row r="116" spans="1:9" ht="12.75" hidden="1" customHeight="1">
      <c r="A116" s="982" t="s">
        <v>801</v>
      </c>
      <c r="B116" s="989">
        <v>6922.7332481493695</v>
      </c>
      <c r="C116" s="989">
        <v>11968.627724679031</v>
      </c>
      <c r="D116" s="989">
        <v>18179.859962756062</v>
      </c>
      <c r="E116" s="989"/>
      <c r="F116" s="989"/>
    </row>
    <row r="117" spans="1:9" ht="12.75" hidden="1" customHeight="1">
      <c r="A117" s="982" t="s">
        <v>802</v>
      </c>
      <c r="B117" s="989">
        <v>543.65544045526724</v>
      </c>
      <c r="C117" s="989">
        <v>985.88835292960448</v>
      </c>
      <c r="D117" s="989">
        <v>1319.3855708977949</v>
      </c>
      <c r="E117" s="989"/>
      <c r="F117" s="989"/>
    </row>
    <row r="118" spans="1:9" ht="12.75" hidden="1" customHeight="1">
      <c r="A118" s="982" t="s">
        <v>803</v>
      </c>
      <c r="B118" s="989">
        <v>7466.3886886046366</v>
      </c>
      <c r="C118" s="989">
        <v>12954.516077608634</v>
      </c>
      <c r="D118" s="989">
        <v>19499.245533653855</v>
      </c>
      <c r="E118" s="989"/>
      <c r="F118" s="989"/>
    </row>
    <row r="119" spans="1:9">
      <c r="A119" s="18" t="s">
        <v>129</v>
      </c>
      <c r="B119" s="30"/>
      <c r="C119" s="30"/>
      <c r="D119" s="30"/>
      <c r="E119" s="30"/>
      <c r="F119" s="2"/>
      <c r="G119" s="2"/>
      <c r="H119" s="2"/>
      <c r="I119" s="2"/>
    </row>
    <row r="120" spans="1:9">
      <c r="A120" s="36" t="s">
        <v>121</v>
      </c>
      <c r="B120" s="36"/>
      <c r="C120" s="36" t="s">
        <v>130</v>
      </c>
      <c r="D120" s="36" t="s">
        <v>206</v>
      </c>
      <c r="E120" s="36" t="s">
        <v>131</v>
      </c>
      <c r="F120" s="36" t="s">
        <v>442</v>
      </c>
      <c r="G120" s="36" t="s">
        <v>132</v>
      </c>
      <c r="H120" s="36" t="s">
        <v>133</v>
      </c>
      <c r="I120" s="36" t="s">
        <v>134</v>
      </c>
    </row>
    <row r="121" spans="1:9">
      <c r="A121" s="11" t="s">
        <v>105</v>
      </c>
      <c r="B121" s="37">
        <v>0</v>
      </c>
      <c r="C121" s="36"/>
      <c r="D121" s="36"/>
      <c r="E121" s="36"/>
      <c r="F121" s="36"/>
      <c r="G121" s="36"/>
      <c r="H121" s="36"/>
      <c r="I121" s="36"/>
    </row>
    <row r="122" spans="1:9">
      <c r="A122" s="11" t="s">
        <v>106</v>
      </c>
      <c r="B122" s="37">
        <v>0</v>
      </c>
      <c r="C122" s="36"/>
      <c r="D122" s="36"/>
      <c r="E122" s="36"/>
      <c r="F122" s="36"/>
      <c r="G122" s="36"/>
      <c r="H122" s="36"/>
      <c r="I122" s="36"/>
    </row>
    <row r="123" spans="1:9">
      <c r="A123" s="36" t="s">
        <v>107</v>
      </c>
      <c r="B123" s="37">
        <v>0</v>
      </c>
      <c r="C123" s="36"/>
      <c r="D123" s="36"/>
      <c r="E123" s="36"/>
      <c r="F123" s="36"/>
      <c r="G123" s="36"/>
      <c r="H123" s="36"/>
      <c r="I123" s="36"/>
    </row>
    <row r="124" spans="1:9">
      <c r="A124" s="36" t="s">
        <v>108</v>
      </c>
      <c r="B124" s="37">
        <v>0</v>
      </c>
      <c r="C124" s="36"/>
      <c r="D124" s="36"/>
      <c r="E124" s="36"/>
      <c r="F124" s="36"/>
      <c r="G124" s="36"/>
      <c r="H124" s="36"/>
      <c r="I124" s="36"/>
    </row>
    <row r="125" spans="1:9">
      <c r="A125" s="36" t="s">
        <v>109</v>
      </c>
      <c r="B125" s="37">
        <v>0</v>
      </c>
      <c r="C125" s="36"/>
      <c r="D125" s="36"/>
      <c r="E125" s="36"/>
      <c r="F125" s="36"/>
      <c r="G125" s="36"/>
      <c r="H125" s="36"/>
      <c r="I125" s="36"/>
    </row>
    <row r="126" spans="1:9">
      <c r="A126" s="36" t="s">
        <v>110</v>
      </c>
      <c r="B126" s="37">
        <f t="shared" ref="B126:B135" si="3">+H126+I126</f>
        <v>40351.17</v>
      </c>
      <c r="C126" s="36" t="s">
        <v>135</v>
      </c>
      <c r="D126" s="968">
        <v>85</v>
      </c>
      <c r="E126" s="969">
        <v>9486.48</v>
      </c>
      <c r="F126" s="969">
        <v>276.18</v>
      </c>
      <c r="G126" s="970">
        <v>85</v>
      </c>
      <c r="H126" s="9">
        <f>+E126+F126*G126</f>
        <v>32961.78</v>
      </c>
      <c r="I126" s="9">
        <f>$D$136+$E$136*G126</f>
        <v>7389.39</v>
      </c>
    </row>
    <row r="127" spans="1:9">
      <c r="A127" s="36" t="s">
        <v>111</v>
      </c>
      <c r="B127" s="37">
        <f t="shared" si="3"/>
        <v>25985.89</v>
      </c>
      <c r="C127" s="36" t="s">
        <v>136</v>
      </c>
      <c r="D127" s="968">
        <v>19</v>
      </c>
      <c r="E127" s="969">
        <v>20511.61</v>
      </c>
      <c r="F127" s="969">
        <v>160.53</v>
      </c>
      <c r="G127" s="970">
        <v>19</v>
      </c>
      <c r="H127" s="9">
        <f>+E127+F127*G127</f>
        <v>23561.68</v>
      </c>
      <c r="I127" s="9">
        <f>$D$136+$E$136*G127</f>
        <v>2424.21</v>
      </c>
    </row>
    <row r="128" spans="1:9">
      <c r="A128" s="36" t="s">
        <v>112</v>
      </c>
      <c r="B128" s="37">
        <f t="shared" si="3"/>
        <v>0</v>
      </c>
      <c r="C128" s="2"/>
      <c r="D128" s="2"/>
      <c r="E128" s="2"/>
      <c r="F128" s="2"/>
      <c r="G128" s="2"/>
      <c r="H128" s="9"/>
      <c r="I128" s="9"/>
    </row>
    <row r="129" spans="1:9">
      <c r="A129" s="36" t="s">
        <v>113</v>
      </c>
      <c r="B129" s="37">
        <f t="shared" si="3"/>
        <v>0</v>
      </c>
      <c r="C129" s="2"/>
      <c r="D129" s="2"/>
      <c r="E129" s="2"/>
      <c r="F129" s="2"/>
      <c r="G129" s="2"/>
      <c r="H129" s="9"/>
      <c r="I129" s="9"/>
    </row>
    <row r="130" spans="1:9">
      <c r="A130" s="36" t="s">
        <v>114</v>
      </c>
      <c r="B130" s="37">
        <f t="shared" si="3"/>
        <v>0</v>
      </c>
      <c r="C130" s="2"/>
      <c r="D130" s="2"/>
      <c r="E130" s="2"/>
      <c r="F130" s="2"/>
      <c r="G130" s="2"/>
      <c r="H130" s="9"/>
      <c r="I130" s="9"/>
    </row>
    <row r="131" spans="1:9">
      <c r="A131" s="36" t="s">
        <v>115</v>
      </c>
      <c r="B131" s="37">
        <f t="shared" si="3"/>
        <v>0</v>
      </c>
      <c r="C131" s="2"/>
      <c r="D131" s="2"/>
      <c r="E131" s="2"/>
      <c r="F131" s="2"/>
      <c r="G131" s="2"/>
      <c r="H131" s="9"/>
      <c r="I131" s="9"/>
    </row>
    <row r="132" spans="1:9">
      <c r="A132" s="36" t="s">
        <v>116</v>
      </c>
      <c r="B132" s="37">
        <f t="shared" si="3"/>
        <v>40351.17</v>
      </c>
      <c r="C132" s="36" t="s">
        <v>135</v>
      </c>
      <c r="D132" s="55">
        <v>85</v>
      </c>
      <c r="E132" s="37">
        <f>+E126</f>
        <v>9486.48</v>
      </c>
      <c r="F132" s="37">
        <f>+F126</f>
        <v>276.18</v>
      </c>
      <c r="G132" s="38">
        <f>+D132</f>
        <v>85</v>
      </c>
      <c r="H132" s="9">
        <f>+E132+F132*G132</f>
        <v>32961.78</v>
      </c>
      <c r="I132" s="9">
        <f>$D$136+$E$136*G132</f>
        <v>7389.39</v>
      </c>
    </row>
    <row r="133" spans="1:9">
      <c r="A133" s="36" t="s">
        <v>117</v>
      </c>
      <c r="B133" s="37">
        <f t="shared" si="3"/>
        <v>25985.89</v>
      </c>
      <c r="C133" s="36" t="s">
        <v>136</v>
      </c>
      <c r="D133" s="55">
        <v>19</v>
      </c>
      <c r="E133" s="37">
        <f>+E127</f>
        <v>20511.61</v>
      </c>
      <c r="F133" s="37">
        <f>+F127</f>
        <v>160.53</v>
      </c>
      <c r="G133" s="38">
        <f>+D133</f>
        <v>19</v>
      </c>
      <c r="H133" s="9">
        <f>+E133+F133*G133</f>
        <v>23561.68</v>
      </c>
      <c r="I133" s="9">
        <f>$D$136+$E$136*G133</f>
        <v>2424.21</v>
      </c>
    </row>
    <row r="134" spans="1:9">
      <c r="A134" s="36" t="s">
        <v>118</v>
      </c>
      <c r="B134" s="37">
        <f t="shared" si="3"/>
        <v>25985.89</v>
      </c>
      <c r="C134" s="36" t="s">
        <v>136</v>
      </c>
      <c r="D134" s="55">
        <v>19</v>
      </c>
      <c r="E134" s="37">
        <f>+E127</f>
        <v>20511.61</v>
      </c>
      <c r="F134" s="37">
        <f>+F127</f>
        <v>160.53</v>
      </c>
      <c r="G134" s="38">
        <f>+D134</f>
        <v>19</v>
      </c>
      <c r="H134" s="9">
        <f>+E134+F134*G134</f>
        <v>23561.68</v>
      </c>
      <c r="I134" s="9">
        <f>$D$136+$E$136*G134</f>
        <v>2424.21</v>
      </c>
    </row>
    <row r="135" spans="1:9">
      <c r="A135" s="36" t="s">
        <v>119</v>
      </c>
      <c r="B135" s="37">
        <f t="shared" si="3"/>
        <v>0</v>
      </c>
      <c r="C135" s="36"/>
      <c r="D135" s="38"/>
      <c r="E135" s="36"/>
      <c r="F135" s="36"/>
      <c r="G135" s="38"/>
      <c r="H135" s="23"/>
      <c r="I135" s="23"/>
    </row>
    <row r="136" spans="1:9">
      <c r="A136" s="30" t="s">
        <v>137</v>
      </c>
      <c r="B136" s="30"/>
      <c r="C136" s="30"/>
      <c r="D136" s="53">
        <v>994.84</v>
      </c>
      <c r="E136" s="53">
        <v>75.23</v>
      </c>
      <c r="F136" s="36"/>
      <c r="G136" s="2"/>
      <c r="H136" s="2"/>
      <c r="I136" s="2"/>
    </row>
    <row r="137" spans="1:9">
      <c r="A137" s="36" t="s">
        <v>138</v>
      </c>
      <c r="B137" s="30"/>
      <c r="C137" s="30"/>
      <c r="D137" s="54">
        <v>6108.19</v>
      </c>
      <c r="E137" s="9"/>
      <c r="F137" s="30"/>
      <c r="G137" s="2"/>
      <c r="H137" s="2"/>
      <c r="I137" s="2"/>
    </row>
  </sheetData>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dimension ref="B1:AX230"/>
  <sheetViews>
    <sheetView zoomScale="85" zoomScaleNormal="85" workbookViewId="0">
      <selection activeCell="B2" sqref="B2"/>
    </sheetView>
  </sheetViews>
  <sheetFormatPr defaultRowHeight="12.75"/>
  <cols>
    <col min="1" max="1" width="3.7109375" style="65" customWidth="1"/>
    <col min="2" max="3" width="2.7109375" style="65" customWidth="1"/>
    <col min="4" max="4" width="13.42578125" style="65" customWidth="1"/>
    <col min="5" max="5" width="15" style="65" customWidth="1"/>
    <col min="6" max="6" width="10.7109375" style="65" customWidth="1"/>
    <col min="7" max="7" width="12.7109375" style="75" customWidth="1"/>
    <col min="8" max="8" width="1.7109375" style="65" customWidth="1"/>
    <col min="9" max="20" width="11.7109375" style="67" customWidth="1"/>
    <col min="21" max="22" width="2.7109375" style="65" customWidth="1"/>
    <col min="23" max="24" width="2.85546875" style="65" customWidth="1"/>
    <col min="25" max="49" width="10.7109375" style="65" customWidth="1"/>
    <col min="50" max="16384" width="9.140625" style="65"/>
  </cols>
  <sheetData>
    <row r="1" spans="2:50" ht="12.75" customHeight="1"/>
    <row r="2" spans="2:50">
      <c r="B2" s="87"/>
      <c r="C2" s="88"/>
      <c r="D2" s="88"/>
      <c r="E2" s="88"/>
      <c r="F2" s="88"/>
      <c r="G2" s="90"/>
      <c r="H2" s="88"/>
      <c r="I2" s="90"/>
      <c r="J2" s="90"/>
      <c r="K2" s="90"/>
      <c r="L2" s="90"/>
      <c r="M2" s="90"/>
      <c r="N2" s="90"/>
      <c r="O2" s="90"/>
      <c r="P2" s="90"/>
      <c r="Q2" s="90"/>
      <c r="R2" s="90"/>
      <c r="S2" s="90"/>
      <c r="T2" s="90"/>
      <c r="U2" s="88"/>
      <c r="V2" s="91"/>
    </row>
    <row r="3" spans="2:50" s="73" customFormat="1">
      <c r="B3" s="98"/>
      <c r="C3" s="100"/>
      <c r="D3" s="100"/>
      <c r="E3" s="100"/>
      <c r="F3" s="100"/>
      <c r="G3" s="102"/>
      <c r="H3" s="100"/>
      <c r="I3" s="102"/>
      <c r="J3" s="102"/>
      <c r="K3" s="102"/>
      <c r="L3" s="102"/>
      <c r="M3" s="102"/>
      <c r="N3" s="102"/>
      <c r="O3" s="102"/>
      <c r="P3" s="102"/>
      <c r="Q3" s="102"/>
      <c r="R3" s="102"/>
      <c r="S3" s="102"/>
      <c r="T3" s="102"/>
      <c r="U3" s="100"/>
      <c r="V3" s="104"/>
    </row>
    <row r="4" spans="2:50" s="73" customFormat="1" ht="18.75">
      <c r="B4" s="98"/>
      <c r="C4" s="168" t="s">
        <v>400</v>
      </c>
      <c r="D4" s="100"/>
      <c r="E4" s="100"/>
      <c r="F4" s="100"/>
      <c r="G4" s="102"/>
      <c r="H4" s="100"/>
      <c r="I4" s="102"/>
      <c r="J4" s="102"/>
      <c r="K4" s="225"/>
      <c r="L4" s="102"/>
      <c r="M4" s="102"/>
      <c r="N4" s="102"/>
      <c r="O4" s="102"/>
      <c r="P4" s="102"/>
      <c r="Q4" s="102"/>
      <c r="R4" s="102"/>
      <c r="S4" s="102"/>
      <c r="T4" s="102"/>
      <c r="U4" s="100"/>
      <c r="V4" s="104"/>
    </row>
    <row r="5" spans="2:50" s="73" customFormat="1" ht="18.75">
      <c r="B5" s="98"/>
      <c r="C5" s="105" t="str">
        <f>geg!I12</f>
        <v>De speciale school</v>
      </c>
      <c r="D5" s="100"/>
      <c r="E5" s="100"/>
      <c r="F5" s="100"/>
      <c r="G5" s="102"/>
      <c r="H5" s="100"/>
      <c r="I5" s="102"/>
      <c r="J5" s="102"/>
      <c r="K5" s="225"/>
      <c r="L5" s="102"/>
      <c r="M5" s="102"/>
      <c r="N5" s="102"/>
      <c r="O5" s="102"/>
      <c r="P5" s="102"/>
      <c r="Q5" s="102"/>
      <c r="R5" s="102"/>
      <c r="S5" s="102"/>
      <c r="T5" s="102"/>
      <c r="U5" s="100"/>
      <c r="V5" s="104"/>
    </row>
    <row r="6" spans="2:50" ht="12" customHeight="1">
      <c r="B6" s="92"/>
      <c r="C6" s="226"/>
      <c r="D6" s="93"/>
      <c r="E6" s="93"/>
      <c r="F6" s="93"/>
      <c r="G6" s="95"/>
      <c r="H6" s="93"/>
      <c r="I6" s="95"/>
      <c r="J6" s="95"/>
      <c r="K6" s="227"/>
      <c r="L6" s="95"/>
      <c r="M6" s="95"/>
      <c r="N6" s="95"/>
      <c r="O6" s="95"/>
      <c r="P6" s="95"/>
      <c r="Q6" s="95"/>
      <c r="R6" s="95"/>
      <c r="S6" s="95"/>
      <c r="T6" s="95"/>
      <c r="U6" s="93"/>
      <c r="V6" s="97"/>
      <c r="Z6" s="65" t="s">
        <v>282</v>
      </c>
      <c r="AM6" s="65" t="s">
        <v>281</v>
      </c>
    </row>
    <row r="7" spans="2:50" ht="12" customHeight="1">
      <c r="B7" s="92"/>
      <c r="C7" s="226"/>
      <c r="D7" s="93"/>
      <c r="E7" s="93"/>
      <c r="F7" s="93"/>
      <c r="G7" s="95"/>
      <c r="H7" s="93"/>
      <c r="I7" s="95"/>
      <c r="J7" s="95"/>
      <c r="K7" s="227"/>
      <c r="L7" s="95"/>
      <c r="M7" s="95"/>
      <c r="N7" s="95"/>
      <c r="O7" s="95"/>
      <c r="P7" s="95"/>
      <c r="Q7" s="95"/>
      <c r="R7" s="95"/>
      <c r="S7" s="95"/>
      <c r="T7" s="95"/>
      <c r="U7" s="93"/>
      <c r="V7" s="97"/>
    </row>
    <row r="8" spans="2:50">
      <c r="B8" s="92"/>
      <c r="C8" s="124"/>
      <c r="D8" s="127"/>
      <c r="E8" s="127"/>
      <c r="F8" s="127"/>
      <c r="G8" s="129"/>
      <c r="H8" s="127"/>
      <c r="I8" s="129"/>
      <c r="J8" s="129"/>
      <c r="K8" s="129"/>
      <c r="L8" s="129"/>
      <c r="M8" s="129"/>
      <c r="N8" s="129"/>
      <c r="O8" s="129"/>
      <c r="P8" s="153"/>
      <c r="Q8" s="153"/>
      <c r="R8" s="129"/>
      <c r="S8" s="129"/>
      <c r="T8" s="129"/>
      <c r="U8" s="130"/>
      <c r="V8" s="97"/>
      <c r="Y8" s="217"/>
      <c r="AL8" s="217"/>
    </row>
    <row r="9" spans="2:50" s="73" customFormat="1">
      <c r="B9" s="98"/>
      <c r="C9" s="228"/>
      <c r="D9" s="239" t="s">
        <v>688</v>
      </c>
      <c r="E9" s="174" t="str">
        <f>tab!C2</f>
        <v>2011/12</v>
      </c>
      <c r="F9" s="229"/>
      <c r="G9" s="230"/>
      <c r="H9" s="229"/>
      <c r="I9" s="230"/>
      <c r="J9" s="230"/>
      <c r="K9" s="170">
        <v>0</v>
      </c>
      <c r="L9" s="230"/>
      <c r="M9" s="230"/>
      <c r="N9" s="230"/>
      <c r="O9" s="230"/>
      <c r="P9" s="230"/>
      <c r="Q9" s="230"/>
      <c r="R9" s="230"/>
      <c r="S9" s="230"/>
      <c r="T9" s="230"/>
      <c r="U9" s="231"/>
      <c r="V9" s="104"/>
      <c r="Y9" s="218"/>
      <c r="AL9" s="218"/>
    </row>
    <row r="10" spans="2:50" s="73" customFormat="1">
      <c r="B10" s="98"/>
      <c r="C10" s="228"/>
      <c r="D10" s="239" t="s">
        <v>691</v>
      </c>
      <c r="E10" s="240" t="str">
        <f>tab!D2</f>
        <v>2012/13</v>
      </c>
      <c r="F10" s="174" t="s">
        <v>270</v>
      </c>
      <c r="G10" s="241" t="str">
        <f>tab!D2</f>
        <v>2012/13</v>
      </c>
      <c r="H10" s="174"/>
      <c r="I10" s="242" t="s">
        <v>218</v>
      </c>
      <c r="J10" s="242" t="s">
        <v>219</v>
      </c>
      <c r="K10" s="242" t="s">
        <v>220</v>
      </c>
      <c r="L10" s="242" t="s">
        <v>221</v>
      </c>
      <c r="M10" s="242" t="s">
        <v>222</v>
      </c>
      <c r="N10" s="242" t="s">
        <v>216</v>
      </c>
      <c r="O10" s="242" t="s">
        <v>217</v>
      </c>
      <c r="P10" s="242" t="s">
        <v>223</v>
      </c>
      <c r="Q10" s="242" t="s">
        <v>224</v>
      </c>
      <c r="R10" s="242" t="s">
        <v>225</v>
      </c>
      <c r="S10" s="242" t="s">
        <v>226</v>
      </c>
      <c r="T10" s="242" t="s">
        <v>227</v>
      </c>
      <c r="U10" s="231"/>
      <c r="V10" s="104"/>
      <c r="Z10" s="73" t="s">
        <v>218</v>
      </c>
      <c r="AA10" s="73" t="s">
        <v>219</v>
      </c>
      <c r="AB10" s="73" t="s">
        <v>220</v>
      </c>
      <c r="AC10" s="73" t="s">
        <v>221</v>
      </c>
      <c r="AD10" s="73" t="s">
        <v>222</v>
      </c>
      <c r="AE10" s="73" t="s">
        <v>216</v>
      </c>
      <c r="AF10" s="73" t="s">
        <v>217</v>
      </c>
      <c r="AG10" s="73" t="s">
        <v>223</v>
      </c>
      <c r="AH10" s="73" t="s">
        <v>224</v>
      </c>
      <c r="AI10" s="73" t="s">
        <v>225</v>
      </c>
      <c r="AJ10" s="73" t="s">
        <v>226</v>
      </c>
      <c r="AK10" s="73" t="s">
        <v>227</v>
      </c>
      <c r="AM10" s="73" t="s">
        <v>218</v>
      </c>
      <c r="AN10" s="73" t="s">
        <v>219</v>
      </c>
      <c r="AO10" s="73" t="s">
        <v>220</v>
      </c>
      <c r="AP10" s="73" t="s">
        <v>221</v>
      </c>
      <c r="AQ10" s="73" t="s">
        <v>222</v>
      </c>
      <c r="AR10" s="73" t="s">
        <v>216</v>
      </c>
      <c r="AS10" s="73" t="s">
        <v>217</v>
      </c>
      <c r="AT10" s="73" t="s">
        <v>223</v>
      </c>
      <c r="AU10" s="73" t="s">
        <v>224</v>
      </c>
      <c r="AV10" s="73" t="s">
        <v>225</v>
      </c>
      <c r="AW10" s="73" t="s">
        <v>226</v>
      </c>
      <c r="AX10" s="73" t="s">
        <v>227</v>
      </c>
    </row>
    <row r="11" spans="2:50">
      <c r="B11" s="92"/>
      <c r="C11" s="131"/>
      <c r="D11" s="133"/>
      <c r="E11" s="232"/>
      <c r="F11" s="138"/>
      <c r="G11" s="139"/>
      <c r="H11" s="138"/>
      <c r="I11" s="135"/>
      <c r="J11" s="135"/>
      <c r="K11" s="135"/>
      <c r="L11" s="135"/>
      <c r="M11" s="135"/>
      <c r="N11" s="135"/>
      <c r="O11" s="135"/>
      <c r="P11" s="135"/>
      <c r="Q11" s="135"/>
      <c r="R11" s="135"/>
      <c r="S11" s="135"/>
      <c r="T11" s="135"/>
      <c r="U11" s="136"/>
      <c r="V11" s="97"/>
    </row>
    <row r="12" spans="2:50">
      <c r="B12" s="92"/>
      <c r="C12" s="131"/>
      <c r="D12" s="133" t="s">
        <v>107</v>
      </c>
      <c r="E12" s="133"/>
      <c r="F12" s="133" t="s">
        <v>285</v>
      </c>
      <c r="G12" s="243">
        <f>ROUND(SUM(I12:T12)/12,2)</f>
        <v>0</v>
      </c>
      <c r="H12" s="234"/>
      <c r="I12" s="170">
        <v>0</v>
      </c>
      <c r="J12" s="170">
        <f>+I12</f>
        <v>0</v>
      </c>
      <c r="K12" s="170">
        <f t="shared" ref="K12:T12" si="0">+J12</f>
        <v>0</v>
      </c>
      <c r="L12" s="170">
        <f t="shared" si="0"/>
        <v>0</v>
      </c>
      <c r="M12" s="170">
        <f t="shared" si="0"/>
        <v>0</v>
      </c>
      <c r="N12" s="170">
        <f t="shared" si="0"/>
        <v>0</v>
      </c>
      <c r="O12" s="170">
        <f t="shared" si="0"/>
        <v>0</v>
      </c>
      <c r="P12" s="170">
        <f t="shared" si="0"/>
        <v>0</v>
      </c>
      <c r="Q12" s="170">
        <f t="shared" si="0"/>
        <v>0</v>
      </c>
      <c r="R12" s="170">
        <f t="shared" si="0"/>
        <v>0</v>
      </c>
      <c r="S12" s="170">
        <f t="shared" si="0"/>
        <v>0</v>
      </c>
      <c r="T12" s="170">
        <f t="shared" si="0"/>
        <v>0</v>
      </c>
      <c r="U12" s="136"/>
      <c r="V12" s="97"/>
      <c r="Y12" s="219"/>
      <c r="Z12" s="219">
        <f t="shared" ref="Z12:Z24" si="1">ROUND(+I12*1/12*VLOOKUP($D12,LGFPOVO,2,FALSE),2)</f>
        <v>0</v>
      </c>
      <c r="AA12" s="219">
        <f t="shared" ref="AA12:AA24" si="2">ROUND(+J12*1/12*VLOOKUP($D12,LGFPOVO,2,FALSE),2)</f>
        <v>0</v>
      </c>
      <c r="AB12" s="219">
        <f t="shared" ref="AB12:AB24" si="3">ROUND(+K12*1/12*VLOOKUP($D12,LGFPOVO,2,FALSE),2)</f>
        <v>0</v>
      </c>
      <c r="AC12" s="219">
        <f t="shared" ref="AC12:AC24" si="4">ROUND(+L12*1/12*VLOOKUP($D12,LGFPOVO,2,FALSE),2)</f>
        <v>0</v>
      </c>
      <c r="AD12" s="219">
        <f t="shared" ref="AD12:AD24" si="5">ROUND(+M12*1/12*VLOOKUP($D12,LGFPOVO,2,FALSE),2)</f>
        <v>0</v>
      </c>
      <c r="AE12" s="219">
        <f t="shared" ref="AE12:AE24" si="6">ROUND(+N12*1/12*VLOOKUP($D12,LGFPOVO,2,FALSE),2)</f>
        <v>0</v>
      </c>
      <c r="AF12" s="219">
        <f t="shared" ref="AF12:AF24" si="7">ROUND(+O12*1/12*VLOOKUP($D12,LGFPOVO,2,FALSE),2)</f>
        <v>0</v>
      </c>
      <c r="AG12" s="219">
        <f t="shared" ref="AG12:AG24" si="8">ROUND(+P12*1/12*VLOOKUP($D12,LGFPOVO,2,FALSE),2)</f>
        <v>0</v>
      </c>
      <c r="AH12" s="219">
        <f t="shared" ref="AH12:AH24" si="9">ROUND(+Q12*1/12*VLOOKUP($D12,LGFPOVO,2,FALSE),2)</f>
        <v>0</v>
      </c>
      <c r="AI12" s="219">
        <f t="shared" ref="AI12:AI24" si="10">ROUND(+R12*1/12*VLOOKUP($D12,LGFPOVO,2,FALSE),2)</f>
        <v>0</v>
      </c>
      <c r="AJ12" s="219">
        <f t="shared" ref="AJ12:AJ24" si="11">ROUND(+S12*1/12*VLOOKUP($D12,LGFPOVO,2,FALSE),2)</f>
        <v>0</v>
      </c>
      <c r="AK12" s="65">
        <f t="shared" ref="AK12:AK24" si="12">ROUND(+T12*1/12*VLOOKUP($D12,LGFPOVO,2,FALSE),2)</f>
        <v>0</v>
      </c>
      <c r="AL12" s="219"/>
      <c r="AM12" s="219">
        <f t="shared" ref="AM12:AM24" si="13">ROUND(+I12*1/12*VLOOKUP($D12,LGFPOVO,4,FALSE),2)</f>
        <v>0</v>
      </c>
      <c r="AN12" s="219">
        <f t="shared" ref="AN12:AN24" si="14">ROUND(+J12*1/12*VLOOKUP($D12,LGFPOVO,4,FALSE),2)</f>
        <v>0</v>
      </c>
      <c r="AO12" s="219">
        <f t="shared" ref="AO12:AO24" si="15">ROUND(+K12*1/12*VLOOKUP($D12,LGFPOVO,4,FALSE),2)</f>
        <v>0</v>
      </c>
      <c r="AP12" s="219">
        <f t="shared" ref="AP12:AP24" si="16">ROUND(+L12*1/12*VLOOKUP($D12,LGFPOVO,4,FALSE),2)</f>
        <v>0</v>
      </c>
      <c r="AQ12" s="219">
        <f t="shared" ref="AQ12:AQ24" si="17">ROUND(+M12*1/12*VLOOKUP($D12,LGFPOVO,4,FALSE),2)</f>
        <v>0</v>
      </c>
      <c r="AR12" s="219">
        <f t="shared" ref="AR12:AR24" si="18">ROUND(+N12*1/12*VLOOKUP($D12,LGFPOVO,4,FALSE),2)</f>
        <v>0</v>
      </c>
      <c r="AS12" s="219">
        <f t="shared" ref="AS12:AS24" si="19">ROUND(+O12*1/12*VLOOKUP($D12,LGFPOVO,4,FALSE),2)</f>
        <v>0</v>
      </c>
      <c r="AT12" s="219">
        <f t="shared" ref="AT12:AT24" si="20">ROUND(+P12*1/12*VLOOKUP($D12,LGFPOVO,4,FALSE),2)</f>
        <v>0</v>
      </c>
      <c r="AU12" s="219">
        <f t="shared" ref="AU12:AU24" si="21">ROUND(+Q12*1/12*VLOOKUP($D12,LGFPOVO,4,FALSE),2)</f>
        <v>0</v>
      </c>
      <c r="AV12" s="219">
        <f t="shared" ref="AV12:AV24" si="22">ROUND(+R12*1/12*VLOOKUP($D12,LGFPOVO,4,FALSE),2)</f>
        <v>0</v>
      </c>
      <c r="AW12" s="219">
        <f t="shared" ref="AW12:AW24" si="23">ROUND(+S12*1/12*VLOOKUP($D12,LGFPOVO,4,FALSE),2)</f>
        <v>0</v>
      </c>
      <c r="AX12" s="65">
        <f t="shared" ref="AX12:AX24" si="24">ROUND(+T12*1/12*VLOOKUP($D12,LGFPOVO,4,FALSE),2)</f>
        <v>0</v>
      </c>
    </row>
    <row r="13" spans="2:50">
      <c r="B13" s="92"/>
      <c r="C13" s="131"/>
      <c r="D13" s="133" t="s">
        <v>108</v>
      </c>
      <c r="E13" s="133"/>
      <c r="F13" s="133" t="s">
        <v>285</v>
      </c>
      <c r="G13" s="243">
        <f t="shared" ref="G13:G24" si="25">ROUND(SUM(I13:T13)/12,2)</f>
        <v>0</v>
      </c>
      <c r="H13" s="234"/>
      <c r="I13" s="170">
        <v>0</v>
      </c>
      <c r="J13" s="170">
        <f t="shared" ref="J13:T24" si="26">+I13</f>
        <v>0</v>
      </c>
      <c r="K13" s="170">
        <f t="shared" si="26"/>
        <v>0</v>
      </c>
      <c r="L13" s="170">
        <f t="shared" si="26"/>
        <v>0</v>
      </c>
      <c r="M13" s="170">
        <f t="shared" si="26"/>
        <v>0</v>
      </c>
      <c r="N13" s="170">
        <f t="shared" si="26"/>
        <v>0</v>
      </c>
      <c r="O13" s="170">
        <f t="shared" si="26"/>
        <v>0</v>
      </c>
      <c r="P13" s="170">
        <f t="shared" si="26"/>
        <v>0</v>
      </c>
      <c r="Q13" s="170">
        <f t="shared" si="26"/>
        <v>0</v>
      </c>
      <c r="R13" s="170">
        <f t="shared" si="26"/>
        <v>0</v>
      </c>
      <c r="S13" s="170">
        <f t="shared" si="26"/>
        <v>0</v>
      </c>
      <c r="T13" s="170">
        <f t="shared" si="26"/>
        <v>0</v>
      </c>
      <c r="U13" s="136"/>
      <c r="V13" s="97"/>
      <c r="Y13" s="219"/>
      <c r="Z13" s="219">
        <f t="shared" si="1"/>
        <v>0</v>
      </c>
      <c r="AA13" s="219">
        <f t="shared" si="2"/>
        <v>0</v>
      </c>
      <c r="AB13" s="219">
        <f t="shared" si="3"/>
        <v>0</v>
      </c>
      <c r="AC13" s="219">
        <f t="shared" si="4"/>
        <v>0</v>
      </c>
      <c r="AD13" s="219">
        <f t="shared" si="5"/>
        <v>0</v>
      </c>
      <c r="AE13" s="219">
        <f t="shared" si="6"/>
        <v>0</v>
      </c>
      <c r="AF13" s="219">
        <f t="shared" si="7"/>
        <v>0</v>
      </c>
      <c r="AG13" s="219">
        <f t="shared" si="8"/>
        <v>0</v>
      </c>
      <c r="AH13" s="219">
        <f t="shared" si="9"/>
        <v>0</v>
      </c>
      <c r="AI13" s="219">
        <f t="shared" si="10"/>
        <v>0</v>
      </c>
      <c r="AJ13" s="219">
        <f t="shared" si="11"/>
        <v>0</v>
      </c>
      <c r="AK13" s="65">
        <f t="shared" si="12"/>
        <v>0</v>
      </c>
      <c r="AL13" s="219"/>
      <c r="AM13" s="219">
        <f t="shared" si="13"/>
        <v>0</v>
      </c>
      <c r="AN13" s="219">
        <f t="shared" si="14"/>
        <v>0</v>
      </c>
      <c r="AO13" s="219">
        <f t="shared" si="15"/>
        <v>0</v>
      </c>
      <c r="AP13" s="219">
        <f t="shared" si="16"/>
        <v>0</v>
      </c>
      <c r="AQ13" s="219">
        <f t="shared" si="17"/>
        <v>0</v>
      </c>
      <c r="AR13" s="219">
        <f t="shared" si="18"/>
        <v>0</v>
      </c>
      <c r="AS13" s="219">
        <f t="shared" si="19"/>
        <v>0</v>
      </c>
      <c r="AT13" s="219">
        <f t="shared" si="20"/>
        <v>0</v>
      </c>
      <c r="AU13" s="219">
        <f t="shared" si="21"/>
        <v>0</v>
      </c>
      <c r="AV13" s="219">
        <f t="shared" si="22"/>
        <v>0</v>
      </c>
      <c r="AW13" s="219">
        <f t="shared" si="23"/>
        <v>0</v>
      </c>
      <c r="AX13" s="65">
        <f t="shared" si="24"/>
        <v>0</v>
      </c>
    </row>
    <row r="14" spans="2:50">
      <c r="B14" s="92"/>
      <c r="C14" s="131"/>
      <c r="D14" s="133" t="s">
        <v>109</v>
      </c>
      <c r="E14" s="133"/>
      <c r="F14" s="133" t="s">
        <v>285</v>
      </c>
      <c r="G14" s="243">
        <f t="shared" si="25"/>
        <v>0</v>
      </c>
      <c r="H14" s="234"/>
      <c r="I14" s="170">
        <v>0</v>
      </c>
      <c r="J14" s="170">
        <f t="shared" si="26"/>
        <v>0</v>
      </c>
      <c r="K14" s="170">
        <f t="shared" si="26"/>
        <v>0</v>
      </c>
      <c r="L14" s="170">
        <f t="shared" si="26"/>
        <v>0</v>
      </c>
      <c r="M14" s="170">
        <f t="shared" si="26"/>
        <v>0</v>
      </c>
      <c r="N14" s="170">
        <f t="shared" si="26"/>
        <v>0</v>
      </c>
      <c r="O14" s="170">
        <f t="shared" si="26"/>
        <v>0</v>
      </c>
      <c r="P14" s="170">
        <f t="shared" si="26"/>
        <v>0</v>
      </c>
      <c r="Q14" s="170">
        <f t="shared" si="26"/>
        <v>0</v>
      </c>
      <c r="R14" s="170">
        <f t="shared" si="26"/>
        <v>0</v>
      </c>
      <c r="S14" s="170">
        <f t="shared" si="26"/>
        <v>0</v>
      </c>
      <c r="T14" s="170">
        <f t="shared" si="26"/>
        <v>0</v>
      </c>
      <c r="U14" s="136"/>
      <c r="V14" s="97"/>
      <c r="Y14" s="219"/>
      <c r="Z14" s="219">
        <f t="shared" si="1"/>
        <v>0</v>
      </c>
      <c r="AA14" s="219">
        <f t="shared" si="2"/>
        <v>0</v>
      </c>
      <c r="AB14" s="219">
        <f t="shared" si="3"/>
        <v>0</v>
      </c>
      <c r="AC14" s="219">
        <f t="shared" si="4"/>
        <v>0</v>
      </c>
      <c r="AD14" s="219">
        <f t="shared" si="5"/>
        <v>0</v>
      </c>
      <c r="AE14" s="219">
        <f t="shared" si="6"/>
        <v>0</v>
      </c>
      <c r="AF14" s="219">
        <f t="shared" si="7"/>
        <v>0</v>
      </c>
      <c r="AG14" s="219">
        <f t="shared" si="8"/>
        <v>0</v>
      </c>
      <c r="AH14" s="219">
        <f t="shared" si="9"/>
        <v>0</v>
      </c>
      <c r="AI14" s="219">
        <f t="shared" si="10"/>
        <v>0</v>
      </c>
      <c r="AJ14" s="219">
        <f t="shared" si="11"/>
        <v>0</v>
      </c>
      <c r="AK14" s="65">
        <f t="shared" si="12"/>
        <v>0</v>
      </c>
      <c r="AL14" s="219"/>
      <c r="AM14" s="219">
        <f t="shared" si="13"/>
        <v>0</v>
      </c>
      <c r="AN14" s="219">
        <f t="shared" si="14"/>
        <v>0</v>
      </c>
      <c r="AO14" s="219">
        <f t="shared" si="15"/>
        <v>0</v>
      </c>
      <c r="AP14" s="219">
        <f t="shared" si="16"/>
        <v>0</v>
      </c>
      <c r="AQ14" s="219">
        <f t="shared" si="17"/>
        <v>0</v>
      </c>
      <c r="AR14" s="219">
        <f t="shared" si="18"/>
        <v>0</v>
      </c>
      <c r="AS14" s="219">
        <f t="shared" si="19"/>
        <v>0</v>
      </c>
      <c r="AT14" s="219">
        <f t="shared" si="20"/>
        <v>0</v>
      </c>
      <c r="AU14" s="219">
        <f t="shared" si="21"/>
        <v>0</v>
      </c>
      <c r="AV14" s="219">
        <f t="shared" si="22"/>
        <v>0</v>
      </c>
      <c r="AW14" s="219">
        <f t="shared" si="23"/>
        <v>0</v>
      </c>
      <c r="AX14" s="65">
        <f t="shared" si="24"/>
        <v>0</v>
      </c>
    </row>
    <row r="15" spans="2:50">
      <c r="B15" s="92"/>
      <c r="C15" s="131"/>
      <c r="D15" s="133" t="s">
        <v>110</v>
      </c>
      <c r="E15" s="133"/>
      <c r="F15" s="133" t="s">
        <v>285</v>
      </c>
      <c r="G15" s="243">
        <f t="shared" si="25"/>
        <v>0</v>
      </c>
      <c r="H15" s="234"/>
      <c r="I15" s="170">
        <v>0</v>
      </c>
      <c r="J15" s="170">
        <f t="shared" si="26"/>
        <v>0</v>
      </c>
      <c r="K15" s="170">
        <f t="shared" si="26"/>
        <v>0</v>
      </c>
      <c r="L15" s="170">
        <f t="shared" si="26"/>
        <v>0</v>
      </c>
      <c r="M15" s="170">
        <f t="shared" si="26"/>
        <v>0</v>
      </c>
      <c r="N15" s="170">
        <f t="shared" si="26"/>
        <v>0</v>
      </c>
      <c r="O15" s="170">
        <f t="shared" si="26"/>
        <v>0</v>
      </c>
      <c r="P15" s="170">
        <f t="shared" si="26"/>
        <v>0</v>
      </c>
      <c r="Q15" s="170">
        <f t="shared" si="26"/>
        <v>0</v>
      </c>
      <c r="R15" s="170">
        <f t="shared" si="26"/>
        <v>0</v>
      </c>
      <c r="S15" s="170">
        <f t="shared" si="26"/>
        <v>0</v>
      </c>
      <c r="T15" s="170">
        <f t="shared" si="26"/>
        <v>0</v>
      </c>
      <c r="U15" s="136"/>
      <c r="V15" s="97"/>
      <c r="Y15" s="219"/>
      <c r="Z15" s="219">
        <f t="shared" si="1"/>
        <v>0</v>
      </c>
      <c r="AA15" s="219">
        <f t="shared" si="2"/>
        <v>0</v>
      </c>
      <c r="AB15" s="219">
        <f t="shared" si="3"/>
        <v>0</v>
      </c>
      <c r="AC15" s="219">
        <f t="shared" si="4"/>
        <v>0</v>
      </c>
      <c r="AD15" s="219">
        <f t="shared" si="5"/>
        <v>0</v>
      </c>
      <c r="AE15" s="219">
        <f t="shared" si="6"/>
        <v>0</v>
      </c>
      <c r="AF15" s="219">
        <f t="shared" si="7"/>
        <v>0</v>
      </c>
      <c r="AG15" s="219">
        <f t="shared" si="8"/>
        <v>0</v>
      </c>
      <c r="AH15" s="219">
        <f t="shared" si="9"/>
        <v>0</v>
      </c>
      <c r="AI15" s="219">
        <f t="shared" si="10"/>
        <v>0</v>
      </c>
      <c r="AJ15" s="219">
        <f t="shared" si="11"/>
        <v>0</v>
      </c>
      <c r="AK15" s="65">
        <f t="shared" si="12"/>
        <v>0</v>
      </c>
      <c r="AL15" s="219"/>
      <c r="AM15" s="219">
        <f t="shared" si="13"/>
        <v>0</v>
      </c>
      <c r="AN15" s="219">
        <f t="shared" si="14"/>
        <v>0</v>
      </c>
      <c r="AO15" s="219">
        <f t="shared" si="15"/>
        <v>0</v>
      </c>
      <c r="AP15" s="219">
        <f t="shared" si="16"/>
        <v>0</v>
      </c>
      <c r="AQ15" s="219">
        <f t="shared" si="17"/>
        <v>0</v>
      </c>
      <c r="AR15" s="219">
        <f t="shared" si="18"/>
        <v>0</v>
      </c>
      <c r="AS15" s="219">
        <f t="shared" si="19"/>
        <v>0</v>
      </c>
      <c r="AT15" s="219">
        <f t="shared" si="20"/>
        <v>0</v>
      </c>
      <c r="AU15" s="219">
        <f t="shared" si="21"/>
        <v>0</v>
      </c>
      <c r="AV15" s="219">
        <f t="shared" si="22"/>
        <v>0</v>
      </c>
      <c r="AW15" s="219">
        <f t="shared" si="23"/>
        <v>0</v>
      </c>
      <c r="AX15" s="65">
        <f t="shared" si="24"/>
        <v>0</v>
      </c>
    </row>
    <row r="16" spans="2:50">
      <c r="B16" s="92"/>
      <c r="C16" s="131"/>
      <c r="D16" s="133" t="s">
        <v>112</v>
      </c>
      <c r="E16" s="133"/>
      <c r="F16" s="133" t="s">
        <v>285</v>
      </c>
      <c r="G16" s="243">
        <f t="shared" si="25"/>
        <v>0</v>
      </c>
      <c r="H16" s="234"/>
      <c r="I16" s="170">
        <v>0</v>
      </c>
      <c r="J16" s="170">
        <f t="shared" si="26"/>
        <v>0</v>
      </c>
      <c r="K16" s="170">
        <f t="shared" si="26"/>
        <v>0</v>
      </c>
      <c r="L16" s="170">
        <f t="shared" si="26"/>
        <v>0</v>
      </c>
      <c r="M16" s="170">
        <f t="shared" si="26"/>
        <v>0</v>
      </c>
      <c r="N16" s="170">
        <f t="shared" si="26"/>
        <v>0</v>
      </c>
      <c r="O16" s="170">
        <f t="shared" si="26"/>
        <v>0</v>
      </c>
      <c r="P16" s="170">
        <f t="shared" si="26"/>
        <v>0</v>
      </c>
      <c r="Q16" s="170">
        <f t="shared" si="26"/>
        <v>0</v>
      </c>
      <c r="R16" s="170">
        <f t="shared" si="26"/>
        <v>0</v>
      </c>
      <c r="S16" s="170">
        <f t="shared" si="26"/>
        <v>0</v>
      </c>
      <c r="T16" s="170">
        <f t="shared" si="26"/>
        <v>0</v>
      </c>
      <c r="U16" s="136"/>
      <c r="V16" s="97"/>
      <c r="Y16" s="219"/>
      <c r="Z16" s="219">
        <f t="shared" si="1"/>
        <v>0</v>
      </c>
      <c r="AA16" s="219">
        <f t="shared" si="2"/>
        <v>0</v>
      </c>
      <c r="AB16" s="219">
        <f t="shared" si="3"/>
        <v>0</v>
      </c>
      <c r="AC16" s="219">
        <f t="shared" si="4"/>
        <v>0</v>
      </c>
      <c r="AD16" s="219">
        <f t="shared" si="5"/>
        <v>0</v>
      </c>
      <c r="AE16" s="219">
        <f t="shared" si="6"/>
        <v>0</v>
      </c>
      <c r="AF16" s="219">
        <f t="shared" si="7"/>
        <v>0</v>
      </c>
      <c r="AG16" s="219">
        <f t="shared" si="8"/>
        <v>0</v>
      </c>
      <c r="AH16" s="219">
        <f t="shared" si="9"/>
        <v>0</v>
      </c>
      <c r="AI16" s="219">
        <f t="shared" si="10"/>
        <v>0</v>
      </c>
      <c r="AJ16" s="219">
        <f t="shared" si="11"/>
        <v>0</v>
      </c>
      <c r="AK16" s="65">
        <f t="shared" si="12"/>
        <v>0</v>
      </c>
      <c r="AL16" s="219"/>
      <c r="AM16" s="219">
        <f t="shared" si="13"/>
        <v>0</v>
      </c>
      <c r="AN16" s="219">
        <f t="shared" si="14"/>
        <v>0</v>
      </c>
      <c r="AO16" s="219">
        <f t="shared" si="15"/>
        <v>0</v>
      </c>
      <c r="AP16" s="219">
        <f t="shared" si="16"/>
        <v>0</v>
      </c>
      <c r="AQ16" s="219">
        <f t="shared" si="17"/>
        <v>0</v>
      </c>
      <c r="AR16" s="219">
        <f t="shared" si="18"/>
        <v>0</v>
      </c>
      <c r="AS16" s="219">
        <f t="shared" si="19"/>
        <v>0</v>
      </c>
      <c r="AT16" s="219">
        <f t="shared" si="20"/>
        <v>0</v>
      </c>
      <c r="AU16" s="219">
        <f t="shared" si="21"/>
        <v>0</v>
      </c>
      <c r="AV16" s="219">
        <f t="shared" si="22"/>
        <v>0</v>
      </c>
      <c r="AW16" s="219">
        <f t="shared" si="23"/>
        <v>0</v>
      </c>
      <c r="AX16" s="65">
        <f t="shared" si="24"/>
        <v>0</v>
      </c>
    </row>
    <row r="17" spans="2:50">
      <c r="B17" s="92"/>
      <c r="C17" s="131"/>
      <c r="D17" s="133" t="s">
        <v>113</v>
      </c>
      <c r="E17" s="133"/>
      <c r="F17" s="133" t="s">
        <v>285</v>
      </c>
      <c r="G17" s="243">
        <f t="shared" si="25"/>
        <v>0</v>
      </c>
      <c r="H17" s="234"/>
      <c r="I17" s="170">
        <v>0</v>
      </c>
      <c r="J17" s="170">
        <f t="shared" si="26"/>
        <v>0</v>
      </c>
      <c r="K17" s="170">
        <f t="shared" si="26"/>
        <v>0</v>
      </c>
      <c r="L17" s="170">
        <f t="shared" si="26"/>
        <v>0</v>
      </c>
      <c r="M17" s="170">
        <f t="shared" si="26"/>
        <v>0</v>
      </c>
      <c r="N17" s="170">
        <f t="shared" si="26"/>
        <v>0</v>
      </c>
      <c r="O17" s="170">
        <f t="shared" si="26"/>
        <v>0</v>
      </c>
      <c r="P17" s="170">
        <f t="shared" si="26"/>
        <v>0</v>
      </c>
      <c r="Q17" s="170">
        <f t="shared" si="26"/>
        <v>0</v>
      </c>
      <c r="R17" s="170">
        <f t="shared" si="26"/>
        <v>0</v>
      </c>
      <c r="S17" s="170">
        <f t="shared" si="26"/>
        <v>0</v>
      </c>
      <c r="T17" s="170">
        <f t="shared" si="26"/>
        <v>0</v>
      </c>
      <c r="U17" s="136"/>
      <c r="V17" s="97"/>
      <c r="Y17" s="219"/>
      <c r="Z17" s="219">
        <f t="shared" si="1"/>
        <v>0</v>
      </c>
      <c r="AA17" s="219">
        <f t="shared" si="2"/>
        <v>0</v>
      </c>
      <c r="AB17" s="219">
        <f t="shared" si="3"/>
        <v>0</v>
      </c>
      <c r="AC17" s="219">
        <f t="shared" si="4"/>
        <v>0</v>
      </c>
      <c r="AD17" s="219">
        <f t="shared" si="5"/>
        <v>0</v>
      </c>
      <c r="AE17" s="219">
        <f t="shared" si="6"/>
        <v>0</v>
      </c>
      <c r="AF17" s="219">
        <f t="shared" si="7"/>
        <v>0</v>
      </c>
      <c r="AG17" s="219">
        <f t="shared" si="8"/>
        <v>0</v>
      </c>
      <c r="AH17" s="219">
        <f t="shared" si="9"/>
        <v>0</v>
      </c>
      <c r="AI17" s="219">
        <f t="shared" si="10"/>
        <v>0</v>
      </c>
      <c r="AJ17" s="219">
        <f t="shared" si="11"/>
        <v>0</v>
      </c>
      <c r="AK17" s="65">
        <f t="shared" si="12"/>
        <v>0</v>
      </c>
      <c r="AL17" s="219"/>
      <c r="AM17" s="219">
        <f t="shared" si="13"/>
        <v>0</v>
      </c>
      <c r="AN17" s="219">
        <f t="shared" si="14"/>
        <v>0</v>
      </c>
      <c r="AO17" s="219">
        <f t="shared" si="15"/>
        <v>0</v>
      </c>
      <c r="AP17" s="219">
        <f t="shared" si="16"/>
        <v>0</v>
      </c>
      <c r="AQ17" s="219">
        <f t="shared" si="17"/>
        <v>0</v>
      </c>
      <c r="AR17" s="219">
        <f t="shared" si="18"/>
        <v>0</v>
      </c>
      <c r="AS17" s="219">
        <f t="shared" si="19"/>
        <v>0</v>
      </c>
      <c r="AT17" s="219">
        <f t="shared" si="20"/>
        <v>0</v>
      </c>
      <c r="AU17" s="219">
        <f t="shared" si="21"/>
        <v>0</v>
      </c>
      <c r="AV17" s="219">
        <f t="shared" si="22"/>
        <v>0</v>
      </c>
      <c r="AW17" s="219">
        <f t="shared" si="23"/>
        <v>0</v>
      </c>
      <c r="AX17" s="65">
        <f t="shared" si="24"/>
        <v>0</v>
      </c>
    </row>
    <row r="18" spans="2:50">
      <c r="B18" s="92"/>
      <c r="C18" s="131"/>
      <c r="D18" s="133" t="s">
        <v>111</v>
      </c>
      <c r="E18" s="133"/>
      <c r="F18" s="133" t="s">
        <v>285</v>
      </c>
      <c r="G18" s="243">
        <f t="shared" si="25"/>
        <v>0</v>
      </c>
      <c r="H18" s="234"/>
      <c r="I18" s="170">
        <v>0</v>
      </c>
      <c r="J18" s="170">
        <f t="shared" si="26"/>
        <v>0</v>
      </c>
      <c r="K18" s="170">
        <f t="shared" si="26"/>
        <v>0</v>
      </c>
      <c r="L18" s="170">
        <f t="shared" si="26"/>
        <v>0</v>
      </c>
      <c r="M18" s="170">
        <f t="shared" si="26"/>
        <v>0</v>
      </c>
      <c r="N18" s="170">
        <f t="shared" si="26"/>
        <v>0</v>
      </c>
      <c r="O18" s="170">
        <f t="shared" si="26"/>
        <v>0</v>
      </c>
      <c r="P18" s="170">
        <f t="shared" si="26"/>
        <v>0</v>
      </c>
      <c r="Q18" s="170">
        <f t="shared" si="26"/>
        <v>0</v>
      </c>
      <c r="R18" s="170">
        <f t="shared" si="26"/>
        <v>0</v>
      </c>
      <c r="S18" s="170">
        <f t="shared" si="26"/>
        <v>0</v>
      </c>
      <c r="T18" s="170">
        <f t="shared" si="26"/>
        <v>0</v>
      </c>
      <c r="U18" s="136"/>
      <c r="V18" s="97"/>
      <c r="Y18" s="219"/>
      <c r="Z18" s="219">
        <f t="shared" si="1"/>
        <v>0</v>
      </c>
      <c r="AA18" s="219">
        <f t="shared" si="2"/>
        <v>0</v>
      </c>
      <c r="AB18" s="219">
        <f t="shared" si="3"/>
        <v>0</v>
      </c>
      <c r="AC18" s="219">
        <f t="shared" si="4"/>
        <v>0</v>
      </c>
      <c r="AD18" s="219">
        <f t="shared" si="5"/>
        <v>0</v>
      </c>
      <c r="AE18" s="219">
        <f t="shared" si="6"/>
        <v>0</v>
      </c>
      <c r="AF18" s="219">
        <f t="shared" si="7"/>
        <v>0</v>
      </c>
      <c r="AG18" s="219">
        <f t="shared" si="8"/>
        <v>0</v>
      </c>
      <c r="AH18" s="219">
        <f t="shared" si="9"/>
        <v>0</v>
      </c>
      <c r="AI18" s="219">
        <f t="shared" si="10"/>
        <v>0</v>
      </c>
      <c r="AJ18" s="219">
        <f t="shared" si="11"/>
        <v>0</v>
      </c>
      <c r="AK18" s="65">
        <f t="shared" si="12"/>
        <v>0</v>
      </c>
      <c r="AL18" s="219"/>
      <c r="AM18" s="219">
        <f t="shared" si="13"/>
        <v>0</v>
      </c>
      <c r="AN18" s="219">
        <f t="shared" si="14"/>
        <v>0</v>
      </c>
      <c r="AO18" s="219">
        <f t="shared" si="15"/>
        <v>0</v>
      </c>
      <c r="AP18" s="219">
        <f t="shared" si="16"/>
        <v>0</v>
      </c>
      <c r="AQ18" s="219">
        <f t="shared" si="17"/>
        <v>0</v>
      </c>
      <c r="AR18" s="219">
        <f t="shared" si="18"/>
        <v>0</v>
      </c>
      <c r="AS18" s="219">
        <f t="shared" si="19"/>
        <v>0</v>
      </c>
      <c r="AT18" s="219">
        <f t="shared" si="20"/>
        <v>0</v>
      </c>
      <c r="AU18" s="219">
        <f t="shared" si="21"/>
        <v>0</v>
      </c>
      <c r="AV18" s="219">
        <f t="shared" si="22"/>
        <v>0</v>
      </c>
      <c r="AW18" s="219">
        <f t="shared" si="23"/>
        <v>0</v>
      </c>
      <c r="AX18" s="65">
        <f t="shared" si="24"/>
        <v>0</v>
      </c>
    </row>
    <row r="19" spans="2:50">
      <c r="B19" s="92"/>
      <c r="C19" s="131"/>
      <c r="D19" s="133" t="s">
        <v>114</v>
      </c>
      <c r="E19" s="133"/>
      <c r="F19" s="133" t="s">
        <v>285</v>
      </c>
      <c r="G19" s="243">
        <f t="shared" si="25"/>
        <v>0</v>
      </c>
      <c r="H19" s="234"/>
      <c r="I19" s="170">
        <v>0</v>
      </c>
      <c r="J19" s="170">
        <f t="shared" si="26"/>
        <v>0</v>
      </c>
      <c r="K19" s="170">
        <f t="shared" si="26"/>
        <v>0</v>
      </c>
      <c r="L19" s="170">
        <f t="shared" si="26"/>
        <v>0</v>
      </c>
      <c r="M19" s="170">
        <f t="shared" si="26"/>
        <v>0</v>
      </c>
      <c r="N19" s="170">
        <f t="shared" si="26"/>
        <v>0</v>
      </c>
      <c r="O19" s="170">
        <f t="shared" si="26"/>
        <v>0</v>
      </c>
      <c r="P19" s="170">
        <f t="shared" si="26"/>
        <v>0</v>
      </c>
      <c r="Q19" s="170">
        <f t="shared" si="26"/>
        <v>0</v>
      </c>
      <c r="R19" s="170">
        <f t="shared" si="26"/>
        <v>0</v>
      </c>
      <c r="S19" s="170">
        <f t="shared" si="26"/>
        <v>0</v>
      </c>
      <c r="T19" s="170">
        <f t="shared" si="26"/>
        <v>0</v>
      </c>
      <c r="U19" s="136"/>
      <c r="V19" s="97"/>
      <c r="Y19" s="219"/>
      <c r="Z19" s="219">
        <f t="shared" si="1"/>
        <v>0</v>
      </c>
      <c r="AA19" s="219">
        <f t="shared" si="2"/>
        <v>0</v>
      </c>
      <c r="AB19" s="219">
        <f t="shared" si="3"/>
        <v>0</v>
      </c>
      <c r="AC19" s="219">
        <f t="shared" si="4"/>
        <v>0</v>
      </c>
      <c r="AD19" s="219">
        <f t="shared" si="5"/>
        <v>0</v>
      </c>
      <c r="AE19" s="219">
        <f t="shared" si="6"/>
        <v>0</v>
      </c>
      <c r="AF19" s="219">
        <f t="shared" si="7"/>
        <v>0</v>
      </c>
      <c r="AG19" s="219">
        <f t="shared" si="8"/>
        <v>0</v>
      </c>
      <c r="AH19" s="219">
        <f t="shared" si="9"/>
        <v>0</v>
      </c>
      <c r="AI19" s="219">
        <f t="shared" si="10"/>
        <v>0</v>
      </c>
      <c r="AJ19" s="219">
        <f t="shared" si="11"/>
        <v>0</v>
      </c>
      <c r="AK19" s="65">
        <f t="shared" si="12"/>
        <v>0</v>
      </c>
      <c r="AL19" s="219"/>
      <c r="AM19" s="219">
        <f t="shared" si="13"/>
        <v>0</v>
      </c>
      <c r="AN19" s="219">
        <f t="shared" si="14"/>
        <v>0</v>
      </c>
      <c r="AO19" s="219">
        <f t="shared" si="15"/>
        <v>0</v>
      </c>
      <c r="AP19" s="219">
        <f t="shared" si="16"/>
        <v>0</v>
      </c>
      <c r="AQ19" s="219">
        <f t="shared" si="17"/>
        <v>0</v>
      </c>
      <c r="AR19" s="219">
        <f t="shared" si="18"/>
        <v>0</v>
      </c>
      <c r="AS19" s="219">
        <f t="shared" si="19"/>
        <v>0</v>
      </c>
      <c r="AT19" s="219">
        <f t="shared" si="20"/>
        <v>0</v>
      </c>
      <c r="AU19" s="219">
        <f t="shared" si="21"/>
        <v>0</v>
      </c>
      <c r="AV19" s="219">
        <f t="shared" si="22"/>
        <v>0</v>
      </c>
      <c r="AW19" s="219">
        <f t="shared" si="23"/>
        <v>0</v>
      </c>
      <c r="AX19" s="65">
        <f t="shared" si="24"/>
        <v>0</v>
      </c>
    </row>
    <row r="20" spans="2:50">
      <c r="B20" s="92"/>
      <c r="C20" s="131"/>
      <c r="D20" s="133" t="s">
        <v>115</v>
      </c>
      <c r="E20" s="133"/>
      <c r="F20" s="133" t="s">
        <v>285</v>
      </c>
      <c r="G20" s="243">
        <f t="shared" si="25"/>
        <v>0</v>
      </c>
      <c r="H20" s="234"/>
      <c r="I20" s="170">
        <v>0</v>
      </c>
      <c r="J20" s="170">
        <f t="shared" si="26"/>
        <v>0</v>
      </c>
      <c r="K20" s="170">
        <f t="shared" si="26"/>
        <v>0</v>
      </c>
      <c r="L20" s="170">
        <f t="shared" si="26"/>
        <v>0</v>
      </c>
      <c r="M20" s="170">
        <f t="shared" si="26"/>
        <v>0</v>
      </c>
      <c r="N20" s="170">
        <f t="shared" si="26"/>
        <v>0</v>
      </c>
      <c r="O20" s="170">
        <f t="shared" si="26"/>
        <v>0</v>
      </c>
      <c r="P20" s="170">
        <f t="shared" si="26"/>
        <v>0</v>
      </c>
      <c r="Q20" s="170">
        <f t="shared" si="26"/>
        <v>0</v>
      </c>
      <c r="R20" s="170">
        <f t="shared" si="26"/>
        <v>0</v>
      </c>
      <c r="S20" s="170">
        <f t="shared" si="26"/>
        <v>0</v>
      </c>
      <c r="T20" s="170">
        <f t="shared" si="26"/>
        <v>0</v>
      </c>
      <c r="U20" s="136"/>
      <c r="V20" s="97"/>
      <c r="Y20" s="219"/>
      <c r="Z20" s="219">
        <f t="shared" si="1"/>
        <v>0</v>
      </c>
      <c r="AA20" s="219">
        <f t="shared" si="2"/>
        <v>0</v>
      </c>
      <c r="AB20" s="219">
        <f t="shared" si="3"/>
        <v>0</v>
      </c>
      <c r="AC20" s="219">
        <f t="shared" si="4"/>
        <v>0</v>
      </c>
      <c r="AD20" s="219">
        <f t="shared" si="5"/>
        <v>0</v>
      </c>
      <c r="AE20" s="219">
        <f t="shared" si="6"/>
        <v>0</v>
      </c>
      <c r="AF20" s="219">
        <f t="shared" si="7"/>
        <v>0</v>
      </c>
      <c r="AG20" s="219">
        <f t="shared" si="8"/>
        <v>0</v>
      </c>
      <c r="AH20" s="219">
        <f t="shared" si="9"/>
        <v>0</v>
      </c>
      <c r="AI20" s="219">
        <f t="shared" si="10"/>
        <v>0</v>
      </c>
      <c r="AJ20" s="219">
        <f t="shared" si="11"/>
        <v>0</v>
      </c>
      <c r="AK20" s="65">
        <f t="shared" si="12"/>
        <v>0</v>
      </c>
      <c r="AL20" s="219"/>
      <c r="AM20" s="219">
        <f t="shared" si="13"/>
        <v>0</v>
      </c>
      <c r="AN20" s="219">
        <f t="shared" si="14"/>
        <v>0</v>
      </c>
      <c r="AO20" s="219">
        <f t="shared" si="15"/>
        <v>0</v>
      </c>
      <c r="AP20" s="219">
        <f t="shared" si="16"/>
        <v>0</v>
      </c>
      <c r="AQ20" s="219">
        <f t="shared" si="17"/>
        <v>0</v>
      </c>
      <c r="AR20" s="219">
        <f t="shared" si="18"/>
        <v>0</v>
      </c>
      <c r="AS20" s="219">
        <f t="shared" si="19"/>
        <v>0</v>
      </c>
      <c r="AT20" s="219">
        <f t="shared" si="20"/>
        <v>0</v>
      </c>
      <c r="AU20" s="219">
        <f t="shared" si="21"/>
        <v>0</v>
      </c>
      <c r="AV20" s="219">
        <f t="shared" si="22"/>
        <v>0</v>
      </c>
      <c r="AW20" s="219">
        <f t="shared" si="23"/>
        <v>0</v>
      </c>
      <c r="AX20" s="65">
        <f t="shared" si="24"/>
        <v>0</v>
      </c>
    </row>
    <row r="21" spans="2:50">
      <c r="B21" s="92"/>
      <c r="C21" s="131"/>
      <c r="D21" s="133" t="s">
        <v>117</v>
      </c>
      <c r="E21" s="133"/>
      <c r="F21" s="133" t="s">
        <v>285</v>
      </c>
      <c r="G21" s="243">
        <f t="shared" si="25"/>
        <v>0</v>
      </c>
      <c r="H21" s="234"/>
      <c r="I21" s="170">
        <v>0</v>
      </c>
      <c r="J21" s="170">
        <f t="shared" si="26"/>
        <v>0</v>
      </c>
      <c r="K21" s="170">
        <f t="shared" si="26"/>
        <v>0</v>
      </c>
      <c r="L21" s="170">
        <f t="shared" si="26"/>
        <v>0</v>
      </c>
      <c r="M21" s="170">
        <f t="shared" si="26"/>
        <v>0</v>
      </c>
      <c r="N21" s="170">
        <f t="shared" si="26"/>
        <v>0</v>
      </c>
      <c r="O21" s="170">
        <f t="shared" si="26"/>
        <v>0</v>
      </c>
      <c r="P21" s="170">
        <f t="shared" si="26"/>
        <v>0</v>
      </c>
      <c r="Q21" s="170">
        <f t="shared" si="26"/>
        <v>0</v>
      </c>
      <c r="R21" s="170">
        <f t="shared" si="26"/>
        <v>0</v>
      </c>
      <c r="S21" s="170">
        <f t="shared" si="26"/>
        <v>0</v>
      </c>
      <c r="T21" s="170">
        <f t="shared" si="26"/>
        <v>0</v>
      </c>
      <c r="U21" s="136"/>
      <c r="V21" s="97"/>
      <c r="Y21" s="219"/>
      <c r="Z21" s="219">
        <f t="shared" si="1"/>
        <v>0</v>
      </c>
      <c r="AA21" s="219">
        <f t="shared" si="2"/>
        <v>0</v>
      </c>
      <c r="AB21" s="219">
        <f t="shared" si="3"/>
        <v>0</v>
      </c>
      <c r="AC21" s="219">
        <f t="shared" si="4"/>
        <v>0</v>
      </c>
      <c r="AD21" s="219">
        <f t="shared" si="5"/>
        <v>0</v>
      </c>
      <c r="AE21" s="219">
        <f t="shared" si="6"/>
        <v>0</v>
      </c>
      <c r="AF21" s="219">
        <f t="shared" si="7"/>
        <v>0</v>
      </c>
      <c r="AG21" s="219">
        <f t="shared" si="8"/>
        <v>0</v>
      </c>
      <c r="AH21" s="219">
        <f t="shared" si="9"/>
        <v>0</v>
      </c>
      <c r="AI21" s="219">
        <f t="shared" si="10"/>
        <v>0</v>
      </c>
      <c r="AJ21" s="219">
        <f t="shared" si="11"/>
        <v>0</v>
      </c>
      <c r="AK21" s="65">
        <f t="shared" si="12"/>
        <v>0</v>
      </c>
      <c r="AL21" s="219"/>
      <c r="AM21" s="219">
        <f t="shared" si="13"/>
        <v>0</v>
      </c>
      <c r="AN21" s="219">
        <f t="shared" si="14"/>
        <v>0</v>
      </c>
      <c r="AO21" s="219">
        <f t="shared" si="15"/>
        <v>0</v>
      </c>
      <c r="AP21" s="219">
        <f t="shared" si="16"/>
        <v>0</v>
      </c>
      <c r="AQ21" s="219">
        <f t="shared" si="17"/>
        <v>0</v>
      </c>
      <c r="AR21" s="219">
        <f t="shared" si="18"/>
        <v>0</v>
      </c>
      <c r="AS21" s="219">
        <f t="shared" si="19"/>
        <v>0</v>
      </c>
      <c r="AT21" s="219">
        <f t="shared" si="20"/>
        <v>0</v>
      </c>
      <c r="AU21" s="219">
        <f t="shared" si="21"/>
        <v>0</v>
      </c>
      <c r="AV21" s="219">
        <f t="shared" si="22"/>
        <v>0</v>
      </c>
      <c r="AW21" s="219">
        <f t="shared" si="23"/>
        <v>0</v>
      </c>
      <c r="AX21" s="65">
        <f t="shared" si="24"/>
        <v>0</v>
      </c>
    </row>
    <row r="22" spans="2:50">
      <c r="B22" s="92"/>
      <c r="C22" s="131"/>
      <c r="D22" s="133" t="s">
        <v>118</v>
      </c>
      <c r="E22" s="133"/>
      <c r="F22" s="133" t="s">
        <v>285</v>
      </c>
      <c r="G22" s="243">
        <f t="shared" si="25"/>
        <v>0</v>
      </c>
      <c r="H22" s="234"/>
      <c r="I22" s="170">
        <v>0</v>
      </c>
      <c r="J22" s="170">
        <f t="shared" si="26"/>
        <v>0</v>
      </c>
      <c r="K22" s="170">
        <f t="shared" si="26"/>
        <v>0</v>
      </c>
      <c r="L22" s="170">
        <f t="shared" si="26"/>
        <v>0</v>
      </c>
      <c r="M22" s="170">
        <f t="shared" si="26"/>
        <v>0</v>
      </c>
      <c r="N22" s="170">
        <f t="shared" si="26"/>
        <v>0</v>
      </c>
      <c r="O22" s="170">
        <f t="shared" si="26"/>
        <v>0</v>
      </c>
      <c r="P22" s="170">
        <f t="shared" si="26"/>
        <v>0</v>
      </c>
      <c r="Q22" s="170">
        <f t="shared" si="26"/>
        <v>0</v>
      </c>
      <c r="R22" s="170">
        <f t="shared" si="26"/>
        <v>0</v>
      </c>
      <c r="S22" s="170">
        <f t="shared" si="26"/>
        <v>0</v>
      </c>
      <c r="T22" s="170">
        <f t="shared" si="26"/>
        <v>0</v>
      </c>
      <c r="U22" s="136"/>
      <c r="V22" s="97"/>
      <c r="Y22" s="219"/>
      <c r="Z22" s="219">
        <f t="shared" si="1"/>
        <v>0</v>
      </c>
      <c r="AA22" s="219">
        <f t="shared" si="2"/>
        <v>0</v>
      </c>
      <c r="AB22" s="219">
        <f t="shared" si="3"/>
        <v>0</v>
      </c>
      <c r="AC22" s="219">
        <f t="shared" si="4"/>
        <v>0</v>
      </c>
      <c r="AD22" s="219">
        <f t="shared" si="5"/>
        <v>0</v>
      </c>
      <c r="AE22" s="219">
        <f t="shared" si="6"/>
        <v>0</v>
      </c>
      <c r="AF22" s="219">
        <f t="shared" si="7"/>
        <v>0</v>
      </c>
      <c r="AG22" s="219">
        <f t="shared" si="8"/>
        <v>0</v>
      </c>
      <c r="AH22" s="219">
        <f t="shared" si="9"/>
        <v>0</v>
      </c>
      <c r="AI22" s="219">
        <f t="shared" si="10"/>
        <v>0</v>
      </c>
      <c r="AJ22" s="219">
        <f t="shared" si="11"/>
        <v>0</v>
      </c>
      <c r="AK22" s="65">
        <f t="shared" si="12"/>
        <v>0</v>
      </c>
      <c r="AL22" s="219"/>
      <c r="AM22" s="219">
        <f t="shared" si="13"/>
        <v>0</v>
      </c>
      <c r="AN22" s="219">
        <f t="shared" si="14"/>
        <v>0</v>
      </c>
      <c r="AO22" s="219">
        <f t="shared" si="15"/>
        <v>0</v>
      </c>
      <c r="AP22" s="219">
        <f t="shared" si="16"/>
        <v>0</v>
      </c>
      <c r="AQ22" s="219">
        <f t="shared" si="17"/>
        <v>0</v>
      </c>
      <c r="AR22" s="219">
        <f t="shared" si="18"/>
        <v>0</v>
      </c>
      <c r="AS22" s="219">
        <f t="shared" si="19"/>
        <v>0</v>
      </c>
      <c r="AT22" s="219">
        <f t="shared" si="20"/>
        <v>0</v>
      </c>
      <c r="AU22" s="219">
        <f t="shared" si="21"/>
        <v>0</v>
      </c>
      <c r="AV22" s="219">
        <f t="shared" si="22"/>
        <v>0</v>
      </c>
      <c r="AW22" s="219">
        <f t="shared" si="23"/>
        <v>0</v>
      </c>
      <c r="AX22" s="65">
        <f t="shared" si="24"/>
        <v>0</v>
      </c>
    </row>
    <row r="23" spans="2:50">
      <c r="B23" s="92"/>
      <c r="C23" s="131"/>
      <c r="D23" s="133" t="s">
        <v>116</v>
      </c>
      <c r="E23" s="133"/>
      <c r="F23" s="133" t="s">
        <v>285</v>
      </c>
      <c r="G23" s="243">
        <f t="shared" si="25"/>
        <v>0</v>
      </c>
      <c r="H23" s="234"/>
      <c r="I23" s="170">
        <v>0</v>
      </c>
      <c r="J23" s="170">
        <f t="shared" si="26"/>
        <v>0</v>
      </c>
      <c r="K23" s="170">
        <f t="shared" si="26"/>
        <v>0</v>
      </c>
      <c r="L23" s="170">
        <f t="shared" si="26"/>
        <v>0</v>
      </c>
      <c r="M23" s="170">
        <f t="shared" si="26"/>
        <v>0</v>
      </c>
      <c r="N23" s="170">
        <f t="shared" si="26"/>
        <v>0</v>
      </c>
      <c r="O23" s="170">
        <f t="shared" si="26"/>
        <v>0</v>
      </c>
      <c r="P23" s="170">
        <f t="shared" si="26"/>
        <v>0</v>
      </c>
      <c r="Q23" s="170">
        <f t="shared" si="26"/>
        <v>0</v>
      </c>
      <c r="R23" s="170">
        <f t="shared" si="26"/>
        <v>0</v>
      </c>
      <c r="S23" s="170">
        <f t="shared" si="26"/>
        <v>0</v>
      </c>
      <c r="T23" s="170">
        <f t="shared" si="26"/>
        <v>0</v>
      </c>
      <c r="U23" s="136"/>
      <c r="V23" s="97"/>
      <c r="Y23" s="219"/>
      <c r="Z23" s="219">
        <f t="shared" si="1"/>
        <v>0</v>
      </c>
      <c r="AA23" s="219">
        <f t="shared" si="2"/>
        <v>0</v>
      </c>
      <c r="AB23" s="219">
        <f t="shared" si="3"/>
        <v>0</v>
      </c>
      <c r="AC23" s="219">
        <f t="shared" si="4"/>
        <v>0</v>
      </c>
      <c r="AD23" s="219">
        <f t="shared" si="5"/>
        <v>0</v>
      </c>
      <c r="AE23" s="219">
        <f t="shared" si="6"/>
        <v>0</v>
      </c>
      <c r="AF23" s="219">
        <f t="shared" si="7"/>
        <v>0</v>
      </c>
      <c r="AG23" s="219">
        <f t="shared" si="8"/>
        <v>0</v>
      </c>
      <c r="AH23" s="219">
        <f t="shared" si="9"/>
        <v>0</v>
      </c>
      <c r="AI23" s="219">
        <f t="shared" si="10"/>
        <v>0</v>
      </c>
      <c r="AJ23" s="219">
        <f t="shared" si="11"/>
        <v>0</v>
      </c>
      <c r="AK23" s="65">
        <f t="shared" si="12"/>
        <v>0</v>
      </c>
      <c r="AL23" s="219"/>
      <c r="AM23" s="219">
        <f t="shared" si="13"/>
        <v>0</v>
      </c>
      <c r="AN23" s="219">
        <f t="shared" si="14"/>
        <v>0</v>
      </c>
      <c r="AO23" s="219">
        <f t="shared" si="15"/>
        <v>0</v>
      </c>
      <c r="AP23" s="219">
        <f t="shared" si="16"/>
        <v>0</v>
      </c>
      <c r="AQ23" s="219">
        <f t="shared" si="17"/>
        <v>0</v>
      </c>
      <c r="AR23" s="219">
        <f t="shared" si="18"/>
        <v>0</v>
      </c>
      <c r="AS23" s="219">
        <f t="shared" si="19"/>
        <v>0</v>
      </c>
      <c r="AT23" s="219">
        <f t="shared" si="20"/>
        <v>0</v>
      </c>
      <c r="AU23" s="219">
        <f t="shared" si="21"/>
        <v>0</v>
      </c>
      <c r="AV23" s="219">
        <f t="shared" si="22"/>
        <v>0</v>
      </c>
      <c r="AW23" s="219">
        <f t="shared" si="23"/>
        <v>0</v>
      </c>
      <c r="AX23" s="65">
        <f t="shared" si="24"/>
        <v>0</v>
      </c>
    </row>
    <row r="24" spans="2:50">
      <c r="B24" s="92"/>
      <c r="C24" s="131"/>
      <c r="D24" s="133" t="s">
        <v>119</v>
      </c>
      <c r="E24" s="133"/>
      <c r="F24" s="133" t="s">
        <v>285</v>
      </c>
      <c r="G24" s="243">
        <f t="shared" si="25"/>
        <v>0</v>
      </c>
      <c r="H24" s="234"/>
      <c r="I24" s="170">
        <v>0</v>
      </c>
      <c r="J24" s="170">
        <f t="shared" si="26"/>
        <v>0</v>
      </c>
      <c r="K24" s="170">
        <f t="shared" si="26"/>
        <v>0</v>
      </c>
      <c r="L24" s="170">
        <f t="shared" si="26"/>
        <v>0</v>
      </c>
      <c r="M24" s="170">
        <f t="shared" si="26"/>
        <v>0</v>
      </c>
      <c r="N24" s="170">
        <f t="shared" si="26"/>
        <v>0</v>
      </c>
      <c r="O24" s="170">
        <f t="shared" si="26"/>
        <v>0</v>
      </c>
      <c r="P24" s="170">
        <f t="shared" si="26"/>
        <v>0</v>
      </c>
      <c r="Q24" s="170">
        <f t="shared" si="26"/>
        <v>0</v>
      </c>
      <c r="R24" s="170">
        <f t="shared" si="26"/>
        <v>0</v>
      </c>
      <c r="S24" s="170">
        <f t="shared" si="26"/>
        <v>0</v>
      </c>
      <c r="T24" s="170">
        <f t="shared" si="26"/>
        <v>0</v>
      </c>
      <c r="U24" s="136"/>
      <c r="V24" s="97"/>
      <c r="Y24" s="219"/>
      <c r="Z24" s="219">
        <f t="shared" si="1"/>
        <v>0</v>
      </c>
      <c r="AA24" s="219">
        <f t="shared" si="2"/>
        <v>0</v>
      </c>
      <c r="AB24" s="219">
        <f t="shared" si="3"/>
        <v>0</v>
      </c>
      <c r="AC24" s="219">
        <f t="shared" si="4"/>
        <v>0</v>
      </c>
      <c r="AD24" s="219">
        <f t="shared" si="5"/>
        <v>0</v>
      </c>
      <c r="AE24" s="219">
        <f t="shared" si="6"/>
        <v>0</v>
      </c>
      <c r="AF24" s="219">
        <f t="shared" si="7"/>
        <v>0</v>
      </c>
      <c r="AG24" s="219">
        <f t="shared" si="8"/>
        <v>0</v>
      </c>
      <c r="AH24" s="219">
        <f t="shared" si="9"/>
        <v>0</v>
      </c>
      <c r="AI24" s="219">
        <f t="shared" si="10"/>
        <v>0</v>
      </c>
      <c r="AJ24" s="219">
        <f t="shared" si="11"/>
        <v>0</v>
      </c>
      <c r="AK24" s="65">
        <f t="shared" si="12"/>
        <v>0</v>
      </c>
      <c r="AL24" s="219"/>
      <c r="AM24" s="219">
        <f t="shared" si="13"/>
        <v>0</v>
      </c>
      <c r="AN24" s="219">
        <f t="shared" si="14"/>
        <v>0</v>
      </c>
      <c r="AO24" s="219">
        <f t="shared" si="15"/>
        <v>0</v>
      </c>
      <c r="AP24" s="219">
        <f t="shared" si="16"/>
        <v>0</v>
      </c>
      <c r="AQ24" s="219">
        <f t="shared" si="17"/>
        <v>0</v>
      </c>
      <c r="AR24" s="219">
        <f t="shared" si="18"/>
        <v>0</v>
      </c>
      <c r="AS24" s="219">
        <f t="shared" si="19"/>
        <v>0</v>
      </c>
      <c r="AT24" s="219">
        <f t="shared" si="20"/>
        <v>0</v>
      </c>
      <c r="AU24" s="219">
        <f t="shared" si="21"/>
        <v>0</v>
      </c>
      <c r="AV24" s="219">
        <f t="shared" si="22"/>
        <v>0</v>
      </c>
      <c r="AW24" s="219">
        <f t="shared" si="23"/>
        <v>0</v>
      </c>
      <c r="AX24" s="65">
        <f t="shared" si="24"/>
        <v>0</v>
      </c>
    </row>
    <row r="25" spans="2:50">
      <c r="B25" s="92"/>
      <c r="C25" s="131"/>
      <c r="D25" s="138" t="s">
        <v>273</v>
      </c>
      <c r="E25" s="138"/>
      <c r="F25" s="138"/>
      <c r="G25" s="244">
        <f>SUM(I25:T25)</f>
        <v>0</v>
      </c>
      <c r="H25" s="236"/>
      <c r="I25" s="245">
        <f>+Z25</f>
        <v>0</v>
      </c>
      <c r="J25" s="245">
        <f t="shared" ref="J25:T25" si="27">+AA25</f>
        <v>0</v>
      </c>
      <c r="K25" s="245">
        <f t="shared" si="27"/>
        <v>0</v>
      </c>
      <c r="L25" s="245">
        <f t="shared" si="27"/>
        <v>0</v>
      </c>
      <c r="M25" s="245">
        <f t="shared" si="27"/>
        <v>0</v>
      </c>
      <c r="N25" s="245">
        <f t="shared" si="27"/>
        <v>0</v>
      </c>
      <c r="O25" s="245">
        <f t="shared" si="27"/>
        <v>0</v>
      </c>
      <c r="P25" s="245">
        <f t="shared" si="27"/>
        <v>0</v>
      </c>
      <c r="Q25" s="245">
        <f t="shared" si="27"/>
        <v>0</v>
      </c>
      <c r="R25" s="245">
        <f t="shared" si="27"/>
        <v>0</v>
      </c>
      <c r="S25" s="245">
        <f t="shared" si="27"/>
        <v>0</v>
      </c>
      <c r="T25" s="245">
        <f t="shared" si="27"/>
        <v>0</v>
      </c>
      <c r="U25" s="136"/>
      <c r="V25" s="97"/>
      <c r="Y25" s="219"/>
      <c r="Z25" s="219">
        <f>SUM(Z12:Z24)</f>
        <v>0</v>
      </c>
      <c r="AA25" s="219">
        <f t="shared" ref="AA25:AK25" si="28">SUM(AA12:AA24)</f>
        <v>0</v>
      </c>
      <c r="AB25" s="219">
        <f t="shared" si="28"/>
        <v>0</v>
      </c>
      <c r="AC25" s="219">
        <f t="shared" si="28"/>
        <v>0</v>
      </c>
      <c r="AD25" s="219">
        <f t="shared" si="28"/>
        <v>0</v>
      </c>
      <c r="AE25" s="219">
        <f t="shared" si="28"/>
        <v>0</v>
      </c>
      <c r="AF25" s="219">
        <f t="shared" si="28"/>
        <v>0</v>
      </c>
      <c r="AG25" s="219">
        <f t="shared" si="28"/>
        <v>0</v>
      </c>
      <c r="AH25" s="219">
        <f t="shared" si="28"/>
        <v>0</v>
      </c>
      <c r="AI25" s="219">
        <f t="shared" si="28"/>
        <v>0</v>
      </c>
      <c r="AJ25" s="219">
        <f t="shared" si="28"/>
        <v>0</v>
      </c>
      <c r="AK25" s="65">
        <f t="shared" si="28"/>
        <v>0</v>
      </c>
    </row>
    <row r="26" spans="2:50">
      <c r="B26" s="92"/>
      <c r="C26" s="131"/>
      <c r="D26" s="138" t="s">
        <v>280</v>
      </c>
      <c r="E26" s="138"/>
      <c r="F26" s="138"/>
      <c r="G26" s="244">
        <f>SUM(I26:T26)</f>
        <v>0</v>
      </c>
      <c r="H26" s="236"/>
      <c r="I26" s="245">
        <f>+AM26</f>
        <v>0</v>
      </c>
      <c r="J26" s="245">
        <f t="shared" ref="J26:T26" si="29">+AN26</f>
        <v>0</v>
      </c>
      <c r="K26" s="245">
        <f t="shared" si="29"/>
        <v>0</v>
      </c>
      <c r="L26" s="245">
        <f t="shared" si="29"/>
        <v>0</v>
      </c>
      <c r="M26" s="245">
        <f t="shared" si="29"/>
        <v>0</v>
      </c>
      <c r="N26" s="245">
        <f t="shared" si="29"/>
        <v>0</v>
      </c>
      <c r="O26" s="245">
        <f t="shared" si="29"/>
        <v>0</v>
      </c>
      <c r="P26" s="245">
        <f t="shared" si="29"/>
        <v>0</v>
      </c>
      <c r="Q26" s="245">
        <f t="shared" si="29"/>
        <v>0</v>
      </c>
      <c r="R26" s="245">
        <f t="shared" si="29"/>
        <v>0</v>
      </c>
      <c r="S26" s="245">
        <f t="shared" si="29"/>
        <v>0</v>
      </c>
      <c r="T26" s="245">
        <f t="shared" si="29"/>
        <v>0</v>
      </c>
      <c r="U26" s="136"/>
      <c r="V26" s="97"/>
      <c r="AL26" s="219"/>
      <c r="AM26" s="219">
        <f t="shared" ref="AM26:AX26" si="30">SUM(AM12:AM24)</f>
        <v>0</v>
      </c>
      <c r="AN26" s="219">
        <f t="shared" si="30"/>
        <v>0</v>
      </c>
      <c r="AO26" s="219">
        <f t="shared" si="30"/>
        <v>0</v>
      </c>
      <c r="AP26" s="219">
        <f t="shared" si="30"/>
        <v>0</v>
      </c>
      <c r="AQ26" s="219">
        <f t="shared" si="30"/>
        <v>0</v>
      </c>
      <c r="AR26" s="219">
        <f t="shared" si="30"/>
        <v>0</v>
      </c>
      <c r="AS26" s="219">
        <f t="shared" si="30"/>
        <v>0</v>
      </c>
      <c r="AT26" s="219">
        <f t="shared" si="30"/>
        <v>0</v>
      </c>
      <c r="AU26" s="219">
        <f t="shared" si="30"/>
        <v>0</v>
      </c>
      <c r="AV26" s="219">
        <f t="shared" si="30"/>
        <v>0</v>
      </c>
      <c r="AW26" s="219">
        <f t="shared" si="30"/>
        <v>0</v>
      </c>
      <c r="AX26" s="65">
        <f t="shared" si="30"/>
        <v>0</v>
      </c>
    </row>
    <row r="27" spans="2:50">
      <c r="B27" s="92"/>
      <c r="C27" s="131"/>
      <c r="D27" s="138"/>
      <c r="E27" s="133"/>
      <c r="F27" s="138" t="s">
        <v>205</v>
      </c>
      <c r="G27" s="244">
        <f>SUM(G25:G26)</f>
        <v>0</v>
      </c>
      <c r="H27" s="236"/>
      <c r="I27" s="135"/>
      <c r="J27" s="135"/>
      <c r="K27" s="238">
        <f>SUM(K12:K24)</f>
        <v>0</v>
      </c>
      <c r="L27" s="135"/>
      <c r="M27" s="135"/>
      <c r="N27" s="135"/>
      <c r="O27" s="135"/>
      <c r="P27" s="135"/>
      <c r="Q27" s="135"/>
      <c r="R27" s="135"/>
      <c r="S27" s="135"/>
      <c r="T27" s="135"/>
      <c r="U27" s="136"/>
      <c r="V27" s="97"/>
    </row>
    <row r="28" spans="2:50">
      <c r="B28" s="92"/>
      <c r="C28" s="141"/>
      <c r="D28" s="142"/>
      <c r="E28" s="144"/>
      <c r="F28" s="144"/>
      <c r="G28" s="146"/>
      <c r="H28" s="144"/>
      <c r="I28" s="146"/>
      <c r="J28" s="146"/>
      <c r="K28" s="146"/>
      <c r="L28" s="146"/>
      <c r="M28" s="146"/>
      <c r="N28" s="146"/>
      <c r="O28" s="146"/>
      <c r="P28" s="146"/>
      <c r="Q28" s="146"/>
      <c r="R28" s="146"/>
      <c r="S28" s="146"/>
      <c r="T28" s="146"/>
      <c r="U28" s="147"/>
      <c r="V28" s="97"/>
    </row>
    <row r="29" spans="2:50">
      <c r="B29" s="92"/>
      <c r="C29" s="93"/>
      <c r="D29" s="110"/>
      <c r="E29" s="93"/>
      <c r="F29" s="93"/>
      <c r="G29" s="95"/>
      <c r="H29" s="93"/>
      <c r="I29" s="95"/>
      <c r="J29" s="95"/>
      <c r="K29" s="95"/>
      <c r="L29" s="95"/>
      <c r="M29" s="95"/>
      <c r="N29" s="95"/>
      <c r="O29" s="95"/>
      <c r="P29" s="95"/>
      <c r="Q29" s="95"/>
      <c r="R29" s="95"/>
      <c r="S29" s="95"/>
      <c r="T29" s="95"/>
      <c r="U29" s="93"/>
      <c r="V29" s="97"/>
    </row>
    <row r="30" spans="2:50">
      <c r="B30" s="92"/>
      <c r="C30" s="124"/>
      <c r="D30" s="127"/>
      <c r="E30" s="127"/>
      <c r="F30" s="127"/>
      <c r="G30" s="129"/>
      <c r="H30" s="127"/>
      <c r="I30" s="129"/>
      <c r="J30" s="129"/>
      <c r="K30" s="129"/>
      <c r="L30" s="129"/>
      <c r="M30" s="129"/>
      <c r="N30" s="129"/>
      <c r="O30" s="129"/>
      <c r="P30" s="153"/>
      <c r="Q30" s="153"/>
      <c r="R30" s="129"/>
      <c r="S30" s="129"/>
      <c r="T30" s="129"/>
      <c r="U30" s="130"/>
      <c r="V30" s="97"/>
    </row>
    <row r="31" spans="2:50">
      <c r="B31" s="92"/>
      <c r="C31" s="228"/>
      <c r="D31" s="239" t="s">
        <v>688</v>
      </c>
      <c r="E31" s="174" t="str">
        <f>E9</f>
        <v>2011/12</v>
      </c>
      <c r="F31" s="229"/>
      <c r="G31" s="230"/>
      <c r="H31" s="229"/>
      <c r="I31" s="230"/>
      <c r="J31" s="230"/>
      <c r="K31" s="170">
        <v>0</v>
      </c>
      <c r="L31" s="230"/>
      <c r="M31" s="230"/>
      <c r="N31" s="230"/>
      <c r="O31" s="230"/>
      <c r="P31" s="230"/>
      <c r="Q31" s="230"/>
      <c r="R31" s="230"/>
      <c r="S31" s="230"/>
      <c r="T31" s="230"/>
      <c r="U31" s="231"/>
      <c r="V31" s="97"/>
    </row>
    <row r="32" spans="2:50">
      <c r="B32" s="92"/>
      <c r="C32" s="228"/>
      <c r="D32" s="239" t="s">
        <v>691</v>
      </c>
      <c r="E32" s="240" t="str">
        <f>E10</f>
        <v>2012/13</v>
      </c>
      <c r="F32" s="174" t="s">
        <v>586</v>
      </c>
      <c r="G32" s="241" t="str">
        <f>G10</f>
        <v>2012/13</v>
      </c>
      <c r="H32" s="174"/>
      <c r="I32" s="242" t="s">
        <v>218</v>
      </c>
      <c r="J32" s="242" t="s">
        <v>219</v>
      </c>
      <c r="K32" s="242" t="s">
        <v>220</v>
      </c>
      <c r="L32" s="242" t="s">
        <v>221</v>
      </c>
      <c r="M32" s="242" t="s">
        <v>222</v>
      </c>
      <c r="N32" s="242" t="s">
        <v>216</v>
      </c>
      <c r="O32" s="242" t="s">
        <v>217</v>
      </c>
      <c r="P32" s="242" t="s">
        <v>223</v>
      </c>
      <c r="Q32" s="242" t="s">
        <v>224</v>
      </c>
      <c r="R32" s="242" t="s">
        <v>225</v>
      </c>
      <c r="S32" s="242" t="s">
        <v>226</v>
      </c>
      <c r="T32" s="242" t="s">
        <v>227</v>
      </c>
      <c r="U32" s="231"/>
      <c r="V32" s="97"/>
      <c r="Z32" s="65" t="s">
        <v>218</v>
      </c>
      <c r="AA32" s="65" t="s">
        <v>219</v>
      </c>
      <c r="AB32" s="65" t="s">
        <v>220</v>
      </c>
      <c r="AC32" s="65" t="s">
        <v>221</v>
      </c>
      <c r="AD32" s="65" t="s">
        <v>222</v>
      </c>
      <c r="AE32" s="65" t="s">
        <v>216</v>
      </c>
      <c r="AF32" s="65" t="s">
        <v>217</v>
      </c>
      <c r="AG32" s="65" t="s">
        <v>223</v>
      </c>
      <c r="AH32" s="65" t="s">
        <v>224</v>
      </c>
      <c r="AI32" s="65" t="s">
        <v>225</v>
      </c>
      <c r="AJ32" s="65" t="s">
        <v>226</v>
      </c>
      <c r="AK32" s="65" t="s">
        <v>227</v>
      </c>
      <c r="AM32" s="65" t="s">
        <v>218</v>
      </c>
      <c r="AN32" s="65" t="s">
        <v>219</v>
      </c>
      <c r="AO32" s="65" t="s">
        <v>220</v>
      </c>
      <c r="AP32" s="65" t="s">
        <v>221</v>
      </c>
      <c r="AQ32" s="65" t="s">
        <v>222</v>
      </c>
      <c r="AR32" s="65" t="s">
        <v>216</v>
      </c>
      <c r="AS32" s="65" t="s">
        <v>217</v>
      </c>
      <c r="AT32" s="65" t="s">
        <v>223</v>
      </c>
      <c r="AU32" s="65" t="s">
        <v>224</v>
      </c>
      <c r="AV32" s="65" t="s">
        <v>225</v>
      </c>
      <c r="AW32" s="65" t="s">
        <v>226</v>
      </c>
      <c r="AX32" s="65" t="s">
        <v>227</v>
      </c>
    </row>
    <row r="33" spans="2:50">
      <c r="B33" s="92"/>
      <c r="C33" s="131"/>
      <c r="D33" s="133"/>
      <c r="E33" s="232"/>
      <c r="F33" s="138"/>
      <c r="G33" s="139"/>
      <c r="H33" s="138"/>
      <c r="I33" s="135"/>
      <c r="J33" s="135"/>
      <c r="K33" s="135"/>
      <c r="L33" s="135"/>
      <c r="M33" s="135"/>
      <c r="N33" s="135"/>
      <c r="O33" s="135"/>
      <c r="P33" s="135"/>
      <c r="Q33" s="135"/>
      <c r="R33" s="135"/>
      <c r="S33" s="135"/>
      <c r="T33" s="135"/>
      <c r="U33" s="136"/>
      <c r="V33" s="97"/>
    </row>
    <row r="34" spans="2:50">
      <c r="B34" s="92"/>
      <c r="C34" s="131"/>
      <c r="D34" s="133" t="s">
        <v>107</v>
      </c>
      <c r="E34" s="133"/>
      <c r="F34" s="133" t="s">
        <v>285</v>
      </c>
      <c r="G34" s="243">
        <f t="shared" ref="G34:G46" si="31">ROUND(SUM(I34:T34)/12,2)</f>
        <v>0</v>
      </c>
      <c r="H34" s="234"/>
      <c r="I34" s="170">
        <v>0</v>
      </c>
      <c r="J34" s="170">
        <f>+I34</f>
        <v>0</v>
      </c>
      <c r="K34" s="170">
        <f t="shared" ref="K34:T34" si="32">+J34</f>
        <v>0</v>
      </c>
      <c r="L34" s="170">
        <f t="shared" si="32"/>
        <v>0</v>
      </c>
      <c r="M34" s="170">
        <f t="shared" si="32"/>
        <v>0</v>
      </c>
      <c r="N34" s="170">
        <f t="shared" si="32"/>
        <v>0</v>
      </c>
      <c r="O34" s="170">
        <f t="shared" si="32"/>
        <v>0</v>
      </c>
      <c r="P34" s="170">
        <f t="shared" si="32"/>
        <v>0</v>
      </c>
      <c r="Q34" s="170">
        <f t="shared" si="32"/>
        <v>0</v>
      </c>
      <c r="R34" s="170">
        <f t="shared" si="32"/>
        <v>0</v>
      </c>
      <c r="S34" s="170">
        <f t="shared" si="32"/>
        <v>0</v>
      </c>
      <c r="T34" s="170">
        <f t="shared" si="32"/>
        <v>0</v>
      </c>
      <c r="U34" s="136"/>
      <c r="V34" s="97"/>
      <c r="Y34" s="220"/>
      <c r="Z34" s="220">
        <f t="shared" ref="Z34:Z46" si="33">ROUND(+I34*1/12*VLOOKUP($D34,LGFPOVO,3,FALSE),2)</f>
        <v>0</v>
      </c>
      <c r="AA34" s="220">
        <f t="shared" ref="AA34:AA46" si="34">ROUND(+J34*1/12*VLOOKUP($D34,LGFPOVO,3,FALSE),2)</f>
        <v>0</v>
      </c>
      <c r="AB34" s="220">
        <f t="shared" ref="AB34:AB46" si="35">ROUND(+K34*1/12*VLOOKUP($D34,LGFPOVO,3,FALSE),2)</f>
        <v>0</v>
      </c>
      <c r="AC34" s="220">
        <f t="shared" ref="AC34:AC46" si="36">ROUND(+L34*1/12*VLOOKUP($D34,LGFPOVO,3,FALSE),2)</f>
        <v>0</v>
      </c>
      <c r="AD34" s="220">
        <f t="shared" ref="AD34:AD46" si="37">ROUND(+M34*1/12*VLOOKUP($D34,LGFPOVO,3,FALSE),2)</f>
        <v>0</v>
      </c>
      <c r="AE34" s="220">
        <f t="shared" ref="AE34:AE46" si="38">ROUND(+N34*1/12*VLOOKUP($D34,LGFPOVO,3,FALSE),2)</f>
        <v>0</v>
      </c>
      <c r="AF34" s="220">
        <f t="shared" ref="AF34:AF46" si="39">ROUND(+O34*1/12*VLOOKUP($D34,LGFPOVO,3,FALSE),2)</f>
        <v>0</v>
      </c>
      <c r="AG34" s="220">
        <f t="shared" ref="AG34:AG46" si="40">ROUND(+P34*1/12*VLOOKUP($D34,LGFPOVO,3,FALSE),2)</f>
        <v>0</v>
      </c>
      <c r="AH34" s="220">
        <f t="shared" ref="AH34:AH46" si="41">ROUND(+Q34*1/12*VLOOKUP($D34,LGFPOVO,3,FALSE),2)</f>
        <v>0</v>
      </c>
      <c r="AI34" s="220">
        <f t="shared" ref="AI34:AI46" si="42">ROUND(+R34*1/12*VLOOKUP($D34,LGFPOVO,3,FALSE),2)</f>
        <v>0</v>
      </c>
      <c r="AJ34" s="220">
        <f t="shared" ref="AJ34:AJ46" si="43">ROUND(+S34*1/12*VLOOKUP($D34,LGFPOVO,3,FALSE),2)</f>
        <v>0</v>
      </c>
      <c r="AK34" s="65">
        <f t="shared" ref="AK34:AK46" si="44">ROUND(+T34*1/12*VLOOKUP($D34,LGFPOVO,3,FALSE),2)</f>
        <v>0</v>
      </c>
      <c r="AL34" s="220"/>
      <c r="AM34" s="220">
        <f t="shared" ref="AM34:AM46" si="45">ROUND(+I34*1/12*VLOOKUP($D34,LGFPOVO,5,FALSE),2)</f>
        <v>0</v>
      </c>
      <c r="AN34" s="220">
        <f t="shared" ref="AN34:AN46" si="46">ROUND(+J34*1/12*VLOOKUP($D34,LGFPOVO,5,FALSE),2)</f>
        <v>0</v>
      </c>
      <c r="AO34" s="220">
        <f t="shared" ref="AO34:AO46" si="47">ROUND(+K34*1/12*VLOOKUP($D34,LGFPOVO,5,FALSE),2)</f>
        <v>0</v>
      </c>
      <c r="AP34" s="220">
        <f t="shared" ref="AP34:AP46" si="48">ROUND(+L34*1/12*VLOOKUP($D34,LGFPOVO,5,FALSE),2)</f>
        <v>0</v>
      </c>
      <c r="AQ34" s="220">
        <f t="shared" ref="AQ34:AQ46" si="49">ROUND(+M34*1/12*VLOOKUP($D34,LGFPOVO,5,FALSE),2)</f>
        <v>0</v>
      </c>
      <c r="AR34" s="220">
        <f t="shared" ref="AR34:AR46" si="50">ROUND(+N34*1/12*VLOOKUP($D34,LGFPOVO,5,FALSE),2)</f>
        <v>0</v>
      </c>
      <c r="AS34" s="220">
        <f t="shared" ref="AS34:AS46" si="51">ROUND(+O34*1/12*VLOOKUP($D34,LGFPOVO,5,FALSE),2)</f>
        <v>0</v>
      </c>
      <c r="AT34" s="220">
        <f t="shared" ref="AT34:AT46" si="52">ROUND(+P34*1/12*VLOOKUP($D34,LGFPOVO,5,FALSE),2)</f>
        <v>0</v>
      </c>
      <c r="AU34" s="220">
        <f t="shared" ref="AU34:AU46" si="53">ROUND(+Q34*1/12*VLOOKUP($D34,LGFPOVO,5,FALSE),2)</f>
        <v>0</v>
      </c>
      <c r="AV34" s="220">
        <f t="shared" ref="AV34:AV46" si="54">ROUND(+R34*1/12*VLOOKUP($D34,LGFPOVO,5,FALSE),2)</f>
        <v>0</v>
      </c>
      <c r="AW34" s="220">
        <f t="shared" ref="AW34:AW46" si="55">ROUND(+S34*1/12*VLOOKUP($D34,LGFPOVO,5,FALSE),2)</f>
        <v>0</v>
      </c>
      <c r="AX34" s="65">
        <f t="shared" ref="AX34:AX46" si="56">ROUND(+T34*1/12*VLOOKUP($D34,LGFPOVO,5,FALSE),2)</f>
        <v>0</v>
      </c>
    </row>
    <row r="35" spans="2:50">
      <c r="B35" s="92"/>
      <c r="C35" s="131"/>
      <c r="D35" s="133" t="s">
        <v>108</v>
      </c>
      <c r="E35" s="133"/>
      <c r="F35" s="133" t="s">
        <v>285</v>
      </c>
      <c r="G35" s="243">
        <f t="shared" si="31"/>
        <v>0</v>
      </c>
      <c r="H35" s="234"/>
      <c r="I35" s="170">
        <v>0</v>
      </c>
      <c r="J35" s="170">
        <f t="shared" ref="J35:T46" si="57">+I35</f>
        <v>0</v>
      </c>
      <c r="K35" s="170">
        <f t="shared" si="57"/>
        <v>0</v>
      </c>
      <c r="L35" s="170">
        <f t="shared" si="57"/>
        <v>0</v>
      </c>
      <c r="M35" s="170">
        <f t="shared" si="57"/>
        <v>0</v>
      </c>
      <c r="N35" s="170">
        <f t="shared" si="57"/>
        <v>0</v>
      </c>
      <c r="O35" s="170">
        <f t="shared" si="57"/>
        <v>0</v>
      </c>
      <c r="P35" s="170">
        <f t="shared" si="57"/>
        <v>0</v>
      </c>
      <c r="Q35" s="170">
        <f t="shared" si="57"/>
        <v>0</v>
      </c>
      <c r="R35" s="170">
        <f t="shared" si="57"/>
        <v>0</v>
      </c>
      <c r="S35" s="170">
        <f t="shared" si="57"/>
        <v>0</v>
      </c>
      <c r="T35" s="170">
        <f t="shared" si="57"/>
        <v>0</v>
      </c>
      <c r="U35" s="136"/>
      <c r="V35" s="97"/>
      <c r="Y35" s="220"/>
      <c r="Z35" s="220">
        <f t="shared" si="33"/>
        <v>0</v>
      </c>
      <c r="AA35" s="220">
        <f t="shared" si="34"/>
        <v>0</v>
      </c>
      <c r="AB35" s="220">
        <f t="shared" si="35"/>
        <v>0</v>
      </c>
      <c r="AC35" s="220">
        <f t="shared" si="36"/>
        <v>0</v>
      </c>
      <c r="AD35" s="220">
        <f t="shared" si="37"/>
        <v>0</v>
      </c>
      <c r="AE35" s="220">
        <f t="shared" si="38"/>
        <v>0</v>
      </c>
      <c r="AF35" s="220">
        <f t="shared" si="39"/>
        <v>0</v>
      </c>
      <c r="AG35" s="220">
        <f t="shared" si="40"/>
        <v>0</v>
      </c>
      <c r="AH35" s="220">
        <f t="shared" si="41"/>
        <v>0</v>
      </c>
      <c r="AI35" s="220">
        <f t="shared" si="42"/>
        <v>0</v>
      </c>
      <c r="AJ35" s="220">
        <f t="shared" si="43"/>
        <v>0</v>
      </c>
      <c r="AK35" s="65">
        <f t="shared" si="44"/>
        <v>0</v>
      </c>
      <c r="AL35" s="220"/>
      <c r="AM35" s="220">
        <f t="shared" si="45"/>
        <v>0</v>
      </c>
      <c r="AN35" s="220">
        <f t="shared" si="46"/>
        <v>0</v>
      </c>
      <c r="AO35" s="220">
        <f t="shared" si="47"/>
        <v>0</v>
      </c>
      <c r="AP35" s="220">
        <f t="shared" si="48"/>
        <v>0</v>
      </c>
      <c r="AQ35" s="220">
        <f t="shared" si="49"/>
        <v>0</v>
      </c>
      <c r="AR35" s="220">
        <f t="shared" si="50"/>
        <v>0</v>
      </c>
      <c r="AS35" s="220">
        <f t="shared" si="51"/>
        <v>0</v>
      </c>
      <c r="AT35" s="220">
        <f t="shared" si="52"/>
        <v>0</v>
      </c>
      <c r="AU35" s="220">
        <f t="shared" si="53"/>
        <v>0</v>
      </c>
      <c r="AV35" s="220">
        <f t="shared" si="54"/>
        <v>0</v>
      </c>
      <c r="AW35" s="220">
        <f t="shared" si="55"/>
        <v>0</v>
      </c>
      <c r="AX35" s="65">
        <f t="shared" si="56"/>
        <v>0</v>
      </c>
    </row>
    <row r="36" spans="2:50">
      <c r="B36" s="92"/>
      <c r="C36" s="131"/>
      <c r="D36" s="133" t="s">
        <v>109</v>
      </c>
      <c r="E36" s="133"/>
      <c r="F36" s="133" t="s">
        <v>285</v>
      </c>
      <c r="G36" s="243">
        <f t="shared" si="31"/>
        <v>0</v>
      </c>
      <c r="H36" s="234"/>
      <c r="I36" s="170">
        <v>0</v>
      </c>
      <c r="J36" s="170">
        <f t="shared" si="57"/>
        <v>0</v>
      </c>
      <c r="K36" s="170">
        <f t="shared" si="57"/>
        <v>0</v>
      </c>
      <c r="L36" s="170">
        <f t="shared" si="57"/>
        <v>0</v>
      </c>
      <c r="M36" s="170">
        <f t="shared" si="57"/>
        <v>0</v>
      </c>
      <c r="N36" s="170">
        <f t="shared" si="57"/>
        <v>0</v>
      </c>
      <c r="O36" s="170">
        <f t="shared" si="57"/>
        <v>0</v>
      </c>
      <c r="P36" s="170">
        <f t="shared" si="57"/>
        <v>0</v>
      </c>
      <c r="Q36" s="170">
        <f t="shared" si="57"/>
        <v>0</v>
      </c>
      <c r="R36" s="170">
        <f t="shared" si="57"/>
        <v>0</v>
      </c>
      <c r="S36" s="170">
        <f t="shared" si="57"/>
        <v>0</v>
      </c>
      <c r="T36" s="170">
        <f t="shared" si="57"/>
        <v>0</v>
      </c>
      <c r="U36" s="136"/>
      <c r="V36" s="97"/>
      <c r="Y36" s="220"/>
      <c r="Z36" s="220">
        <f t="shared" si="33"/>
        <v>0</v>
      </c>
      <c r="AA36" s="220">
        <f t="shared" si="34"/>
        <v>0</v>
      </c>
      <c r="AB36" s="220">
        <f t="shared" si="35"/>
        <v>0</v>
      </c>
      <c r="AC36" s="220">
        <f t="shared" si="36"/>
        <v>0</v>
      </c>
      <c r="AD36" s="220">
        <f t="shared" si="37"/>
        <v>0</v>
      </c>
      <c r="AE36" s="220">
        <f t="shared" si="38"/>
        <v>0</v>
      </c>
      <c r="AF36" s="220">
        <f t="shared" si="39"/>
        <v>0</v>
      </c>
      <c r="AG36" s="220">
        <f t="shared" si="40"/>
        <v>0</v>
      </c>
      <c r="AH36" s="220">
        <f t="shared" si="41"/>
        <v>0</v>
      </c>
      <c r="AI36" s="220">
        <f t="shared" si="42"/>
        <v>0</v>
      </c>
      <c r="AJ36" s="220">
        <f t="shared" si="43"/>
        <v>0</v>
      </c>
      <c r="AK36" s="65">
        <f t="shared" si="44"/>
        <v>0</v>
      </c>
      <c r="AL36" s="220"/>
      <c r="AM36" s="220">
        <f t="shared" si="45"/>
        <v>0</v>
      </c>
      <c r="AN36" s="220">
        <f t="shared" si="46"/>
        <v>0</v>
      </c>
      <c r="AO36" s="220">
        <f t="shared" si="47"/>
        <v>0</v>
      </c>
      <c r="AP36" s="220">
        <f t="shared" si="48"/>
        <v>0</v>
      </c>
      <c r="AQ36" s="220">
        <f t="shared" si="49"/>
        <v>0</v>
      </c>
      <c r="AR36" s="220">
        <f t="shared" si="50"/>
        <v>0</v>
      </c>
      <c r="AS36" s="220">
        <f t="shared" si="51"/>
        <v>0</v>
      </c>
      <c r="AT36" s="220">
        <f t="shared" si="52"/>
        <v>0</v>
      </c>
      <c r="AU36" s="220">
        <f t="shared" si="53"/>
        <v>0</v>
      </c>
      <c r="AV36" s="220">
        <f t="shared" si="54"/>
        <v>0</v>
      </c>
      <c r="AW36" s="220">
        <f t="shared" si="55"/>
        <v>0</v>
      </c>
      <c r="AX36" s="65">
        <f t="shared" si="56"/>
        <v>0</v>
      </c>
    </row>
    <row r="37" spans="2:50">
      <c r="B37" s="92"/>
      <c r="C37" s="131"/>
      <c r="D37" s="133" t="s">
        <v>110</v>
      </c>
      <c r="E37" s="133"/>
      <c r="F37" s="133" t="s">
        <v>285</v>
      </c>
      <c r="G37" s="243">
        <f t="shared" si="31"/>
        <v>0</v>
      </c>
      <c r="H37" s="234"/>
      <c r="I37" s="170">
        <v>0</v>
      </c>
      <c r="J37" s="170">
        <f t="shared" si="57"/>
        <v>0</v>
      </c>
      <c r="K37" s="170">
        <f t="shared" si="57"/>
        <v>0</v>
      </c>
      <c r="L37" s="170">
        <f t="shared" si="57"/>
        <v>0</v>
      </c>
      <c r="M37" s="170">
        <f t="shared" si="57"/>
        <v>0</v>
      </c>
      <c r="N37" s="170">
        <f t="shared" si="57"/>
        <v>0</v>
      </c>
      <c r="O37" s="170">
        <f t="shared" si="57"/>
        <v>0</v>
      </c>
      <c r="P37" s="170">
        <f t="shared" si="57"/>
        <v>0</v>
      </c>
      <c r="Q37" s="170">
        <f t="shared" si="57"/>
        <v>0</v>
      </c>
      <c r="R37" s="170">
        <f t="shared" si="57"/>
        <v>0</v>
      </c>
      <c r="S37" s="170">
        <f t="shared" si="57"/>
        <v>0</v>
      </c>
      <c r="T37" s="170">
        <f t="shared" si="57"/>
        <v>0</v>
      </c>
      <c r="U37" s="136"/>
      <c r="V37" s="97"/>
      <c r="Y37" s="220"/>
      <c r="Z37" s="220">
        <f t="shared" si="33"/>
        <v>0</v>
      </c>
      <c r="AA37" s="220">
        <f t="shared" si="34"/>
        <v>0</v>
      </c>
      <c r="AB37" s="220">
        <f t="shared" si="35"/>
        <v>0</v>
      </c>
      <c r="AC37" s="220">
        <f t="shared" si="36"/>
        <v>0</v>
      </c>
      <c r="AD37" s="220">
        <f t="shared" si="37"/>
        <v>0</v>
      </c>
      <c r="AE37" s="220">
        <f t="shared" si="38"/>
        <v>0</v>
      </c>
      <c r="AF37" s="220">
        <f t="shared" si="39"/>
        <v>0</v>
      </c>
      <c r="AG37" s="220">
        <f t="shared" si="40"/>
        <v>0</v>
      </c>
      <c r="AH37" s="220">
        <f t="shared" si="41"/>
        <v>0</v>
      </c>
      <c r="AI37" s="220">
        <f t="shared" si="42"/>
        <v>0</v>
      </c>
      <c r="AJ37" s="220">
        <f t="shared" si="43"/>
        <v>0</v>
      </c>
      <c r="AK37" s="65">
        <f t="shared" si="44"/>
        <v>0</v>
      </c>
      <c r="AL37" s="220"/>
      <c r="AM37" s="220">
        <f t="shared" si="45"/>
        <v>0</v>
      </c>
      <c r="AN37" s="220">
        <f t="shared" si="46"/>
        <v>0</v>
      </c>
      <c r="AO37" s="220">
        <f t="shared" si="47"/>
        <v>0</v>
      </c>
      <c r="AP37" s="220">
        <f t="shared" si="48"/>
        <v>0</v>
      </c>
      <c r="AQ37" s="220">
        <f t="shared" si="49"/>
        <v>0</v>
      </c>
      <c r="AR37" s="220">
        <f t="shared" si="50"/>
        <v>0</v>
      </c>
      <c r="AS37" s="220">
        <f t="shared" si="51"/>
        <v>0</v>
      </c>
      <c r="AT37" s="220">
        <f t="shared" si="52"/>
        <v>0</v>
      </c>
      <c r="AU37" s="220">
        <f t="shared" si="53"/>
        <v>0</v>
      </c>
      <c r="AV37" s="220">
        <f t="shared" si="54"/>
        <v>0</v>
      </c>
      <c r="AW37" s="220">
        <f t="shared" si="55"/>
        <v>0</v>
      </c>
      <c r="AX37" s="65">
        <f t="shared" si="56"/>
        <v>0</v>
      </c>
    </row>
    <row r="38" spans="2:50">
      <c r="B38" s="92"/>
      <c r="C38" s="131"/>
      <c r="D38" s="133" t="s">
        <v>112</v>
      </c>
      <c r="E38" s="133"/>
      <c r="F38" s="133" t="s">
        <v>285</v>
      </c>
      <c r="G38" s="243">
        <f t="shared" si="31"/>
        <v>0</v>
      </c>
      <c r="H38" s="234"/>
      <c r="I38" s="170">
        <v>0</v>
      </c>
      <c r="J38" s="170">
        <f t="shared" si="57"/>
        <v>0</v>
      </c>
      <c r="K38" s="170">
        <f t="shared" si="57"/>
        <v>0</v>
      </c>
      <c r="L38" s="170">
        <f t="shared" si="57"/>
        <v>0</v>
      </c>
      <c r="M38" s="170">
        <f t="shared" si="57"/>
        <v>0</v>
      </c>
      <c r="N38" s="170">
        <f t="shared" si="57"/>
        <v>0</v>
      </c>
      <c r="O38" s="170">
        <f t="shared" si="57"/>
        <v>0</v>
      </c>
      <c r="P38" s="170">
        <f t="shared" si="57"/>
        <v>0</v>
      </c>
      <c r="Q38" s="170">
        <f t="shared" si="57"/>
        <v>0</v>
      </c>
      <c r="R38" s="170">
        <f t="shared" si="57"/>
        <v>0</v>
      </c>
      <c r="S38" s="170">
        <f t="shared" si="57"/>
        <v>0</v>
      </c>
      <c r="T38" s="170">
        <f t="shared" si="57"/>
        <v>0</v>
      </c>
      <c r="U38" s="136"/>
      <c r="V38" s="97"/>
      <c r="Y38" s="220"/>
      <c r="Z38" s="220">
        <f t="shared" si="33"/>
        <v>0</v>
      </c>
      <c r="AA38" s="220">
        <f t="shared" si="34"/>
        <v>0</v>
      </c>
      <c r="AB38" s="220">
        <f t="shared" si="35"/>
        <v>0</v>
      </c>
      <c r="AC38" s="220">
        <f t="shared" si="36"/>
        <v>0</v>
      </c>
      <c r="AD38" s="220">
        <f t="shared" si="37"/>
        <v>0</v>
      </c>
      <c r="AE38" s="220">
        <f t="shared" si="38"/>
        <v>0</v>
      </c>
      <c r="AF38" s="220">
        <f t="shared" si="39"/>
        <v>0</v>
      </c>
      <c r="AG38" s="220">
        <f t="shared" si="40"/>
        <v>0</v>
      </c>
      <c r="AH38" s="220">
        <f t="shared" si="41"/>
        <v>0</v>
      </c>
      <c r="AI38" s="220">
        <f t="shared" si="42"/>
        <v>0</v>
      </c>
      <c r="AJ38" s="220">
        <f t="shared" si="43"/>
        <v>0</v>
      </c>
      <c r="AK38" s="65">
        <f t="shared" si="44"/>
        <v>0</v>
      </c>
      <c r="AL38" s="220"/>
      <c r="AM38" s="220">
        <f t="shared" si="45"/>
        <v>0</v>
      </c>
      <c r="AN38" s="220">
        <f t="shared" si="46"/>
        <v>0</v>
      </c>
      <c r="AO38" s="220">
        <f t="shared" si="47"/>
        <v>0</v>
      </c>
      <c r="AP38" s="220">
        <f t="shared" si="48"/>
        <v>0</v>
      </c>
      <c r="AQ38" s="220">
        <f t="shared" si="49"/>
        <v>0</v>
      </c>
      <c r="AR38" s="220">
        <f t="shared" si="50"/>
        <v>0</v>
      </c>
      <c r="AS38" s="220">
        <f t="shared" si="51"/>
        <v>0</v>
      </c>
      <c r="AT38" s="220">
        <f t="shared" si="52"/>
        <v>0</v>
      </c>
      <c r="AU38" s="220">
        <f t="shared" si="53"/>
        <v>0</v>
      </c>
      <c r="AV38" s="220">
        <f t="shared" si="54"/>
        <v>0</v>
      </c>
      <c r="AW38" s="220">
        <f t="shared" si="55"/>
        <v>0</v>
      </c>
      <c r="AX38" s="65">
        <f t="shared" si="56"/>
        <v>0</v>
      </c>
    </row>
    <row r="39" spans="2:50">
      <c r="B39" s="92"/>
      <c r="C39" s="131"/>
      <c r="D39" s="133" t="s">
        <v>113</v>
      </c>
      <c r="E39" s="133"/>
      <c r="F39" s="133" t="s">
        <v>285</v>
      </c>
      <c r="G39" s="243">
        <f t="shared" si="31"/>
        <v>0</v>
      </c>
      <c r="H39" s="234"/>
      <c r="I39" s="170">
        <v>0</v>
      </c>
      <c r="J39" s="170">
        <f t="shared" si="57"/>
        <v>0</v>
      </c>
      <c r="K39" s="170">
        <f t="shared" si="57"/>
        <v>0</v>
      </c>
      <c r="L39" s="170">
        <f t="shared" si="57"/>
        <v>0</v>
      </c>
      <c r="M39" s="170">
        <f t="shared" si="57"/>
        <v>0</v>
      </c>
      <c r="N39" s="170">
        <f t="shared" si="57"/>
        <v>0</v>
      </c>
      <c r="O39" s="170">
        <f t="shared" si="57"/>
        <v>0</v>
      </c>
      <c r="P39" s="170">
        <f t="shared" si="57"/>
        <v>0</v>
      </c>
      <c r="Q39" s="170">
        <f t="shared" si="57"/>
        <v>0</v>
      </c>
      <c r="R39" s="170">
        <f t="shared" si="57"/>
        <v>0</v>
      </c>
      <c r="S39" s="170">
        <f t="shared" si="57"/>
        <v>0</v>
      </c>
      <c r="T39" s="170">
        <f t="shared" si="57"/>
        <v>0</v>
      </c>
      <c r="U39" s="136"/>
      <c r="V39" s="97"/>
      <c r="Y39" s="220"/>
      <c r="Z39" s="220">
        <f t="shared" si="33"/>
        <v>0</v>
      </c>
      <c r="AA39" s="220">
        <f t="shared" si="34"/>
        <v>0</v>
      </c>
      <c r="AB39" s="220">
        <f t="shared" si="35"/>
        <v>0</v>
      </c>
      <c r="AC39" s="220">
        <f t="shared" si="36"/>
        <v>0</v>
      </c>
      <c r="AD39" s="220">
        <f t="shared" si="37"/>
        <v>0</v>
      </c>
      <c r="AE39" s="220">
        <f t="shared" si="38"/>
        <v>0</v>
      </c>
      <c r="AF39" s="220">
        <f t="shared" si="39"/>
        <v>0</v>
      </c>
      <c r="AG39" s="220">
        <f t="shared" si="40"/>
        <v>0</v>
      </c>
      <c r="AH39" s="220">
        <f t="shared" si="41"/>
        <v>0</v>
      </c>
      <c r="AI39" s="220">
        <f t="shared" si="42"/>
        <v>0</v>
      </c>
      <c r="AJ39" s="220">
        <f t="shared" si="43"/>
        <v>0</v>
      </c>
      <c r="AK39" s="65">
        <f t="shared" si="44"/>
        <v>0</v>
      </c>
      <c r="AL39" s="220"/>
      <c r="AM39" s="220">
        <f t="shared" si="45"/>
        <v>0</v>
      </c>
      <c r="AN39" s="220">
        <f t="shared" si="46"/>
        <v>0</v>
      </c>
      <c r="AO39" s="220">
        <f t="shared" si="47"/>
        <v>0</v>
      </c>
      <c r="AP39" s="220">
        <f t="shared" si="48"/>
        <v>0</v>
      </c>
      <c r="AQ39" s="220">
        <f t="shared" si="49"/>
        <v>0</v>
      </c>
      <c r="AR39" s="220">
        <f t="shared" si="50"/>
        <v>0</v>
      </c>
      <c r="AS39" s="220">
        <f t="shared" si="51"/>
        <v>0</v>
      </c>
      <c r="AT39" s="220">
        <f t="shared" si="52"/>
        <v>0</v>
      </c>
      <c r="AU39" s="220">
        <f t="shared" si="53"/>
        <v>0</v>
      </c>
      <c r="AV39" s="220">
        <f t="shared" si="54"/>
        <v>0</v>
      </c>
      <c r="AW39" s="220">
        <f t="shared" si="55"/>
        <v>0</v>
      </c>
      <c r="AX39" s="65">
        <f t="shared" si="56"/>
        <v>0</v>
      </c>
    </row>
    <row r="40" spans="2:50">
      <c r="B40" s="92"/>
      <c r="C40" s="131"/>
      <c r="D40" s="133" t="s">
        <v>111</v>
      </c>
      <c r="E40" s="133"/>
      <c r="F40" s="133" t="s">
        <v>285</v>
      </c>
      <c r="G40" s="243">
        <f t="shared" si="31"/>
        <v>0</v>
      </c>
      <c r="H40" s="234"/>
      <c r="I40" s="170">
        <v>0</v>
      </c>
      <c r="J40" s="170">
        <f t="shared" si="57"/>
        <v>0</v>
      </c>
      <c r="K40" s="170">
        <f t="shared" si="57"/>
        <v>0</v>
      </c>
      <c r="L40" s="170">
        <f t="shared" si="57"/>
        <v>0</v>
      </c>
      <c r="M40" s="170">
        <f t="shared" si="57"/>
        <v>0</v>
      </c>
      <c r="N40" s="170">
        <f t="shared" si="57"/>
        <v>0</v>
      </c>
      <c r="O40" s="170">
        <f t="shared" si="57"/>
        <v>0</v>
      </c>
      <c r="P40" s="170">
        <f t="shared" si="57"/>
        <v>0</v>
      </c>
      <c r="Q40" s="170">
        <f t="shared" si="57"/>
        <v>0</v>
      </c>
      <c r="R40" s="170">
        <f t="shared" si="57"/>
        <v>0</v>
      </c>
      <c r="S40" s="170">
        <f t="shared" si="57"/>
        <v>0</v>
      </c>
      <c r="T40" s="170">
        <f t="shared" si="57"/>
        <v>0</v>
      </c>
      <c r="U40" s="136"/>
      <c r="V40" s="97"/>
      <c r="Y40" s="220"/>
      <c r="Z40" s="220">
        <f t="shared" si="33"/>
        <v>0</v>
      </c>
      <c r="AA40" s="220">
        <f t="shared" si="34"/>
        <v>0</v>
      </c>
      <c r="AB40" s="220">
        <f t="shared" si="35"/>
        <v>0</v>
      </c>
      <c r="AC40" s="220">
        <f t="shared" si="36"/>
        <v>0</v>
      </c>
      <c r="AD40" s="220">
        <f t="shared" si="37"/>
        <v>0</v>
      </c>
      <c r="AE40" s="220">
        <f t="shared" si="38"/>
        <v>0</v>
      </c>
      <c r="AF40" s="220">
        <f t="shared" si="39"/>
        <v>0</v>
      </c>
      <c r="AG40" s="220">
        <f t="shared" si="40"/>
        <v>0</v>
      </c>
      <c r="AH40" s="220">
        <f t="shared" si="41"/>
        <v>0</v>
      </c>
      <c r="AI40" s="220">
        <f t="shared" si="42"/>
        <v>0</v>
      </c>
      <c r="AJ40" s="220">
        <f t="shared" si="43"/>
        <v>0</v>
      </c>
      <c r="AK40" s="65">
        <f t="shared" si="44"/>
        <v>0</v>
      </c>
      <c r="AL40" s="220"/>
      <c r="AM40" s="220">
        <f t="shared" si="45"/>
        <v>0</v>
      </c>
      <c r="AN40" s="220">
        <f t="shared" si="46"/>
        <v>0</v>
      </c>
      <c r="AO40" s="220">
        <f t="shared" si="47"/>
        <v>0</v>
      </c>
      <c r="AP40" s="220">
        <f t="shared" si="48"/>
        <v>0</v>
      </c>
      <c r="AQ40" s="220">
        <f t="shared" si="49"/>
        <v>0</v>
      </c>
      <c r="AR40" s="220">
        <f t="shared" si="50"/>
        <v>0</v>
      </c>
      <c r="AS40" s="220">
        <f t="shared" si="51"/>
        <v>0</v>
      </c>
      <c r="AT40" s="220">
        <f t="shared" si="52"/>
        <v>0</v>
      </c>
      <c r="AU40" s="220">
        <f t="shared" si="53"/>
        <v>0</v>
      </c>
      <c r="AV40" s="220">
        <f t="shared" si="54"/>
        <v>0</v>
      </c>
      <c r="AW40" s="220">
        <f t="shared" si="55"/>
        <v>0</v>
      </c>
      <c r="AX40" s="65">
        <f t="shared" si="56"/>
        <v>0</v>
      </c>
    </row>
    <row r="41" spans="2:50">
      <c r="B41" s="92"/>
      <c r="C41" s="131"/>
      <c r="D41" s="133" t="s">
        <v>114</v>
      </c>
      <c r="E41" s="133"/>
      <c r="F41" s="133" t="s">
        <v>285</v>
      </c>
      <c r="G41" s="243">
        <f t="shared" si="31"/>
        <v>0</v>
      </c>
      <c r="H41" s="234"/>
      <c r="I41" s="170">
        <v>0</v>
      </c>
      <c r="J41" s="170">
        <f t="shared" si="57"/>
        <v>0</v>
      </c>
      <c r="K41" s="170">
        <f t="shared" si="57"/>
        <v>0</v>
      </c>
      <c r="L41" s="170">
        <f t="shared" si="57"/>
        <v>0</v>
      </c>
      <c r="M41" s="170">
        <f t="shared" si="57"/>
        <v>0</v>
      </c>
      <c r="N41" s="170">
        <f t="shared" si="57"/>
        <v>0</v>
      </c>
      <c r="O41" s="170">
        <f t="shared" si="57"/>
        <v>0</v>
      </c>
      <c r="P41" s="170">
        <f t="shared" si="57"/>
        <v>0</v>
      </c>
      <c r="Q41" s="170">
        <f t="shared" si="57"/>
        <v>0</v>
      </c>
      <c r="R41" s="170">
        <f t="shared" si="57"/>
        <v>0</v>
      </c>
      <c r="S41" s="170">
        <f t="shared" si="57"/>
        <v>0</v>
      </c>
      <c r="T41" s="170">
        <f t="shared" si="57"/>
        <v>0</v>
      </c>
      <c r="U41" s="136"/>
      <c r="V41" s="97"/>
      <c r="Y41" s="220"/>
      <c r="Z41" s="220">
        <f t="shared" si="33"/>
        <v>0</v>
      </c>
      <c r="AA41" s="220">
        <f t="shared" si="34"/>
        <v>0</v>
      </c>
      <c r="AB41" s="220">
        <f t="shared" si="35"/>
        <v>0</v>
      </c>
      <c r="AC41" s="220">
        <f t="shared" si="36"/>
        <v>0</v>
      </c>
      <c r="AD41" s="220">
        <f t="shared" si="37"/>
        <v>0</v>
      </c>
      <c r="AE41" s="220">
        <f t="shared" si="38"/>
        <v>0</v>
      </c>
      <c r="AF41" s="220">
        <f t="shared" si="39"/>
        <v>0</v>
      </c>
      <c r="AG41" s="220">
        <f t="shared" si="40"/>
        <v>0</v>
      </c>
      <c r="AH41" s="220">
        <f t="shared" si="41"/>
        <v>0</v>
      </c>
      <c r="AI41" s="220">
        <f t="shared" si="42"/>
        <v>0</v>
      </c>
      <c r="AJ41" s="220">
        <f t="shared" si="43"/>
        <v>0</v>
      </c>
      <c r="AK41" s="65">
        <f t="shared" si="44"/>
        <v>0</v>
      </c>
      <c r="AL41" s="220"/>
      <c r="AM41" s="220">
        <f t="shared" si="45"/>
        <v>0</v>
      </c>
      <c r="AN41" s="220">
        <f t="shared" si="46"/>
        <v>0</v>
      </c>
      <c r="AO41" s="220">
        <f t="shared" si="47"/>
        <v>0</v>
      </c>
      <c r="AP41" s="220">
        <f t="shared" si="48"/>
        <v>0</v>
      </c>
      <c r="AQ41" s="220">
        <f t="shared" si="49"/>
        <v>0</v>
      </c>
      <c r="AR41" s="220">
        <f t="shared" si="50"/>
        <v>0</v>
      </c>
      <c r="AS41" s="220">
        <f t="shared" si="51"/>
        <v>0</v>
      </c>
      <c r="AT41" s="220">
        <f t="shared" si="52"/>
        <v>0</v>
      </c>
      <c r="AU41" s="220">
        <f t="shared" si="53"/>
        <v>0</v>
      </c>
      <c r="AV41" s="220">
        <f t="shared" si="54"/>
        <v>0</v>
      </c>
      <c r="AW41" s="220">
        <f t="shared" si="55"/>
        <v>0</v>
      </c>
      <c r="AX41" s="65">
        <f t="shared" si="56"/>
        <v>0</v>
      </c>
    </row>
    <row r="42" spans="2:50">
      <c r="B42" s="92"/>
      <c r="C42" s="131"/>
      <c r="D42" s="133" t="s">
        <v>115</v>
      </c>
      <c r="E42" s="133"/>
      <c r="F42" s="133" t="s">
        <v>285</v>
      </c>
      <c r="G42" s="243">
        <f t="shared" si="31"/>
        <v>0</v>
      </c>
      <c r="H42" s="234"/>
      <c r="I42" s="170">
        <v>0</v>
      </c>
      <c r="J42" s="170">
        <f t="shared" si="57"/>
        <v>0</v>
      </c>
      <c r="K42" s="170">
        <f t="shared" si="57"/>
        <v>0</v>
      </c>
      <c r="L42" s="170">
        <f t="shared" si="57"/>
        <v>0</v>
      </c>
      <c r="M42" s="170">
        <f t="shared" si="57"/>
        <v>0</v>
      </c>
      <c r="N42" s="170">
        <f t="shared" si="57"/>
        <v>0</v>
      </c>
      <c r="O42" s="170">
        <f t="shared" si="57"/>
        <v>0</v>
      </c>
      <c r="P42" s="170">
        <f t="shared" si="57"/>
        <v>0</v>
      </c>
      <c r="Q42" s="170">
        <f t="shared" si="57"/>
        <v>0</v>
      </c>
      <c r="R42" s="170">
        <f t="shared" si="57"/>
        <v>0</v>
      </c>
      <c r="S42" s="170">
        <f t="shared" si="57"/>
        <v>0</v>
      </c>
      <c r="T42" s="170">
        <f t="shared" si="57"/>
        <v>0</v>
      </c>
      <c r="U42" s="136"/>
      <c r="V42" s="97"/>
      <c r="Y42" s="220"/>
      <c r="Z42" s="220">
        <f t="shared" si="33"/>
        <v>0</v>
      </c>
      <c r="AA42" s="220">
        <f t="shared" si="34"/>
        <v>0</v>
      </c>
      <c r="AB42" s="220">
        <f t="shared" si="35"/>
        <v>0</v>
      </c>
      <c r="AC42" s="220">
        <f t="shared" si="36"/>
        <v>0</v>
      </c>
      <c r="AD42" s="220">
        <f t="shared" si="37"/>
        <v>0</v>
      </c>
      <c r="AE42" s="220">
        <f t="shared" si="38"/>
        <v>0</v>
      </c>
      <c r="AF42" s="220">
        <f t="shared" si="39"/>
        <v>0</v>
      </c>
      <c r="AG42" s="220">
        <f t="shared" si="40"/>
        <v>0</v>
      </c>
      <c r="AH42" s="220">
        <f t="shared" si="41"/>
        <v>0</v>
      </c>
      <c r="AI42" s="220">
        <f t="shared" si="42"/>
        <v>0</v>
      </c>
      <c r="AJ42" s="220">
        <f t="shared" si="43"/>
        <v>0</v>
      </c>
      <c r="AK42" s="65">
        <f t="shared" si="44"/>
        <v>0</v>
      </c>
      <c r="AL42" s="220"/>
      <c r="AM42" s="220">
        <f t="shared" si="45"/>
        <v>0</v>
      </c>
      <c r="AN42" s="220">
        <f t="shared" si="46"/>
        <v>0</v>
      </c>
      <c r="AO42" s="220">
        <f t="shared" si="47"/>
        <v>0</v>
      </c>
      <c r="AP42" s="220">
        <f t="shared" si="48"/>
        <v>0</v>
      </c>
      <c r="AQ42" s="220">
        <f t="shared" si="49"/>
        <v>0</v>
      </c>
      <c r="AR42" s="220">
        <f t="shared" si="50"/>
        <v>0</v>
      </c>
      <c r="AS42" s="220">
        <f t="shared" si="51"/>
        <v>0</v>
      </c>
      <c r="AT42" s="220">
        <f t="shared" si="52"/>
        <v>0</v>
      </c>
      <c r="AU42" s="220">
        <f t="shared" si="53"/>
        <v>0</v>
      </c>
      <c r="AV42" s="220">
        <f t="shared" si="54"/>
        <v>0</v>
      </c>
      <c r="AW42" s="220">
        <f t="shared" si="55"/>
        <v>0</v>
      </c>
      <c r="AX42" s="65">
        <f t="shared" si="56"/>
        <v>0</v>
      </c>
    </row>
    <row r="43" spans="2:50">
      <c r="B43" s="92"/>
      <c r="C43" s="131"/>
      <c r="D43" s="133" t="s">
        <v>117</v>
      </c>
      <c r="E43" s="133"/>
      <c r="F43" s="133" t="s">
        <v>285</v>
      </c>
      <c r="G43" s="243">
        <f t="shared" si="31"/>
        <v>0</v>
      </c>
      <c r="H43" s="234"/>
      <c r="I43" s="170">
        <v>0</v>
      </c>
      <c r="J43" s="170">
        <f t="shared" si="57"/>
        <v>0</v>
      </c>
      <c r="K43" s="170">
        <f t="shared" si="57"/>
        <v>0</v>
      </c>
      <c r="L43" s="170">
        <f t="shared" si="57"/>
        <v>0</v>
      </c>
      <c r="M43" s="170">
        <f t="shared" si="57"/>
        <v>0</v>
      </c>
      <c r="N43" s="170">
        <f t="shared" si="57"/>
        <v>0</v>
      </c>
      <c r="O43" s="170">
        <f t="shared" si="57"/>
        <v>0</v>
      </c>
      <c r="P43" s="170">
        <f t="shared" si="57"/>
        <v>0</v>
      </c>
      <c r="Q43" s="170">
        <f t="shared" si="57"/>
        <v>0</v>
      </c>
      <c r="R43" s="170">
        <f t="shared" si="57"/>
        <v>0</v>
      </c>
      <c r="S43" s="170">
        <f t="shared" si="57"/>
        <v>0</v>
      </c>
      <c r="T43" s="170">
        <f t="shared" si="57"/>
        <v>0</v>
      </c>
      <c r="U43" s="136"/>
      <c r="V43" s="97"/>
      <c r="Y43" s="220"/>
      <c r="Z43" s="220">
        <f t="shared" si="33"/>
        <v>0</v>
      </c>
      <c r="AA43" s="220">
        <f t="shared" si="34"/>
        <v>0</v>
      </c>
      <c r="AB43" s="220">
        <f t="shared" si="35"/>
        <v>0</v>
      </c>
      <c r="AC43" s="220">
        <f t="shared" si="36"/>
        <v>0</v>
      </c>
      <c r="AD43" s="220">
        <f t="shared" si="37"/>
        <v>0</v>
      </c>
      <c r="AE43" s="220">
        <f t="shared" si="38"/>
        <v>0</v>
      </c>
      <c r="AF43" s="220">
        <f t="shared" si="39"/>
        <v>0</v>
      </c>
      <c r="AG43" s="220">
        <f t="shared" si="40"/>
        <v>0</v>
      </c>
      <c r="AH43" s="220">
        <f t="shared" si="41"/>
        <v>0</v>
      </c>
      <c r="AI43" s="220">
        <f t="shared" si="42"/>
        <v>0</v>
      </c>
      <c r="AJ43" s="220">
        <f t="shared" si="43"/>
        <v>0</v>
      </c>
      <c r="AK43" s="65">
        <f t="shared" si="44"/>
        <v>0</v>
      </c>
      <c r="AL43" s="220"/>
      <c r="AM43" s="220">
        <f t="shared" si="45"/>
        <v>0</v>
      </c>
      <c r="AN43" s="220">
        <f t="shared" si="46"/>
        <v>0</v>
      </c>
      <c r="AO43" s="220">
        <f t="shared" si="47"/>
        <v>0</v>
      </c>
      <c r="AP43" s="220">
        <f t="shared" si="48"/>
        <v>0</v>
      </c>
      <c r="AQ43" s="220">
        <f t="shared" si="49"/>
        <v>0</v>
      </c>
      <c r="AR43" s="220">
        <f t="shared" si="50"/>
        <v>0</v>
      </c>
      <c r="AS43" s="220">
        <f t="shared" si="51"/>
        <v>0</v>
      </c>
      <c r="AT43" s="220">
        <f t="shared" si="52"/>
        <v>0</v>
      </c>
      <c r="AU43" s="220">
        <f t="shared" si="53"/>
        <v>0</v>
      </c>
      <c r="AV43" s="220">
        <f t="shared" si="54"/>
        <v>0</v>
      </c>
      <c r="AW43" s="220">
        <f t="shared" si="55"/>
        <v>0</v>
      </c>
      <c r="AX43" s="65">
        <f t="shared" si="56"/>
        <v>0</v>
      </c>
    </row>
    <row r="44" spans="2:50">
      <c r="B44" s="92"/>
      <c r="C44" s="131"/>
      <c r="D44" s="133" t="s">
        <v>118</v>
      </c>
      <c r="E44" s="133"/>
      <c r="F44" s="133" t="s">
        <v>285</v>
      </c>
      <c r="G44" s="243">
        <f t="shared" si="31"/>
        <v>0</v>
      </c>
      <c r="H44" s="234"/>
      <c r="I44" s="170">
        <v>0</v>
      </c>
      <c r="J44" s="170">
        <f t="shared" si="57"/>
        <v>0</v>
      </c>
      <c r="K44" s="170">
        <f t="shared" si="57"/>
        <v>0</v>
      </c>
      <c r="L44" s="170">
        <f t="shared" si="57"/>
        <v>0</v>
      </c>
      <c r="M44" s="170">
        <f t="shared" si="57"/>
        <v>0</v>
      </c>
      <c r="N44" s="170">
        <f t="shared" si="57"/>
        <v>0</v>
      </c>
      <c r="O44" s="170">
        <f t="shared" si="57"/>
        <v>0</v>
      </c>
      <c r="P44" s="170">
        <f t="shared" si="57"/>
        <v>0</v>
      </c>
      <c r="Q44" s="170">
        <f t="shared" si="57"/>
        <v>0</v>
      </c>
      <c r="R44" s="170">
        <f t="shared" si="57"/>
        <v>0</v>
      </c>
      <c r="S44" s="170">
        <f t="shared" si="57"/>
        <v>0</v>
      </c>
      <c r="T44" s="170">
        <f t="shared" si="57"/>
        <v>0</v>
      </c>
      <c r="U44" s="136"/>
      <c r="V44" s="97"/>
      <c r="Y44" s="220"/>
      <c r="Z44" s="220">
        <f t="shared" si="33"/>
        <v>0</v>
      </c>
      <c r="AA44" s="220">
        <f t="shared" si="34"/>
        <v>0</v>
      </c>
      <c r="AB44" s="220">
        <f t="shared" si="35"/>
        <v>0</v>
      </c>
      <c r="AC44" s="220">
        <f t="shared" si="36"/>
        <v>0</v>
      </c>
      <c r="AD44" s="220">
        <f t="shared" si="37"/>
        <v>0</v>
      </c>
      <c r="AE44" s="220">
        <f t="shared" si="38"/>
        <v>0</v>
      </c>
      <c r="AF44" s="220">
        <f t="shared" si="39"/>
        <v>0</v>
      </c>
      <c r="AG44" s="220">
        <f t="shared" si="40"/>
        <v>0</v>
      </c>
      <c r="AH44" s="220">
        <f t="shared" si="41"/>
        <v>0</v>
      </c>
      <c r="AI44" s="220">
        <f t="shared" si="42"/>
        <v>0</v>
      </c>
      <c r="AJ44" s="220">
        <f t="shared" si="43"/>
        <v>0</v>
      </c>
      <c r="AK44" s="65">
        <f t="shared" si="44"/>
        <v>0</v>
      </c>
      <c r="AL44" s="220"/>
      <c r="AM44" s="220">
        <f t="shared" si="45"/>
        <v>0</v>
      </c>
      <c r="AN44" s="220">
        <f t="shared" si="46"/>
        <v>0</v>
      </c>
      <c r="AO44" s="220">
        <f t="shared" si="47"/>
        <v>0</v>
      </c>
      <c r="AP44" s="220">
        <f t="shared" si="48"/>
        <v>0</v>
      </c>
      <c r="AQ44" s="220">
        <f t="shared" si="49"/>
        <v>0</v>
      </c>
      <c r="AR44" s="220">
        <f t="shared" si="50"/>
        <v>0</v>
      </c>
      <c r="AS44" s="220">
        <f t="shared" si="51"/>
        <v>0</v>
      </c>
      <c r="AT44" s="220">
        <f t="shared" si="52"/>
        <v>0</v>
      </c>
      <c r="AU44" s="220">
        <f t="shared" si="53"/>
        <v>0</v>
      </c>
      <c r="AV44" s="220">
        <f t="shared" si="54"/>
        <v>0</v>
      </c>
      <c r="AW44" s="220">
        <f t="shared" si="55"/>
        <v>0</v>
      </c>
      <c r="AX44" s="65">
        <f t="shared" si="56"/>
        <v>0</v>
      </c>
    </row>
    <row r="45" spans="2:50">
      <c r="B45" s="92"/>
      <c r="C45" s="131"/>
      <c r="D45" s="133" t="s">
        <v>116</v>
      </c>
      <c r="E45" s="133"/>
      <c r="F45" s="133" t="s">
        <v>285</v>
      </c>
      <c r="G45" s="243">
        <f t="shared" si="31"/>
        <v>0</v>
      </c>
      <c r="H45" s="234"/>
      <c r="I45" s="170">
        <v>0</v>
      </c>
      <c r="J45" s="170">
        <f t="shared" si="57"/>
        <v>0</v>
      </c>
      <c r="K45" s="170">
        <f t="shared" si="57"/>
        <v>0</v>
      </c>
      <c r="L45" s="170">
        <f t="shared" si="57"/>
        <v>0</v>
      </c>
      <c r="M45" s="170">
        <f t="shared" si="57"/>
        <v>0</v>
      </c>
      <c r="N45" s="170">
        <f t="shared" si="57"/>
        <v>0</v>
      </c>
      <c r="O45" s="170">
        <f t="shared" si="57"/>
        <v>0</v>
      </c>
      <c r="P45" s="170">
        <f t="shared" si="57"/>
        <v>0</v>
      </c>
      <c r="Q45" s="170">
        <f t="shared" si="57"/>
        <v>0</v>
      </c>
      <c r="R45" s="170">
        <f t="shared" si="57"/>
        <v>0</v>
      </c>
      <c r="S45" s="170">
        <f t="shared" si="57"/>
        <v>0</v>
      </c>
      <c r="T45" s="170">
        <f t="shared" si="57"/>
        <v>0</v>
      </c>
      <c r="U45" s="136"/>
      <c r="V45" s="97"/>
      <c r="Y45" s="220"/>
      <c r="Z45" s="220">
        <f t="shared" si="33"/>
        <v>0</v>
      </c>
      <c r="AA45" s="220">
        <f t="shared" si="34"/>
        <v>0</v>
      </c>
      <c r="AB45" s="220">
        <f t="shared" si="35"/>
        <v>0</v>
      </c>
      <c r="AC45" s="220">
        <f t="shared" si="36"/>
        <v>0</v>
      </c>
      <c r="AD45" s="220">
        <f t="shared" si="37"/>
        <v>0</v>
      </c>
      <c r="AE45" s="220">
        <f t="shared" si="38"/>
        <v>0</v>
      </c>
      <c r="AF45" s="220">
        <f t="shared" si="39"/>
        <v>0</v>
      </c>
      <c r="AG45" s="220">
        <f t="shared" si="40"/>
        <v>0</v>
      </c>
      <c r="AH45" s="220">
        <f t="shared" si="41"/>
        <v>0</v>
      </c>
      <c r="AI45" s="220">
        <f t="shared" si="42"/>
        <v>0</v>
      </c>
      <c r="AJ45" s="220">
        <f t="shared" si="43"/>
        <v>0</v>
      </c>
      <c r="AK45" s="65">
        <f t="shared" si="44"/>
        <v>0</v>
      </c>
      <c r="AL45" s="220"/>
      <c r="AM45" s="220">
        <f t="shared" si="45"/>
        <v>0</v>
      </c>
      <c r="AN45" s="220">
        <f t="shared" si="46"/>
        <v>0</v>
      </c>
      <c r="AO45" s="220">
        <f t="shared" si="47"/>
        <v>0</v>
      </c>
      <c r="AP45" s="220">
        <f t="shared" si="48"/>
        <v>0</v>
      </c>
      <c r="AQ45" s="220">
        <f t="shared" si="49"/>
        <v>0</v>
      </c>
      <c r="AR45" s="220">
        <f t="shared" si="50"/>
        <v>0</v>
      </c>
      <c r="AS45" s="220">
        <f t="shared" si="51"/>
        <v>0</v>
      </c>
      <c r="AT45" s="220">
        <f t="shared" si="52"/>
        <v>0</v>
      </c>
      <c r="AU45" s="220">
        <f t="shared" si="53"/>
        <v>0</v>
      </c>
      <c r="AV45" s="220">
        <f t="shared" si="54"/>
        <v>0</v>
      </c>
      <c r="AW45" s="220">
        <f t="shared" si="55"/>
        <v>0</v>
      </c>
      <c r="AX45" s="65">
        <f t="shared" si="56"/>
        <v>0</v>
      </c>
    </row>
    <row r="46" spans="2:50">
      <c r="B46" s="92"/>
      <c r="C46" s="131"/>
      <c r="D46" s="133" t="s">
        <v>119</v>
      </c>
      <c r="E46" s="133"/>
      <c r="F46" s="133" t="s">
        <v>285</v>
      </c>
      <c r="G46" s="243">
        <f t="shared" si="31"/>
        <v>0</v>
      </c>
      <c r="H46" s="234"/>
      <c r="I46" s="170">
        <v>0</v>
      </c>
      <c r="J46" s="170">
        <f t="shared" si="57"/>
        <v>0</v>
      </c>
      <c r="K46" s="170">
        <f t="shared" si="57"/>
        <v>0</v>
      </c>
      <c r="L46" s="170">
        <f t="shared" si="57"/>
        <v>0</v>
      </c>
      <c r="M46" s="170">
        <f t="shared" si="57"/>
        <v>0</v>
      </c>
      <c r="N46" s="170">
        <f t="shared" si="57"/>
        <v>0</v>
      </c>
      <c r="O46" s="170">
        <f t="shared" si="57"/>
        <v>0</v>
      </c>
      <c r="P46" s="170">
        <f t="shared" si="57"/>
        <v>0</v>
      </c>
      <c r="Q46" s="170">
        <f t="shared" si="57"/>
        <v>0</v>
      </c>
      <c r="R46" s="170">
        <f t="shared" si="57"/>
        <v>0</v>
      </c>
      <c r="S46" s="170">
        <f t="shared" si="57"/>
        <v>0</v>
      </c>
      <c r="T46" s="170">
        <f t="shared" si="57"/>
        <v>0</v>
      </c>
      <c r="U46" s="136"/>
      <c r="V46" s="97"/>
      <c r="Y46" s="220"/>
      <c r="Z46" s="220">
        <f t="shared" si="33"/>
        <v>0</v>
      </c>
      <c r="AA46" s="220">
        <f t="shared" si="34"/>
        <v>0</v>
      </c>
      <c r="AB46" s="220">
        <f t="shared" si="35"/>
        <v>0</v>
      </c>
      <c r="AC46" s="220">
        <f t="shared" si="36"/>
        <v>0</v>
      </c>
      <c r="AD46" s="220">
        <f t="shared" si="37"/>
        <v>0</v>
      </c>
      <c r="AE46" s="220">
        <f t="shared" si="38"/>
        <v>0</v>
      </c>
      <c r="AF46" s="220">
        <f t="shared" si="39"/>
        <v>0</v>
      </c>
      <c r="AG46" s="220">
        <f t="shared" si="40"/>
        <v>0</v>
      </c>
      <c r="AH46" s="220">
        <f t="shared" si="41"/>
        <v>0</v>
      </c>
      <c r="AI46" s="220">
        <f t="shared" si="42"/>
        <v>0</v>
      </c>
      <c r="AJ46" s="220">
        <f t="shared" si="43"/>
        <v>0</v>
      </c>
      <c r="AK46" s="65">
        <f t="shared" si="44"/>
        <v>0</v>
      </c>
      <c r="AL46" s="220"/>
      <c r="AM46" s="220">
        <f t="shared" si="45"/>
        <v>0</v>
      </c>
      <c r="AN46" s="220">
        <f t="shared" si="46"/>
        <v>0</v>
      </c>
      <c r="AO46" s="220">
        <f t="shared" si="47"/>
        <v>0</v>
      </c>
      <c r="AP46" s="220">
        <f t="shared" si="48"/>
        <v>0</v>
      </c>
      <c r="AQ46" s="220">
        <f t="shared" si="49"/>
        <v>0</v>
      </c>
      <c r="AR46" s="220">
        <f t="shared" si="50"/>
        <v>0</v>
      </c>
      <c r="AS46" s="220">
        <f t="shared" si="51"/>
        <v>0</v>
      </c>
      <c r="AT46" s="220">
        <f t="shared" si="52"/>
        <v>0</v>
      </c>
      <c r="AU46" s="220">
        <f t="shared" si="53"/>
        <v>0</v>
      </c>
      <c r="AV46" s="220">
        <f t="shared" si="54"/>
        <v>0</v>
      </c>
      <c r="AW46" s="220">
        <f t="shared" si="55"/>
        <v>0</v>
      </c>
      <c r="AX46" s="65">
        <f t="shared" si="56"/>
        <v>0</v>
      </c>
    </row>
    <row r="47" spans="2:50">
      <c r="B47" s="92"/>
      <c r="C47" s="131"/>
      <c r="D47" s="138" t="s">
        <v>273</v>
      </c>
      <c r="E47" s="138"/>
      <c r="F47" s="138"/>
      <c r="G47" s="244">
        <f>SUM(I47:T47)</f>
        <v>0</v>
      </c>
      <c r="H47" s="236"/>
      <c r="I47" s="245">
        <f>+Z47</f>
        <v>0</v>
      </c>
      <c r="J47" s="245">
        <f t="shared" ref="J47:T47" si="58">+AA47</f>
        <v>0</v>
      </c>
      <c r="K47" s="245">
        <f t="shared" si="58"/>
        <v>0</v>
      </c>
      <c r="L47" s="245">
        <f t="shared" si="58"/>
        <v>0</v>
      </c>
      <c r="M47" s="245">
        <f t="shared" si="58"/>
        <v>0</v>
      </c>
      <c r="N47" s="245">
        <f t="shared" si="58"/>
        <v>0</v>
      </c>
      <c r="O47" s="245">
        <f t="shared" si="58"/>
        <v>0</v>
      </c>
      <c r="P47" s="245">
        <f t="shared" si="58"/>
        <v>0</v>
      </c>
      <c r="Q47" s="245">
        <f t="shared" si="58"/>
        <v>0</v>
      </c>
      <c r="R47" s="245">
        <f t="shared" si="58"/>
        <v>0</v>
      </c>
      <c r="S47" s="245">
        <f t="shared" si="58"/>
        <v>0</v>
      </c>
      <c r="T47" s="245">
        <f t="shared" si="58"/>
        <v>0</v>
      </c>
      <c r="U47" s="136"/>
      <c r="V47" s="97"/>
      <c r="Y47" s="219"/>
      <c r="Z47" s="219">
        <f t="shared" ref="Z47:AK47" si="59">SUM(Z34:Z46)</f>
        <v>0</v>
      </c>
      <c r="AA47" s="219">
        <f t="shared" si="59"/>
        <v>0</v>
      </c>
      <c r="AB47" s="219">
        <f t="shared" si="59"/>
        <v>0</v>
      </c>
      <c r="AC47" s="219">
        <f t="shared" si="59"/>
        <v>0</v>
      </c>
      <c r="AD47" s="219">
        <f t="shared" si="59"/>
        <v>0</v>
      </c>
      <c r="AE47" s="219">
        <f t="shared" si="59"/>
        <v>0</v>
      </c>
      <c r="AF47" s="219">
        <f t="shared" si="59"/>
        <v>0</v>
      </c>
      <c r="AG47" s="219">
        <f t="shared" si="59"/>
        <v>0</v>
      </c>
      <c r="AH47" s="219">
        <f t="shared" si="59"/>
        <v>0</v>
      </c>
      <c r="AI47" s="219">
        <f t="shared" si="59"/>
        <v>0</v>
      </c>
      <c r="AJ47" s="219">
        <f t="shared" si="59"/>
        <v>0</v>
      </c>
      <c r="AK47" s="65">
        <f t="shared" si="59"/>
        <v>0</v>
      </c>
    </row>
    <row r="48" spans="2:50">
      <c r="B48" s="92"/>
      <c r="C48" s="131"/>
      <c r="D48" s="138" t="s">
        <v>280</v>
      </c>
      <c r="E48" s="138"/>
      <c r="F48" s="138"/>
      <c r="G48" s="244">
        <f>SUM(I48:T48)</f>
        <v>0</v>
      </c>
      <c r="H48" s="236"/>
      <c r="I48" s="245">
        <f t="shared" ref="I48:T48" si="60">+AM48</f>
        <v>0</v>
      </c>
      <c r="J48" s="245">
        <f t="shared" si="60"/>
        <v>0</v>
      </c>
      <c r="K48" s="245">
        <f>+AO48</f>
        <v>0</v>
      </c>
      <c r="L48" s="245">
        <f t="shared" si="60"/>
        <v>0</v>
      </c>
      <c r="M48" s="245">
        <f t="shared" si="60"/>
        <v>0</v>
      </c>
      <c r="N48" s="245">
        <f t="shared" si="60"/>
        <v>0</v>
      </c>
      <c r="O48" s="245">
        <f t="shared" si="60"/>
        <v>0</v>
      </c>
      <c r="P48" s="245">
        <f t="shared" si="60"/>
        <v>0</v>
      </c>
      <c r="Q48" s="245">
        <f t="shared" si="60"/>
        <v>0</v>
      </c>
      <c r="R48" s="245">
        <f t="shared" si="60"/>
        <v>0</v>
      </c>
      <c r="S48" s="245">
        <f t="shared" si="60"/>
        <v>0</v>
      </c>
      <c r="T48" s="245">
        <f t="shared" si="60"/>
        <v>0</v>
      </c>
      <c r="U48" s="136"/>
      <c r="V48" s="97"/>
      <c r="AL48" s="219"/>
      <c r="AM48" s="219">
        <f t="shared" ref="AM48:AX48" si="61">SUM(AM34:AM46)</f>
        <v>0</v>
      </c>
      <c r="AN48" s="219">
        <f t="shared" si="61"/>
        <v>0</v>
      </c>
      <c r="AO48" s="219">
        <f t="shared" si="61"/>
        <v>0</v>
      </c>
      <c r="AP48" s="219">
        <f t="shared" si="61"/>
        <v>0</v>
      </c>
      <c r="AQ48" s="219">
        <f t="shared" si="61"/>
        <v>0</v>
      </c>
      <c r="AR48" s="219">
        <f t="shared" si="61"/>
        <v>0</v>
      </c>
      <c r="AS48" s="219">
        <f t="shared" si="61"/>
        <v>0</v>
      </c>
      <c r="AT48" s="219">
        <f t="shared" si="61"/>
        <v>0</v>
      </c>
      <c r="AU48" s="219">
        <f t="shared" si="61"/>
        <v>0</v>
      </c>
      <c r="AV48" s="219">
        <f t="shared" si="61"/>
        <v>0</v>
      </c>
      <c r="AW48" s="219">
        <f t="shared" si="61"/>
        <v>0</v>
      </c>
      <c r="AX48" s="65">
        <f t="shared" si="61"/>
        <v>0</v>
      </c>
    </row>
    <row r="49" spans="2:22">
      <c r="B49" s="92"/>
      <c r="C49" s="131"/>
      <c r="D49" s="138"/>
      <c r="E49" s="133"/>
      <c r="F49" s="138" t="s">
        <v>205</v>
      </c>
      <c r="G49" s="244">
        <f>SUM(G47:G48)</f>
        <v>0</v>
      </c>
      <c r="H49" s="236"/>
      <c r="I49" s="135"/>
      <c r="J49" s="135"/>
      <c r="K49" s="238">
        <f>SUM(K34:K46)</f>
        <v>0</v>
      </c>
      <c r="L49" s="135"/>
      <c r="M49" s="135"/>
      <c r="N49" s="135"/>
      <c r="O49" s="135"/>
      <c r="P49" s="135"/>
      <c r="Q49" s="135"/>
      <c r="R49" s="135"/>
      <c r="S49" s="135"/>
      <c r="T49" s="135"/>
      <c r="U49" s="136"/>
      <c r="V49" s="97"/>
    </row>
    <row r="50" spans="2:22">
      <c r="B50" s="92"/>
      <c r="C50" s="141"/>
      <c r="D50" s="142"/>
      <c r="E50" s="144"/>
      <c r="F50" s="144"/>
      <c r="G50" s="146"/>
      <c r="H50" s="144"/>
      <c r="I50" s="146"/>
      <c r="J50" s="146"/>
      <c r="K50" s="146"/>
      <c r="L50" s="146"/>
      <c r="M50" s="146"/>
      <c r="N50" s="146"/>
      <c r="O50" s="146"/>
      <c r="P50" s="146"/>
      <c r="Q50" s="146"/>
      <c r="R50" s="146"/>
      <c r="S50" s="146"/>
      <c r="T50" s="146"/>
      <c r="U50" s="147"/>
      <c r="V50" s="97"/>
    </row>
    <row r="51" spans="2:22">
      <c r="B51" s="92"/>
      <c r="C51" s="68"/>
      <c r="D51" s="76" t="s">
        <v>283</v>
      </c>
      <c r="E51" s="68"/>
      <c r="F51" s="68"/>
      <c r="G51" s="243">
        <f>+G25+G47</f>
        <v>0</v>
      </c>
      <c r="H51" s="221"/>
      <c r="U51" s="68"/>
      <c r="V51" s="97"/>
    </row>
    <row r="52" spans="2:22">
      <c r="B52" s="92"/>
      <c r="C52" s="68"/>
      <c r="D52" s="76" t="s">
        <v>284</v>
      </c>
      <c r="E52" s="68"/>
      <c r="F52" s="68"/>
      <c r="G52" s="243">
        <f>+G26+G48</f>
        <v>0</v>
      </c>
      <c r="H52" s="221"/>
      <c r="U52" s="68"/>
      <c r="V52" s="97"/>
    </row>
    <row r="53" spans="2:22">
      <c r="B53" s="92"/>
      <c r="C53" s="68"/>
      <c r="D53" s="68"/>
      <c r="E53" s="68"/>
      <c r="F53" s="76" t="s">
        <v>205</v>
      </c>
      <c r="G53" s="246">
        <f>SUM(G51:G52)</f>
        <v>0</v>
      </c>
      <c r="H53" s="221"/>
      <c r="U53" s="68"/>
      <c r="V53" s="97"/>
    </row>
    <row r="54" spans="2:22">
      <c r="B54" s="92"/>
      <c r="C54" s="68"/>
      <c r="D54" s="68"/>
      <c r="E54" s="68"/>
      <c r="F54" s="68"/>
      <c r="G54" s="67"/>
      <c r="H54" s="68"/>
      <c r="U54" s="68"/>
      <c r="V54" s="97"/>
    </row>
    <row r="55" spans="2:22">
      <c r="B55" s="92"/>
      <c r="C55" s="68"/>
      <c r="D55" s="68"/>
      <c r="E55" s="68"/>
      <c r="F55" s="68"/>
      <c r="G55" s="67"/>
      <c r="H55" s="68"/>
      <c r="U55" s="68"/>
      <c r="V55" s="97"/>
    </row>
    <row r="56" spans="2:22">
      <c r="B56" s="92"/>
      <c r="C56" s="93"/>
      <c r="D56" s="93"/>
      <c r="E56" s="93"/>
      <c r="F56" s="93"/>
      <c r="G56" s="95"/>
      <c r="H56" s="93"/>
      <c r="I56" s="95"/>
      <c r="J56" s="95"/>
      <c r="K56" s="95"/>
      <c r="L56" s="95"/>
      <c r="M56" s="95"/>
      <c r="N56" s="95"/>
      <c r="O56" s="95"/>
      <c r="P56" s="95"/>
      <c r="Q56" s="95"/>
      <c r="R56" s="95"/>
      <c r="S56" s="95"/>
      <c r="T56" s="95"/>
      <c r="U56" s="93"/>
      <c r="V56" s="97"/>
    </row>
    <row r="57" spans="2:22" ht="15">
      <c r="B57" s="113"/>
      <c r="C57" s="114"/>
      <c r="D57" s="114"/>
      <c r="E57" s="114"/>
      <c r="F57" s="114"/>
      <c r="G57" s="118"/>
      <c r="H57" s="114"/>
      <c r="I57" s="118"/>
      <c r="J57" s="118"/>
      <c r="K57" s="118"/>
      <c r="L57" s="118"/>
      <c r="M57" s="118"/>
      <c r="N57" s="118"/>
      <c r="O57" s="118"/>
      <c r="P57" s="118"/>
      <c r="Q57" s="118"/>
      <c r="R57" s="118"/>
      <c r="S57" s="118"/>
      <c r="T57" s="118"/>
      <c r="U57" s="119" t="s">
        <v>555</v>
      </c>
      <c r="V57" s="120"/>
    </row>
    <row r="58" spans="2:22">
      <c r="B58" s="87"/>
      <c r="C58" s="88"/>
      <c r="D58" s="88"/>
      <c r="E58" s="88"/>
      <c r="F58" s="88"/>
      <c r="G58" s="90"/>
      <c r="H58" s="88"/>
      <c r="I58" s="90"/>
      <c r="J58" s="90"/>
      <c r="K58" s="90"/>
      <c r="L58" s="90"/>
      <c r="M58" s="90"/>
      <c r="N58" s="90"/>
      <c r="O58" s="90"/>
      <c r="P58" s="90"/>
      <c r="Q58" s="90"/>
      <c r="R58" s="90"/>
      <c r="S58" s="90"/>
      <c r="T58" s="90"/>
      <c r="U58" s="88"/>
      <c r="V58" s="91"/>
    </row>
    <row r="59" spans="2:22">
      <c r="B59" s="92"/>
      <c r="C59" s="93"/>
      <c r="D59" s="93"/>
      <c r="E59" s="93"/>
      <c r="F59" s="93"/>
      <c r="G59" s="95"/>
      <c r="H59" s="93"/>
      <c r="I59" s="95"/>
      <c r="J59" s="95"/>
      <c r="K59" s="95"/>
      <c r="L59" s="95"/>
      <c r="M59" s="95"/>
      <c r="N59" s="95"/>
      <c r="O59" s="95"/>
      <c r="P59" s="95"/>
      <c r="Q59" s="95"/>
      <c r="R59" s="95"/>
      <c r="S59" s="95"/>
      <c r="T59" s="95"/>
      <c r="U59" s="93"/>
      <c r="V59" s="97"/>
    </row>
    <row r="60" spans="2:22" s="73" customFormat="1" ht="18.75">
      <c r="B60" s="98"/>
      <c r="C60" s="168" t="s">
        <v>710</v>
      </c>
      <c r="D60" s="100"/>
      <c r="E60" s="100"/>
      <c r="F60" s="100"/>
      <c r="G60" s="102"/>
      <c r="H60" s="100"/>
      <c r="I60" s="102"/>
      <c r="J60" s="102"/>
      <c r="K60" s="102"/>
      <c r="L60" s="102"/>
      <c r="M60" s="102"/>
      <c r="N60" s="102"/>
      <c r="O60" s="102"/>
      <c r="P60" s="102"/>
      <c r="Q60" s="102"/>
      <c r="R60" s="102"/>
      <c r="S60" s="102"/>
      <c r="T60" s="102"/>
      <c r="U60" s="100"/>
      <c r="V60" s="104"/>
    </row>
    <row r="61" spans="2:22" ht="18.75">
      <c r="B61" s="92"/>
      <c r="C61" s="105" t="str">
        <f>C5</f>
        <v>De speciale school</v>
      </c>
      <c r="D61" s="93"/>
      <c r="E61" s="93"/>
      <c r="F61" s="93"/>
      <c r="G61" s="95"/>
      <c r="H61" s="93"/>
      <c r="I61" s="95"/>
      <c r="J61" s="95"/>
      <c r="K61" s="95"/>
      <c r="L61" s="95"/>
      <c r="M61" s="95"/>
      <c r="N61" s="95"/>
      <c r="O61" s="95"/>
      <c r="P61" s="95"/>
      <c r="Q61" s="95"/>
      <c r="R61" s="95"/>
      <c r="S61" s="95"/>
      <c r="T61" s="95"/>
      <c r="U61" s="93"/>
      <c r="V61" s="97"/>
    </row>
    <row r="62" spans="2:22">
      <c r="B62" s="92"/>
      <c r="C62" s="110"/>
      <c r="D62" s="93"/>
      <c r="E62" s="93"/>
      <c r="F62" s="93"/>
      <c r="G62" s="95"/>
      <c r="H62" s="93"/>
      <c r="I62" s="95"/>
      <c r="J62" s="95"/>
      <c r="K62" s="95"/>
      <c r="L62" s="95"/>
      <c r="M62" s="95"/>
      <c r="N62" s="95"/>
      <c r="O62" s="95"/>
      <c r="P62" s="95"/>
      <c r="Q62" s="95"/>
      <c r="R62" s="95"/>
      <c r="S62" s="95"/>
      <c r="T62" s="95"/>
      <c r="U62" s="93"/>
      <c r="V62" s="97"/>
    </row>
    <row r="63" spans="2:22">
      <c r="B63" s="92"/>
      <c r="C63" s="110"/>
      <c r="D63" s="93"/>
      <c r="E63" s="93"/>
      <c r="F63" s="93"/>
      <c r="G63" s="95"/>
      <c r="H63" s="93"/>
      <c r="I63" s="95"/>
      <c r="J63" s="95"/>
      <c r="K63" s="95"/>
      <c r="L63" s="95"/>
      <c r="M63" s="95"/>
      <c r="N63" s="95"/>
      <c r="O63" s="95"/>
      <c r="P63" s="95"/>
      <c r="Q63" s="95"/>
      <c r="R63" s="95"/>
      <c r="S63" s="95"/>
      <c r="T63" s="95"/>
      <c r="U63" s="93"/>
      <c r="V63" s="97"/>
    </row>
    <row r="64" spans="2:22">
      <c r="B64" s="92"/>
      <c r="C64" s="124"/>
      <c r="D64" s="127"/>
      <c r="E64" s="127"/>
      <c r="F64" s="127"/>
      <c r="G64" s="129"/>
      <c r="H64" s="127"/>
      <c r="I64" s="129"/>
      <c r="J64" s="129"/>
      <c r="K64" s="129"/>
      <c r="L64" s="129"/>
      <c r="M64" s="129"/>
      <c r="N64" s="129"/>
      <c r="O64" s="129"/>
      <c r="P64" s="153"/>
      <c r="Q64" s="153"/>
      <c r="R64" s="129"/>
      <c r="S64" s="129"/>
      <c r="T64" s="129"/>
      <c r="U64" s="130"/>
      <c r="V64" s="97"/>
    </row>
    <row r="65" spans="2:50">
      <c r="B65" s="92"/>
      <c r="C65" s="228"/>
      <c r="D65" s="239" t="s">
        <v>688</v>
      </c>
      <c r="E65" s="174" t="str">
        <f>E31</f>
        <v>2011/12</v>
      </c>
      <c r="F65" s="229"/>
      <c r="G65" s="230"/>
      <c r="H65" s="229"/>
      <c r="I65" s="230"/>
      <c r="J65" s="230"/>
      <c r="K65" s="170">
        <v>0</v>
      </c>
      <c r="L65" s="230"/>
      <c r="M65" s="230"/>
      <c r="N65" s="230"/>
      <c r="O65" s="230"/>
      <c r="P65" s="230"/>
      <c r="Q65" s="230"/>
      <c r="R65" s="230"/>
      <c r="S65" s="230"/>
      <c r="T65" s="230"/>
      <c r="U65" s="231"/>
      <c r="V65" s="97"/>
    </row>
    <row r="66" spans="2:50">
      <c r="B66" s="92"/>
      <c r="C66" s="228"/>
      <c r="D66" s="239" t="s">
        <v>691</v>
      </c>
      <c r="E66" s="240" t="str">
        <f>E32</f>
        <v>2012/13</v>
      </c>
      <c r="F66" s="174" t="s">
        <v>665</v>
      </c>
      <c r="G66" s="241" t="str">
        <f>G32</f>
        <v>2012/13</v>
      </c>
      <c r="H66" s="174"/>
      <c r="I66" s="242" t="s">
        <v>218</v>
      </c>
      <c r="J66" s="242" t="s">
        <v>219</v>
      </c>
      <c r="K66" s="242" t="s">
        <v>220</v>
      </c>
      <c r="L66" s="242" t="s">
        <v>221</v>
      </c>
      <c r="M66" s="242" t="s">
        <v>222</v>
      </c>
      <c r="N66" s="242" t="s">
        <v>216</v>
      </c>
      <c r="O66" s="242" t="s">
        <v>217</v>
      </c>
      <c r="P66" s="242" t="s">
        <v>223</v>
      </c>
      <c r="Q66" s="242" t="s">
        <v>224</v>
      </c>
      <c r="R66" s="242" t="s">
        <v>225</v>
      </c>
      <c r="S66" s="242" t="s">
        <v>226</v>
      </c>
      <c r="T66" s="242" t="s">
        <v>227</v>
      </c>
      <c r="U66" s="231"/>
      <c r="V66" s="97"/>
      <c r="Z66" s="65" t="s">
        <v>218</v>
      </c>
      <c r="AA66" s="65" t="s">
        <v>219</v>
      </c>
      <c r="AB66" s="65" t="s">
        <v>220</v>
      </c>
      <c r="AC66" s="65" t="s">
        <v>221</v>
      </c>
      <c r="AD66" s="65" t="s">
        <v>222</v>
      </c>
      <c r="AE66" s="65" t="s">
        <v>216</v>
      </c>
      <c r="AF66" s="65" t="s">
        <v>217</v>
      </c>
      <c r="AG66" s="65" t="s">
        <v>223</v>
      </c>
      <c r="AH66" s="65" t="s">
        <v>224</v>
      </c>
      <c r="AI66" s="65" t="s">
        <v>225</v>
      </c>
      <c r="AJ66" s="65" t="s">
        <v>226</v>
      </c>
      <c r="AK66" s="65" t="s">
        <v>227</v>
      </c>
      <c r="AM66" s="65" t="s">
        <v>218</v>
      </c>
      <c r="AN66" s="65" t="s">
        <v>219</v>
      </c>
      <c r="AO66" s="65" t="s">
        <v>220</v>
      </c>
      <c r="AP66" s="65" t="s">
        <v>221</v>
      </c>
      <c r="AQ66" s="65" t="s">
        <v>222</v>
      </c>
      <c r="AR66" s="65" t="s">
        <v>216</v>
      </c>
      <c r="AS66" s="65" t="s">
        <v>217</v>
      </c>
      <c r="AT66" s="65" t="s">
        <v>223</v>
      </c>
      <c r="AU66" s="65" t="s">
        <v>224</v>
      </c>
      <c r="AV66" s="65" t="s">
        <v>225</v>
      </c>
      <c r="AW66" s="65" t="s">
        <v>226</v>
      </c>
      <c r="AX66" s="65" t="s">
        <v>227</v>
      </c>
    </row>
    <row r="67" spans="2:50">
      <c r="B67" s="92"/>
      <c r="C67" s="131"/>
      <c r="D67" s="133"/>
      <c r="E67" s="232"/>
      <c r="F67" s="138"/>
      <c r="G67" s="139"/>
      <c r="H67" s="138"/>
      <c r="I67" s="135"/>
      <c r="J67" s="135"/>
      <c r="K67" s="135"/>
      <c r="L67" s="135"/>
      <c r="M67" s="135"/>
      <c r="N67" s="135"/>
      <c r="O67" s="135"/>
      <c r="P67" s="135"/>
      <c r="Q67" s="135"/>
      <c r="R67" s="135"/>
      <c r="S67" s="135"/>
      <c r="T67" s="135"/>
      <c r="U67" s="136"/>
      <c r="V67" s="97"/>
    </row>
    <row r="68" spans="2:50">
      <c r="B68" s="92"/>
      <c r="C68" s="131"/>
      <c r="D68" s="133" t="s">
        <v>107</v>
      </c>
      <c r="E68" s="133"/>
      <c r="F68" s="133" t="s">
        <v>285</v>
      </c>
      <c r="G68" s="243">
        <f>ROUND(SUM(I68:T68)/12,2)</f>
        <v>0</v>
      </c>
      <c r="H68" s="234"/>
      <c r="I68" s="170">
        <v>0</v>
      </c>
      <c r="J68" s="170">
        <f>+I68</f>
        <v>0</v>
      </c>
      <c r="K68" s="170">
        <f t="shared" ref="K68:T68" si="62">+J68</f>
        <v>0</v>
      </c>
      <c r="L68" s="170">
        <f t="shared" si="62"/>
        <v>0</v>
      </c>
      <c r="M68" s="170">
        <f t="shared" si="62"/>
        <v>0</v>
      </c>
      <c r="N68" s="170">
        <f t="shared" si="62"/>
        <v>0</v>
      </c>
      <c r="O68" s="170">
        <f t="shared" si="62"/>
        <v>0</v>
      </c>
      <c r="P68" s="170">
        <f t="shared" si="62"/>
        <v>0</v>
      </c>
      <c r="Q68" s="170">
        <f t="shared" si="62"/>
        <v>0</v>
      </c>
      <c r="R68" s="170">
        <f t="shared" si="62"/>
        <v>0</v>
      </c>
      <c r="S68" s="170">
        <f t="shared" si="62"/>
        <v>0</v>
      </c>
      <c r="T68" s="170">
        <f t="shared" si="62"/>
        <v>0</v>
      </c>
      <c r="U68" s="136"/>
      <c r="V68" s="97"/>
      <c r="Z68" s="65">
        <f>ROUND(+I68*1/12*VLOOKUP($D68,LGFMBO,2,FALSE),2)</f>
        <v>0</v>
      </c>
      <c r="AA68" s="65">
        <f t="shared" ref="AA68:AK68" si="63">ROUND(+J68*1/12*VLOOKUP($D68,LGFMBO,2,FALSE),2)</f>
        <v>0</v>
      </c>
      <c r="AB68" s="65">
        <f t="shared" si="63"/>
        <v>0</v>
      </c>
      <c r="AC68" s="65">
        <f t="shared" si="63"/>
        <v>0</v>
      </c>
      <c r="AD68" s="65">
        <f t="shared" si="63"/>
        <v>0</v>
      </c>
      <c r="AE68" s="65">
        <f t="shared" si="63"/>
        <v>0</v>
      </c>
      <c r="AF68" s="65">
        <f t="shared" si="63"/>
        <v>0</v>
      </c>
      <c r="AG68" s="65">
        <f t="shared" si="63"/>
        <v>0</v>
      </c>
      <c r="AH68" s="65">
        <f t="shared" si="63"/>
        <v>0</v>
      </c>
      <c r="AI68" s="65">
        <f t="shared" si="63"/>
        <v>0</v>
      </c>
      <c r="AJ68" s="65">
        <f t="shared" si="63"/>
        <v>0</v>
      </c>
      <c r="AK68" s="65">
        <f t="shared" si="63"/>
        <v>0</v>
      </c>
      <c r="AL68" s="220"/>
      <c r="AM68" s="220">
        <f t="shared" ref="AM68:AM80" si="64">ROUND(+I68*1/12*VLOOKUP($D68,LGFMBO,4,FALSE),2)</f>
        <v>0</v>
      </c>
      <c r="AN68" s="220">
        <f t="shared" ref="AN68:AN80" si="65">ROUND(+J68*1/12*VLOOKUP($D68,LGFMBO,4,FALSE),2)</f>
        <v>0</v>
      </c>
      <c r="AO68" s="220">
        <f t="shared" ref="AO68:AO80" si="66">ROUND(+K68*1/12*VLOOKUP($D68,LGFMBO,4,FALSE),2)</f>
        <v>0</v>
      </c>
      <c r="AP68" s="220">
        <f t="shared" ref="AP68:AP80" si="67">ROUND(+L68*1/12*VLOOKUP($D68,LGFMBO,4,FALSE),2)</f>
        <v>0</v>
      </c>
      <c r="AQ68" s="220">
        <f t="shared" ref="AQ68:AQ80" si="68">ROUND(+M68*1/12*VLOOKUP($D68,LGFMBO,4,FALSE),2)</f>
        <v>0</v>
      </c>
      <c r="AR68" s="220">
        <f t="shared" ref="AR68:AR80" si="69">ROUND(+N68*1/12*VLOOKUP($D68,LGFMBO,4,FALSE),2)</f>
        <v>0</v>
      </c>
      <c r="AS68" s="220">
        <f t="shared" ref="AS68:AS80" si="70">ROUND(+O68*1/12*VLOOKUP($D68,LGFMBO,4,FALSE),2)</f>
        <v>0</v>
      </c>
      <c r="AT68" s="220">
        <f t="shared" ref="AT68:AT80" si="71">ROUND(+P68*1/12*VLOOKUP($D68,LGFMBO,4,FALSE),2)</f>
        <v>0</v>
      </c>
      <c r="AU68" s="220">
        <f t="shared" ref="AU68:AU80" si="72">ROUND(+Q68*1/12*VLOOKUP($D68,LGFMBO,4,FALSE),2)</f>
        <v>0</v>
      </c>
      <c r="AV68" s="220">
        <f t="shared" ref="AV68:AV80" si="73">ROUND(+R68*1/12*VLOOKUP($D68,LGFMBO,4,FALSE),2)</f>
        <v>0</v>
      </c>
      <c r="AW68" s="220">
        <f t="shared" ref="AW68:AW80" si="74">ROUND(+S68*1/12*VLOOKUP($D68,LGFMBO,4,FALSE),2)</f>
        <v>0</v>
      </c>
      <c r="AX68" s="65">
        <f t="shared" ref="AX68:AX80" si="75">ROUND(+T68*1/12*VLOOKUP($D68,LGFMBO,4,FALSE),2)</f>
        <v>0</v>
      </c>
    </row>
    <row r="69" spans="2:50">
      <c r="B69" s="92"/>
      <c r="C69" s="131"/>
      <c r="D69" s="133" t="s">
        <v>108</v>
      </c>
      <c r="E69" s="133"/>
      <c r="F69" s="133" t="s">
        <v>285</v>
      </c>
      <c r="G69" s="243">
        <f t="shared" ref="G69:G80" si="76">ROUND(SUM(I69:T69)/12,2)</f>
        <v>0</v>
      </c>
      <c r="H69" s="234"/>
      <c r="I69" s="170">
        <v>0</v>
      </c>
      <c r="J69" s="170">
        <f t="shared" ref="J69:T80" si="77">+I69</f>
        <v>0</v>
      </c>
      <c r="K69" s="170">
        <f t="shared" si="77"/>
        <v>0</v>
      </c>
      <c r="L69" s="170">
        <f t="shared" si="77"/>
        <v>0</v>
      </c>
      <c r="M69" s="170">
        <f t="shared" si="77"/>
        <v>0</v>
      </c>
      <c r="N69" s="170">
        <f t="shared" si="77"/>
        <v>0</v>
      </c>
      <c r="O69" s="170">
        <f t="shared" si="77"/>
        <v>0</v>
      </c>
      <c r="P69" s="170">
        <f t="shared" si="77"/>
        <v>0</v>
      </c>
      <c r="Q69" s="170">
        <f t="shared" si="77"/>
        <v>0</v>
      </c>
      <c r="R69" s="170">
        <f t="shared" si="77"/>
        <v>0</v>
      </c>
      <c r="S69" s="170">
        <f t="shared" si="77"/>
        <v>0</v>
      </c>
      <c r="T69" s="170">
        <f t="shared" si="77"/>
        <v>0</v>
      </c>
      <c r="U69" s="136"/>
      <c r="V69" s="97"/>
      <c r="Z69" s="65">
        <f t="shared" ref="Z69:Z80" si="78">ROUND(+I69*1/12*VLOOKUP($D69,LGFMBO,2,FALSE),2)</f>
        <v>0</v>
      </c>
      <c r="AA69" s="65">
        <f t="shared" ref="AA69:AA80" si="79">ROUND(+J69*1/12*VLOOKUP($D69,LGFMBO,2,FALSE),2)</f>
        <v>0</v>
      </c>
      <c r="AB69" s="65">
        <f t="shared" ref="AB69:AB80" si="80">ROUND(+K69*1/12*VLOOKUP($D69,LGFMBO,2,FALSE),2)</f>
        <v>0</v>
      </c>
      <c r="AC69" s="65">
        <f t="shared" ref="AC69:AC80" si="81">ROUND(+L69*1/12*VLOOKUP($D69,LGFMBO,2,FALSE),2)</f>
        <v>0</v>
      </c>
      <c r="AD69" s="65">
        <f t="shared" ref="AD69:AD80" si="82">ROUND(+M69*1/12*VLOOKUP($D69,LGFMBO,2,FALSE),2)</f>
        <v>0</v>
      </c>
      <c r="AE69" s="65">
        <f t="shared" ref="AE69:AE80" si="83">ROUND(+N69*1/12*VLOOKUP($D69,LGFMBO,2,FALSE),2)</f>
        <v>0</v>
      </c>
      <c r="AF69" s="65">
        <f t="shared" ref="AF69:AF80" si="84">ROUND(+O69*1/12*VLOOKUP($D69,LGFMBO,2,FALSE),2)</f>
        <v>0</v>
      </c>
      <c r="AG69" s="65">
        <f t="shared" ref="AG69:AG80" si="85">ROUND(+P69*1/12*VLOOKUP($D69,LGFMBO,2,FALSE),2)</f>
        <v>0</v>
      </c>
      <c r="AH69" s="65">
        <f t="shared" ref="AH69:AH80" si="86">ROUND(+Q69*1/12*VLOOKUP($D69,LGFMBO,2,FALSE),2)</f>
        <v>0</v>
      </c>
      <c r="AI69" s="65">
        <f t="shared" ref="AI69:AI80" si="87">ROUND(+R69*1/12*VLOOKUP($D69,LGFMBO,2,FALSE),2)</f>
        <v>0</v>
      </c>
      <c r="AJ69" s="65">
        <f t="shared" ref="AJ69:AJ80" si="88">ROUND(+S69*1/12*VLOOKUP($D69,LGFMBO,2,FALSE),2)</f>
        <v>0</v>
      </c>
      <c r="AK69" s="65">
        <f t="shared" ref="AK69:AK80" si="89">ROUND(+T69*1/12*VLOOKUP($D69,LGFMBO,2,FALSE),2)</f>
        <v>0</v>
      </c>
      <c r="AL69" s="220"/>
      <c r="AM69" s="220">
        <f t="shared" si="64"/>
        <v>0</v>
      </c>
      <c r="AN69" s="220">
        <f t="shared" si="65"/>
        <v>0</v>
      </c>
      <c r="AO69" s="220">
        <f t="shared" si="66"/>
        <v>0</v>
      </c>
      <c r="AP69" s="220">
        <f t="shared" si="67"/>
        <v>0</v>
      </c>
      <c r="AQ69" s="220">
        <f t="shared" si="68"/>
        <v>0</v>
      </c>
      <c r="AR69" s="220">
        <f t="shared" si="69"/>
        <v>0</v>
      </c>
      <c r="AS69" s="220">
        <f t="shared" si="70"/>
        <v>0</v>
      </c>
      <c r="AT69" s="220">
        <f t="shared" si="71"/>
        <v>0</v>
      </c>
      <c r="AU69" s="220">
        <f t="shared" si="72"/>
        <v>0</v>
      </c>
      <c r="AV69" s="220">
        <f t="shared" si="73"/>
        <v>0</v>
      </c>
      <c r="AW69" s="220">
        <f t="shared" si="74"/>
        <v>0</v>
      </c>
      <c r="AX69" s="65">
        <f t="shared" si="75"/>
        <v>0</v>
      </c>
    </row>
    <row r="70" spans="2:50">
      <c r="B70" s="92"/>
      <c r="C70" s="131"/>
      <c r="D70" s="133" t="s">
        <v>109</v>
      </c>
      <c r="E70" s="133"/>
      <c r="F70" s="133" t="s">
        <v>285</v>
      </c>
      <c r="G70" s="243">
        <f t="shared" si="76"/>
        <v>0</v>
      </c>
      <c r="H70" s="234"/>
      <c r="I70" s="170">
        <v>0</v>
      </c>
      <c r="J70" s="170">
        <f t="shared" si="77"/>
        <v>0</v>
      </c>
      <c r="K70" s="170">
        <f t="shared" si="77"/>
        <v>0</v>
      </c>
      <c r="L70" s="170">
        <f t="shared" si="77"/>
        <v>0</v>
      </c>
      <c r="M70" s="170">
        <f t="shared" si="77"/>
        <v>0</v>
      </c>
      <c r="N70" s="170">
        <f t="shared" si="77"/>
        <v>0</v>
      </c>
      <c r="O70" s="170">
        <f t="shared" si="77"/>
        <v>0</v>
      </c>
      <c r="P70" s="170">
        <f t="shared" si="77"/>
        <v>0</v>
      </c>
      <c r="Q70" s="170">
        <f t="shared" si="77"/>
        <v>0</v>
      </c>
      <c r="R70" s="170">
        <f t="shared" si="77"/>
        <v>0</v>
      </c>
      <c r="S70" s="170">
        <f t="shared" si="77"/>
        <v>0</v>
      </c>
      <c r="T70" s="170">
        <f t="shared" si="77"/>
        <v>0</v>
      </c>
      <c r="U70" s="136"/>
      <c r="V70" s="97"/>
      <c r="Z70" s="65">
        <f t="shared" si="78"/>
        <v>0</v>
      </c>
      <c r="AA70" s="65">
        <f t="shared" si="79"/>
        <v>0</v>
      </c>
      <c r="AB70" s="65">
        <f t="shared" si="80"/>
        <v>0</v>
      </c>
      <c r="AC70" s="65">
        <f t="shared" si="81"/>
        <v>0</v>
      </c>
      <c r="AD70" s="65">
        <f t="shared" si="82"/>
        <v>0</v>
      </c>
      <c r="AE70" s="65">
        <f t="shared" si="83"/>
        <v>0</v>
      </c>
      <c r="AF70" s="65">
        <f t="shared" si="84"/>
        <v>0</v>
      </c>
      <c r="AG70" s="65">
        <f t="shared" si="85"/>
        <v>0</v>
      </c>
      <c r="AH70" s="65">
        <f t="shared" si="86"/>
        <v>0</v>
      </c>
      <c r="AI70" s="65">
        <f t="shared" si="87"/>
        <v>0</v>
      </c>
      <c r="AJ70" s="65">
        <f t="shared" si="88"/>
        <v>0</v>
      </c>
      <c r="AK70" s="65">
        <f t="shared" si="89"/>
        <v>0</v>
      </c>
      <c r="AL70" s="220"/>
      <c r="AM70" s="220">
        <f t="shared" si="64"/>
        <v>0</v>
      </c>
      <c r="AN70" s="220">
        <f t="shared" si="65"/>
        <v>0</v>
      </c>
      <c r="AO70" s="220">
        <f t="shared" si="66"/>
        <v>0</v>
      </c>
      <c r="AP70" s="220">
        <f t="shared" si="67"/>
        <v>0</v>
      </c>
      <c r="AQ70" s="220">
        <f t="shared" si="68"/>
        <v>0</v>
      </c>
      <c r="AR70" s="220">
        <f t="shared" si="69"/>
        <v>0</v>
      </c>
      <c r="AS70" s="220">
        <f t="shared" si="70"/>
        <v>0</v>
      </c>
      <c r="AT70" s="220">
        <f t="shared" si="71"/>
        <v>0</v>
      </c>
      <c r="AU70" s="220">
        <f t="shared" si="72"/>
        <v>0</v>
      </c>
      <c r="AV70" s="220">
        <f t="shared" si="73"/>
        <v>0</v>
      </c>
      <c r="AW70" s="220">
        <f t="shared" si="74"/>
        <v>0</v>
      </c>
      <c r="AX70" s="65">
        <f t="shared" si="75"/>
        <v>0</v>
      </c>
    </row>
    <row r="71" spans="2:50">
      <c r="B71" s="92"/>
      <c r="C71" s="131"/>
      <c r="D71" s="133" t="s">
        <v>110</v>
      </c>
      <c r="E71" s="133"/>
      <c r="F71" s="133" t="s">
        <v>285</v>
      </c>
      <c r="G71" s="243">
        <f t="shared" si="76"/>
        <v>0</v>
      </c>
      <c r="H71" s="234"/>
      <c r="I71" s="170">
        <v>0</v>
      </c>
      <c r="J71" s="170">
        <f t="shared" si="77"/>
        <v>0</v>
      </c>
      <c r="K71" s="170">
        <f t="shared" si="77"/>
        <v>0</v>
      </c>
      <c r="L71" s="170">
        <f t="shared" si="77"/>
        <v>0</v>
      </c>
      <c r="M71" s="170">
        <f t="shared" si="77"/>
        <v>0</v>
      </c>
      <c r="N71" s="170">
        <f t="shared" si="77"/>
        <v>0</v>
      </c>
      <c r="O71" s="170">
        <f t="shared" si="77"/>
        <v>0</v>
      </c>
      <c r="P71" s="170">
        <f t="shared" si="77"/>
        <v>0</v>
      </c>
      <c r="Q71" s="170">
        <f t="shared" si="77"/>
        <v>0</v>
      </c>
      <c r="R71" s="170">
        <f t="shared" si="77"/>
        <v>0</v>
      </c>
      <c r="S71" s="170">
        <f t="shared" si="77"/>
        <v>0</v>
      </c>
      <c r="T71" s="170">
        <f t="shared" si="77"/>
        <v>0</v>
      </c>
      <c r="U71" s="136"/>
      <c r="V71" s="97"/>
      <c r="Z71" s="65">
        <f t="shared" si="78"/>
        <v>0</v>
      </c>
      <c r="AA71" s="65">
        <f t="shared" si="79"/>
        <v>0</v>
      </c>
      <c r="AB71" s="65">
        <f t="shared" si="80"/>
        <v>0</v>
      </c>
      <c r="AC71" s="65">
        <f t="shared" si="81"/>
        <v>0</v>
      </c>
      <c r="AD71" s="65">
        <f t="shared" si="82"/>
        <v>0</v>
      </c>
      <c r="AE71" s="65">
        <f t="shared" si="83"/>
        <v>0</v>
      </c>
      <c r="AF71" s="65">
        <f t="shared" si="84"/>
        <v>0</v>
      </c>
      <c r="AG71" s="65">
        <f t="shared" si="85"/>
        <v>0</v>
      </c>
      <c r="AH71" s="65">
        <f t="shared" si="86"/>
        <v>0</v>
      </c>
      <c r="AI71" s="65">
        <f t="shared" si="87"/>
        <v>0</v>
      </c>
      <c r="AJ71" s="65">
        <f t="shared" si="88"/>
        <v>0</v>
      </c>
      <c r="AK71" s="65">
        <f t="shared" si="89"/>
        <v>0</v>
      </c>
      <c r="AL71" s="220"/>
      <c r="AM71" s="220">
        <f t="shared" si="64"/>
        <v>0</v>
      </c>
      <c r="AN71" s="220">
        <f t="shared" si="65"/>
        <v>0</v>
      </c>
      <c r="AO71" s="220">
        <f t="shared" si="66"/>
        <v>0</v>
      </c>
      <c r="AP71" s="220">
        <f t="shared" si="67"/>
        <v>0</v>
      </c>
      <c r="AQ71" s="220">
        <f t="shared" si="68"/>
        <v>0</v>
      </c>
      <c r="AR71" s="220">
        <f t="shared" si="69"/>
        <v>0</v>
      </c>
      <c r="AS71" s="220">
        <f t="shared" si="70"/>
        <v>0</v>
      </c>
      <c r="AT71" s="220">
        <f t="shared" si="71"/>
        <v>0</v>
      </c>
      <c r="AU71" s="220">
        <f t="shared" si="72"/>
        <v>0</v>
      </c>
      <c r="AV71" s="220">
        <f t="shared" si="73"/>
        <v>0</v>
      </c>
      <c r="AW71" s="220">
        <f t="shared" si="74"/>
        <v>0</v>
      </c>
      <c r="AX71" s="65">
        <f t="shared" si="75"/>
        <v>0</v>
      </c>
    </row>
    <row r="72" spans="2:50">
      <c r="B72" s="92"/>
      <c r="C72" s="131"/>
      <c r="D72" s="133" t="s">
        <v>112</v>
      </c>
      <c r="E72" s="133"/>
      <c r="F72" s="133" t="s">
        <v>285</v>
      </c>
      <c r="G72" s="243">
        <f t="shared" si="76"/>
        <v>0</v>
      </c>
      <c r="H72" s="234"/>
      <c r="I72" s="170">
        <v>0</v>
      </c>
      <c r="J72" s="170">
        <f t="shared" si="77"/>
        <v>0</v>
      </c>
      <c r="K72" s="170">
        <f t="shared" si="77"/>
        <v>0</v>
      </c>
      <c r="L72" s="170">
        <f t="shared" si="77"/>
        <v>0</v>
      </c>
      <c r="M72" s="170">
        <f t="shared" si="77"/>
        <v>0</v>
      </c>
      <c r="N72" s="170">
        <f t="shared" si="77"/>
        <v>0</v>
      </c>
      <c r="O72" s="170">
        <f t="shared" si="77"/>
        <v>0</v>
      </c>
      <c r="P72" s="170">
        <f t="shared" si="77"/>
        <v>0</v>
      </c>
      <c r="Q72" s="170">
        <f t="shared" si="77"/>
        <v>0</v>
      </c>
      <c r="R72" s="170">
        <f t="shared" si="77"/>
        <v>0</v>
      </c>
      <c r="S72" s="170">
        <f t="shared" si="77"/>
        <v>0</v>
      </c>
      <c r="T72" s="170">
        <f t="shared" si="77"/>
        <v>0</v>
      </c>
      <c r="U72" s="136"/>
      <c r="V72" s="97"/>
      <c r="Z72" s="65">
        <f t="shared" si="78"/>
        <v>0</v>
      </c>
      <c r="AA72" s="65">
        <f t="shared" si="79"/>
        <v>0</v>
      </c>
      <c r="AB72" s="65">
        <f t="shared" si="80"/>
        <v>0</v>
      </c>
      <c r="AC72" s="65">
        <f t="shared" si="81"/>
        <v>0</v>
      </c>
      <c r="AD72" s="65">
        <f t="shared" si="82"/>
        <v>0</v>
      </c>
      <c r="AE72" s="65">
        <f t="shared" si="83"/>
        <v>0</v>
      </c>
      <c r="AF72" s="65">
        <f t="shared" si="84"/>
        <v>0</v>
      </c>
      <c r="AG72" s="65">
        <f t="shared" si="85"/>
        <v>0</v>
      </c>
      <c r="AH72" s="65">
        <f t="shared" si="86"/>
        <v>0</v>
      </c>
      <c r="AI72" s="65">
        <f t="shared" si="87"/>
        <v>0</v>
      </c>
      <c r="AJ72" s="65">
        <f t="shared" si="88"/>
        <v>0</v>
      </c>
      <c r="AK72" s="65">
        <f t="shared" si="89"/>
        <v>0</v>
      </c>
      <c r="AL72" s="220"/>
      <c r="AM72" s="220">
        <f t="shared" si="64"/>
        <v>0</v>
      </c>
      <c r="AN72" s="220">
        <f t="shared" si="65"/>
        <v>0</v>
      </c>
      <c r="AO72" s="220">
        <f t="shared" si="66"/>
        <v>0</v>
      </c>
      <c r="AP72" s="220">
        <f t="shared" si="67"/>
        <v>0</v>
      </c>
      <c r="AQ72" s="220">
        <f t="shared" si="68"/>
        <v>0</v>
      </c>
      <c r="AR72" s="220">
        <f t="shared" si="69"/>
        <v>0</v>
      </c>
      <c r="AS72" s="220">
        <f t="shared" si="70"/>
        <v>0</v>
      </c>
      <c r="AT72" s="220">
        <f t="shared" si="71"/>
        <v>0</v>
      </c>
      <c r="AU72" s="220">
        <f t="shared" si="72"/>
        <v>0</v>
      </c>
      <c r="AV72" s="220">
        <f t="shared" si="73"/>
        <v>0</v>
      </c>
      <c r="AW72" s="220">
        <f t="shared" si="74"/>
        <v>0</v>
      </c>
      <c r="AX72" s="65">
        <f t="shared" si="75"/>
        <v>0</v>
      </c>
    </row>
    <row r="73" spans="2:50">
      <c r="B73" s="92"/>
      <c r="C73" s="131"/>
      <c r="D73" s="133" t="s">
        <v>113</v>
      </c>
      <c r="E73" s="133"/>
      <c r="F73" s="133" t="s">
        <v>285</v>
      </c>
      <c r="G73" s="243">
        <f t="shared" si="76"/>
        <v>0</v>
      </c>
      <c r="H73" s="234"/>
      <c r="I73" s="170">
        <v>0</v>
      </c>
      <c r="J73" s="170">
        <f t="shared" si="77"/>
        <v>0</v>
      </c>
      <c r="K73" s="170">
        <f t="shared" si="77"/>
        <v>0</v>
      </c>
      <c r="L73" s="170">
        <f t="shared" si="77"/>
        <v>0</v>
      </c>
      <c r="M73" s="170">
        <f t="shared" si="77"/>
        <v>0</v>
      </c>
      <c r="N73" s="170">
        <f t="shared" si="77"/>
        <v>0</v>
      </c>
      <c r="O73" s="170">
        <f t="shared" si="77"/>
        <v>0</v>
      </c>
      <c r="P73" s="170">
        <f t="shared" si="77"/>
        <v>0</v>
      </c>
      <c r="Q73" s="170">
        <f t="shared" si="77"/>
        <v>0</v>
      </c>
      <c r="R73" s="170">
        <f t="shared" si="77"/>
        <v>0</v>
      </c>
      <c r="S73" s="170">
        <f t="shared" si="77"/>
        <v>0</v>
      </c>
      <c r="T73" s="170">
        <f t="shared" si="77"/>
        <v>0</v>
      </c>
      <c r="U73" s="136"/>
      <c r="V73" s="97"/>
      <c r="Z73" s="65">
        <f t="shared" si="78"/>
        <v>0</v>
      </c>
      <c r="AA73" s="65">
        <f t="shared" si="79"/>
        <v>0</v>
      </c>
      <c r="AB73" s="65">
        <f t="shared" si="80"/>
        <v>0</v>
      </c>
      <c r="AC73" s="65">
        <f t="shared" si="81"/>
        <v>0</v>
      </c>
      <c r="AD73" s="65">
        <f t="shared" si="82"/>
        <v>0</v>
      </c>
      <c r="AE73" s="65">
        <f t="shared" si="83"/>
        <v>0</v>
      </c>
      <c r="AF73" s="65">
        <f t="shared" si="84"/>
        <v>0</v>
      </c>
      <c r="AG73" s="65">
        <f t="shared" si="85"/>
        <v>0</v>
      </c>
      <c r="AH73" s="65">
        <f t="shared" si="86"/>
        <v>0</v>
      </c>
      <c r="AI73" s="65">
        <f t="shared" si="87"/>
        <v>0</v>
      </c>
      <c r="AJ73" s="65">
        <f t="shared" si="88"/>
        <v>0</v>
      </c>
      <c r="AK73" s="65">
        <f t="shared" si="89"/>
        <v>0</v>
      </c>
      <c r="AL73" s="220"/>
      <c r="AM73" s="220">
        <f t="shared" si="64"/>
        <v>0</v>
      </c>
      <c r="AN73" s="220">
        <f t="shared" si="65"/>
        <v>0</v>
      </c>
      <c r="AO73" s="220">
        <f t="shared" si="66"/>
        <v>0</v>
      </c>
      <c r="AP73" s="220">
        <f t="shared" si="67"/>
        <v>0</v>
      </c>
      <c r="AQ73" s="220">
        <f t="shared" si="68"/>
        <v>0</v>
      </c>
      <c r="AR73" s="220">
        <f t="shared" si="69"/>
        <v>0</v>
      </c>
      <c r="AS73" s="220">
        <f t="shared" si="70"/>
        <v>0</v>
      </c>
      <c r="AT73" s="220">
        <f t="shared" si="71"/>
        <v>0</v>
      </c>
      <c r="AU73" s="220">
        <f t="shared" si="72"/>
        <v>0</v>
      </c>
      <c r="AV73" s="220">
        <f t="shared" si="73"/>
        <v>0</v>
      </c>
      <c r="AW73" s="220">
        <f t="shared" si="74"/>
        <v>0</v>
      </c>
      <c r="AX73" s="65">
        <f t="shared" si="75"/>
        <v>0</v>
      </c>
    </row>
    <row r="74" spans="2:50">
      <c r="B74" s="92"/>
      <c r="C74" s="131"/>
      <c r="D74" s="133" t="s">
        <v>111</v>
      </c>
      <c r="E74" s="133"/>
      <c r="F74" s="133" t="s">
        <v>285</v>
      </c>
      <c r="G74" s="243">
        <f t="shared" si="76"/>
        <v>0</v>
      </c>
      <c r="H74" s="234"/>
      <c r="I74" s="170">
        <v>0</v>
      </c>
      <c r="J74" s="170">
        <f t="shared" si="77"/>
        <v>0</v>
      </c>
      <c r="K74" s="170">
        <f t="shared" si="77"/>
        <v>0</v>
      </c>
      <c r="L74" s="170">
        <f t="shared" si="77"/>
        <v>0</v>
      </c>
      <c r="M74" s="170">
        <f t="shared" si="77"/>
        <v>0</v>
      </c>
      <c r="N74" s="170">
        <f t="shared" si="77"/>
        <v>0</v>
      </c>
      <c r="O74" s="170">
        <f t="shared" si="77"/>
        <v>0</v>
      </c>
      <c r="P74" s="170">
        <f t="shared" si="77"/>
        <v>0</v>
      </c>
      <c r="Q74" s="170">
        <f t="shared" si="77"/>
        <v>0</v>
      </c>
      <c r="R74" s="170">
        <f t="shared" si="77"/>
        <v>0</v>
      </c>
      <c r="S74" s="170">
        <f t="shared" si="77"/>
        <v>0</v>
      </c>
      <c r="T74" s="170">
        <f t="shared" si="77"/>
        <v>0</v>
      </c>
      <c r="U74" s="136"/>
      <c r="V74" s="97"/>
      <c r="Z74" s="65">
        <f t="shared" si="78"/>
        <v>0</v>
      </c>
      <c r="AA74" s="65">
        <f t="shared" si="79"/>
        <v>0</v>
      </c>
      <c r="AB74" s="65">
        <f t="shared" si="80"/>
        <v>0</v>
      </c>
      <c r="AC74" s="65">
        <f t="shared" si="81"/>
        <v>0</v>
      </c>
      <c r="AD74" s="65">
        <f t="shared" si="82"/>
        <v>0</v>
      </c>
      <c r="AE74" s="65">
        <f t="shared" si="83"/>
        <v>0</v>
      </c>
      <c r="AF74" s="65">
        <f t="shared" si="84"/>
        <v>0</v>
      </c>
      <c r="AG74" s="65">
        <f t="shared" si="85"/>
        <v>0</v>
      </c>
      <c r="AH74" s="65">
        <f t="shared" si="86"/>
        <v>0</v>
      </c>
      <c r="AI74" s="65">
        <f t="shared" si="87"/>
        <v>0</v>
      </c>
      <c r="AJ74" s="65">
        <f t="shared" si="88"/>
        <v>0</v>
      </c>
      <c r="AK74" s="65">
        <f t="shared" si="89"/>
        <v>0</v>
      </c>
      <c r="AL74" s="220"/>
      <c r="AM74" s="220">
        <f t="shared" si="64"/>
        <v>0</v>
      </c>
      <c r="AN74" s="220">
        <f t="shared" si="65"/>
        <v>0</v>
      </c>
      <c r="AO74" s="220">
        <f t="shared" si="66"/>
        <v>0</v>
      </c>
      <c r="AP74" s="220">
        <f t="shared" si="67"/>
        <v>0</v>
      </c>
      <c r="AQ74" s="220">
        <f t="shared" si="68"/>
        <v>0</v>
      </c>
      <c r="AR74" s="220">
        <f t="shared" si="69"/>
        <v>0</v>
      </c>
      <c r="AS74" s="220">
        <f t="shared" si="70"/>
        <v>0</v>
      </c>
      <c r="AT74" s="220">
        <f t="shared" si="71"/>
        <v>0</v>
      </c>
      <c r="AU74" s="220">
        <f t="shared" si="72"/>
        <v>0</v>
      </c>
      <c r="AV74" s="220">
        <f t="shared" si="73"/>
        <v>0</v>
      </c>
      <c r="AW74" s="220">
        <f t="shared" si="74"/>
        <v>0</v>
      </c>
      <c r="AX74" s="65">
        <f t="shared" si="75"/>
        <v>0</v>
      </c>
    </row>
    <row r="75" spans="2:50">
      <c r="B75" s="92"/>
      <c r="C75" s="131"/>
      <c r="D75" s="133" t="s">
        <v>114</v>
      </c>
      <c r="E75" s="133"/>
      <c r="F75" s="133" t="s">
        <v>285</v>
      </c>
      <c r="G75" s="243">
        <f t="shared" si="76"/>
        <v>0</v>
      </c>
      <c r="H75" s="234"/>
      <c r="I75" s="170">
        <v>0</v>
      </c>
      <c r="J75" s="170">
        <f t="shared" si="77"/>
        <v>0</v>
      </c>
      <c r="K75" s="170">
        <f t="shared" si="77"/>
        <v>0</v>
      </c>
      <c r="L75" s="170">
        <f t="shared" si="77"/>
        <v>0</v>
      </c>
      <c r="M75" s="170">
        <f t="shared" si="77"/>
        <v>0</v>
      </c>
      <c r="N75" s="170">
        <f t="shared" si="77"/>
        <v>0</v>
      </c>
      <c r="O75" s="170">
        <f t="shared" si="77"/>
        <v>0</v>
      </c>
      <c r="P75" s="170">
        <f t="shared" si="77"/>
        <v>0</v>
      </c>
      <c r="Q75" s="170">
        <f t="shared" si="77"/>
        <v>0</v>
      </c>
      <c r="R75" s="170">
        <f t="shared" si="77"/>
        <v>0</v>
      </c>
      <c r="S75" s="170">
        <f t="shared" si="77"/>
        <v>0</v>
      </c>
      <c r="T75" s="170">
        <f t="shared" si="77"/>
        <v>0</v>
      </c>
      <c r="U75" s="136"/>
      <c r="V75" s="97"/>
      <c r="Z75" s="65">
        <f t="shared" si="78"/>
        <v>0</v>
      </c>
      <c r="AA75" s="65">
        <f t="shared" si="79"/>
        <v>0</v>
      </c>
      <c r="AB75" s="65">
        <f t="shared" si="80"/>
        <v>0</v>
      </c>
      <c r="AC75" s="65">
        <f t="shared" si="81"/>
        <v>0</v>
      </c>
      <c r="AD75" s="65">
        <f t="shared" si="82"/>
        <v>0</v>
      </c>
      <c r="AE75" s="65">
        <f t="shared" si="83"/>
        <v>0</v>
      </c>
      <c r="AF75" s="65">
        <f t="shared" si="84"/>
        <v>0</v>
      </c>
      <c r="AG75" s="65">
        <f t="shared" si="85"/>
        <v>0</v>
      </c>
      <c r="AH75" s="65">
        <f t="shared" si="86"/>
        <v>0</v>
      </c>
      <c r="AI75" s="65">
        <f t="shared" si="87"/>
        <v>0</v>
      </c>
      <c r="AJ75" s="65">
        <f t="shared" si="88"/>
        <v>0</v>
      </c>
      <c r="AK75" s="65">
        <f t="shared" si="89"/>
        <v>0</v>
      </c>
      <c r="AL75" s="220"/>
      <c r="AM75" s="220">
        <f t="shared" si="64"/>
        <v>0</v>
      </c>
      <c r="AN75" s="220">
        <f t="shared" si="65"/>
        <v>0</v>
      </c>
      <c r="AO75" s="220">
        <f t="shared" si="66"/>
        <v>0</v>
      </c>
      <c r="AP75" s="220">
        <f t="shared" si="67"/>
        <v>0</v>
      </c>
      <c r="AQ75" s="220">
        <f t="shared" si="68"/>
        <v>0</v>
      </c>
      <c r="AR75" s="220">
        <f t="shared" si="69"/>
        <v>0</v>
      </c>
      <c r="AS75" s="220">
        <f t="shared" si="70"/>
        <v>0</v>
      </c>
      <c r="AT75" s="220">
        <f t="shared" si="71"/>
        <v>0</v>
      </c>
      <c r="AU75" s="220">
        <f t="shared" si="72"/>
        <v>0</v>
      </c>
      <c r="AV75" s="220">
        <f t="shared" si="73"/>
        <v>0</v>
      </c>
      <c r="AW75" s="220">
        <f t="shared" si="74"/>
        <v>0</v>
      </c>
      <c r="AX75" s="65">
        <f t="shared" si="75"/>
        <v>0</v>
      </c>
    </row>
    <row r="76" spans="2:50">
      <c r="B76" s="92"/>
      <c r="C76" s="131"/>
      <c r="D76" s="133" t="s">
        <v>115</v>
      </c>
      <c r="E76" s="133"/>
      <c r="F76" s="133" t="s">
        <v>285</v>
      </c>
      <c r="G76" s="243">
        <f t="shared" si="76"/>
        <v>0</v>
      </c>
      <c r="H76" s="234"/>
      <c r="I76" s="170">
        <v>0</v>
      </c>
      <c r="J76" s="170">
        <f t="shared" si="77"/>
        <v>0</v>
      </c>
      <c r="K76" s="170">
        <f t="shared" si="77"/>
        <v>0</v>
      </c>
      <c r="L76" s="170">
        <f t="shared" si="77"/>
        <v>0</v>
      </c>
      <c r="M76" s="170">
        <f t="shared" si="77"/>
        <v>0</v>
      </c>
      <c r="N76" s="170">
        <f t="shared" si="77"/>
        <v>0</v>
      </c>
      <c r="O76" s="170">
        <f t="shared" si="77"/>
        <v>0</v>
      </c>
      <c r="P76" s="170">
        <f t="shared" si="77"/>
        <v>0</v>
      </c>
      <c r="Q76" s="170">
        <f t="shared" si="77"/>
        <v>0</v>
      </c>
      <c r="R76" s="170">
        <f t="shared" si="77"/>
        <v>0</v>
      </c>
      <c r="S76" s="170">
        <f t="shared" si="77"/>
        <v>0</v>
      </c>
      <c r="T76" s="170">
        <f t="shared" si="77"/>
        <v>0</v>
      </c>
      <c r="U76" s="136"/>
      <c r="V76" s="97"/>
      <c r="Z76" s="65">
        <f t="shared" si="78"/>
        <v>0</v>
      </c>
      <c r="AA76" s="65">
        <f t="shared" si="79"/>
        <v>0</v>
      </c>
      <c r="AB76" s="65">
        <f t="shared" si="80"/>
        <v>0</v>
      </c>
      <c r="AC76" s="65">
        <f t="shared" si="81"/>
        <v>0</v>
      </c>
      <c r="AD76" s="65">
        <f t="shared" si="82"/>
        <v>0</v>
      </c>
      <c r="AE76" s="65">
        <f t="shared" si="83"/>
        <v>0</v>
      </c>
      <c r="AF76" s="65">
        <f t="shared" si="84"/>
        <v>0</v>
      </c>
      <c r="AG76" s="65">
        <f t="shared" si="85"/>
        <v>0</v>
      </c>
      <c r="AH76" s="65">
        <f t="shared" si="86"/>
        <v>0</v>
      </c>
      <c r="AI76" s="65">
        <f t="shared" si="87"/>
        <v>0</v>
      </c>
      <c r="AJ76" s="65">
        <f t="shared" si="88"/>
        <v>0</v>
      </c>
      <c r="AK76" s="65">
        <f t="shared" si="89"/>
        <v>0</v>
      </c>
      <c r="AL76" s="220"/>
      <c r="AM76" s="220">
        <f t="shared" si="64"/>
        <v>0</v>
      </c>
      <c r="AN76" s="220">
        <f t="shared" si="65"/>
        <v>0</v>
      </c>
      <c r="AO76" s="220">
        <f t="shared" si="66"/>
        <v>0</v>
      </c>
      <c r="AP76" s="220">
        <f t="shared" si="67"/>
        <v>0</v>
      </c>
      <c r="AQ76" s="220">
        <f t="shared" si="68"/>
        <v>0</v>
      </c>
      <c r="AR76" s="220">
        <f t="shared" si="69"/>
        <v>0</v>
      </c>
      <c r="AS76" s="220">
        <f t="shared" si="70"/>
        <v>0</v>
      </c>
      <c r="AT76" s="220">
        <f t="shared" si="71"/>
        <v>0</v>
      </c>
      <c r="AU76" s="220">
        <f t="shared" si="72"/>
        <v>0</v>
      </c>
      <c r="AV76" s="220">
        <f t="shared" si="73"/>
        <v>0</v>
      </c>
      <c r="AW76" s="220">
        <f t="shared" si="74"/>
        <v>0</v>
      </c>
      <c r="AX76" s="65">
        <f t="shared" si="75"/>
        <v>0</v>
      </c>
    </row>
    <row r="77" spans="2:50">
      <c r="B77" s="92"/>
      <c r="C77" s="131"/>
      <c r="D77" s="133" t="s">
        <v>117</v>
      </c>
      <c r="E77" s="133"/>
      <c r="F77" s="133" t="s">
        <v>285</v>
      </c>
      <c r="G77" s="243">
        <f t="shared" si="76"/>
        <v>0</v>
      </c>
      <c r="H77" s="234"/>
      <c r="I77" s="170">
        <v>0</v>
      </c>
      <c r="J77" s="170">
        <f t="shared" si="77"/>
        <v>0</v>
      </c>
      <c r="K77" s="170">
        <f t="shared" si="77"/>
        <v>0</v>
      </c>
      <c r="L77" s="170">
        <f t="shared" si="77"/>
        <v>0</v>
      </c>
      <c r="M77" s="170">
        <f t="shared" si="77"/>
        <v>0</v>
      </c>
      <c r="N77" s="170">
        <f t="shared" si="77"/>
        <v>0</v>
      </c>
      <c r="O77" s="170">
        <f t="shared" si="77"/>
        <v>0</v>
      </c>
      <c r="P77" s="170">
        <f t="shared" si="77"/>
        <v>0</v>
      </c>
      <c r="Q77" s="170">
        <f t="shared" si="77"/>
        <v>0</v>
      </c>
      <c r="R77" s="170">
        <f t="shared" si="77"/>
        <v>0</v>
      </c>
      <c r="S77" s="170">
        <f t="shared" si="77"/>
        <v>0</v>
      </c>
      <c r="T77" s="170">
        <f t="shared" si="77"/>
        <v>0</v>
      </c>
      <c r="U77" s="136"/>
      <c r="V77" s="97"/>
      <c r="Z77" s="65">
        <f t="shared" si="78"/>
        <v>0</v>
      </c>
      <c r="AA77" s="65">
        <f t="shared" si="79"/>
        <v>0</v>
      </c>
      <c r="AB77" s="65">
        <f t="shared" si="80"/>
        <v>0</v>
      </c>
      <c r="AC77" s="65">
        <f t="shared" si="81"/>
        <v>0</v>
      </c>
      <c r="AD77" s="65">
        <f t="shared" si="82"/>
        <v>0</v>
      </c>
      <c r="AE77" s="65">
        <f t="shared" si="83"/>
        <v>0</v>
      </c>
      <c r="AF77" s="65">
        <f t="shared" si="84"/>
        <v>0</v>
      </c>
      <c r="AG77" s="65">
        <f t="shared" si="85"/>
        <v>0</v>
      </c>
      <c r="AH77" s="65">
        <f t="shared" si="86"/>
        <v>0</v>
      </c>
      <c r="AI77" s="65">
        <f t="shared" si="87"/>
        <v>0</v>
      </c>
      <c r="AJ77" s="65">
        <f t="shared" si="88"/>
        <v>0</v>
      </c>
      <c r="AK77" s="65">
        <f t="shared" si="89"/>
        <v>0</v>
      </c>
      <c r="AL77" s="220"/>
      <c r="AM77" s="220">
        <f t="shared" si="64"/>
        <v>0</v>
      </c>
      <c r="AN77" s="220">
        <f t="shared" si="65"/>
        <v>0</v>
      </c>
      <c r="AO77" s="220">
        <f t="shared" si="66"/>
        <v>0</v>
      </c>
      <c r="AP77" s="220">
        <f t="shared" si="67"/>
        <v>0</v>
      </c>
      <c r="AQ77" s="220">
        <f t="shared" si="68"/>
        <v>0</v>
      </c>
      <c r="AR77" s="220">
        <f t="shared" si="69"/>
        <v>0</v>
      </c>
      <c r="AS77" s="220">
        <f t="shared" si="70"/>
        <v>0</v>
      </c>
      <c r="AT77" s="220">
        <f t="shared" si="71"/>
        <v>0</v>
      </c>
      <c r="AU77" s="220">
        <f t="shared" si="72"/>
        <v>0</v>
      </c>
      <c r="AV77" s="220">
        <f t="shared" si="73"/>
        <v>0</v>
      </c>
      <c r="AW77" s="220">
        <f t="shared" si="74"/>
        <v>0</v>
      </c>
      <c r="AX77" s="65">
        <f t="shared" si="75"/>
        <v>0</v>
      </c>
    </row>
    <row r="78" spans="2:50">
      <c r="B78" s="92"/>
      <c r="C78" s="131"/>
      <c r="D78" s="133" t="s">
        <v>118</v>
      </c>
      <c r="E78" s="133"/>
      <c r="F78" s="133" t="s">
        <v>285</v>
      </c>
      <c r="G78" s="243">
        <f t="shared" si="76"/>
        <v>0</v>
      </c>
      <c r="H78" s="234"/>
      <c r="I78" s="170">
        <v>0</v>
      </c>
      <c r="J78" s="170">
        <f t="shared" si="77"/>
        <v>0</v>
      </c>
      <c r="K78" s="170">
        <f t="shared" si="77"/>
        <v>0</v>
      </c>
      <c r="L78" s="170">
        <f t="shared" si="77"/>
        <v>0</v>
      </c>
      <c r="M78" s="170">
        <f t="shared" si="77"/>
        <v>0</v>
      </c>
      <c r="N78" s="170">
        <f t="shared" si="77"/>
        <v>0</v>
      </c>
      <c r="O78" s="170">
        <f t="shared" si="77"/>
        <v>0</v>
      </c>
      <c r="P78" s="170">
        <f t="shared" si="77"/>
        <v>0</v>
      </c>
      <c r="Q78" s="170">
        <f t="shared" si="77"/>
        <v>0</v>
      </c>
      <c r="R78" s="170">
        <f t="shared" si="77"/>
        <v>0</v>
      </c>
      <c r="S78" s="170">
        <f t="shared" si="77"/>
        <v>0</v>
      </c>
      <c r="T78" s="170">
        <f t="shared" si="77"/>
        <v>0</v>
      </c>
      <c r="U78" s="136"/>
      <c r="V78" s="97"/>
      <c r="Z78" s="65">
        <f t="shared" si="78"/>
        <v>0</v>
      </c>
      <c r="AA78" s="65">
        <f t="shared" si="79"/>
        <v>0</v>
      </c>
      <c r="AB78" s="65">
        <f t="shared" si="80"/>
        <v>0</v>
      </c>
      <c r="AC78" s="65">
        <f t="shared" si="81"/>
        <v>0</v>
      </c>
      <c r="AD78" s="65">
        <f t="shared" si="82"/>
        <v>0</v>
      </c>
      <c r="AE78" s="65">
        <f t="shared" si="83"/>
        <v>0</v>
      </c>
      <c r="AF78" s="65">
        <f t="shared" si="84"/>
        <v>0</v>
      </c>
      <c r="AG78" s="65">
        <f t="shared" si="85"/>
        <v>0</v>
      </c>
      <c r="AH78" s="65">
        <f t="shared" si="86"/>
        <v>0</v>
      </c>
      <c r="AI78" s="65">
        <f t="shared" si="87"/>
        <v>0</v>
      </c>
      <c r="AJ78" s="65">
        <f t="shared" si="88"/>
        <v>0</v>
      </c>
      <c r="AK78" s="65">
        <f t="shared" si="89"/>
        <v>0</v>
      </c>
      <c r="AL78" s="220"/>
      <c r="AM78" s="220">
        <f t="shared" si="64"/>
        <v>0</v>
      </c>
      <c r="AN78" s="220">
        <f t="shared" si="65"/>
        <v>0</v>
      </c>
      <c r="AO78" s="220">
        <f t="shared" si="66"/>
        <v>0</v>
      </c>
      <c r="AP78" s="220">
        <f t="shared" si="67"/>
        <v>0</v>
      </c>
      <c r="AQ78" s="220">
        <f t="shared" si="68"/>
        <v>0</v>
      </c>
      <c r="AR78" s="220">
        <f t="shared" si="69"/>
        <v>0</v>
      </c>
      <c r="AS78" s="220">
        <f t="shared" si="70"/>
        <v>0</v>
      </c>
      <c r="AT78" s="220">
        <f t="shared" si="71"/>
        <v>0</v>
      </c>
      <c r="AU78" s="220">
        <f t="shared" si="72"/>
        <v>0</v>
      </c>
      <c r="AV78" s="220">
        <f t="shared" si="73"/>
        <v>0</v>
      </c>
      <c r="AW78" s="220">
        <f t="shared" si="74"/>
        <v>0</v>
      </c>
      <c r="AX78" s="65">
        <f t="shared" si="75"/>
        <v>0</v>
      </c>
    </row>
    <row r="79" spans="2:50">
      <c r="B79" s="92"/>
      <c r="C79" s="131"/>
      <c r="D79" s="133" t="s">
        <v>116</v>
      </c>
      <c r="E79" s="133"/>
      <c r="F79" s="133" t="s">
        <v>285</v>
      </c>
      <c r="G79" s="243">
        <f t="shared" si="76"/>
        <v>0</v>
      </c>
      <c r="H79" s="234"/>
      <c r="I79" s="170">
        <v>0</v>
      </c>
      <c r="J79" s="170">
        <f t="shared" si="77"/>
        <v>0</v>
      </c>
      <c r="K79" s="170">
        <f t="shared" si="77"/>
        <v>0</v>
      </c>
      <c r="L79" s="170">
        <f t="shared" si="77"/>
        <v>0</v>
      </c>
      <c r="M79" s="170">
        <f t="shared" si="77"/>
        <v>0</v>
      </c>
      <c r="N79" s="170">
        <f t="shared" si="77"/>
        <v>0</v>
      </c>
      <c r="O79" s="170">
        <f t="shared" si="77"/>
        <v>0</v>
      </c>
      <c r="P79" s="170">
        <f t="shared" si="77"/>
        <v>0</v>
      </c>
      <c r="Q79" s="170">
        <f t="shared" si="77"/>
        <v>0</v>
      </c>
      <c r="R79" s="170">
        <f t="shared" si="77"/>
        <v>0</v>
      </c>
      <c r="S79" s="170">
        <f t="shared" si="77"/>
        <v>0</v>
      </c>
      <c r="T79" s="170">
        <f t="shared" si="77"/>
        <v>0</v>
      </c>
      <c r="U79" s="136"/>
      <c r="V79" s="97"/>
      <c r="Z79" s="65">
        <f t="shared" si="78"/>
        <v>0</v>
      </c>
      <c r="AA79" s="65">
        <f t="shared" si="79"/>
        <v>0</v>
      </c>
      <c r="AB79" s="65">
        <f t="shared" si="80"/>
        <v>0</v>
      </c>
      <c r="AC79" s="65">
        <f t="shared" si="81"/>
        <v>0</v>
      </c>
      <c r="AD79" s="65">
        <f t="shared" si="82"/>
        <v>0</v>
      </c>
      <c r="AE79" s="65">
        <f t="shared" si="83"/>
        <v>0</v>
      </c>
      <c r="AF79" s="65">
        <f t="shared" si="84"/>
        <v>0</v>
      </c>
      <c r="AG79" s="65">
        <f t="shared" si="85"/>
        <v>0</v>
      </c>
      <c r="AH79" s="65">
        <f t="shared" si="86"/>
        <v>0</v>
      </c>
      <c r="AI79" s="65">
        <f t="shared" si="87"/>
        <v>0</v>
      </c>
      <c r="AJ79" s="65">
        <f t="shared" si="88"/>
        <v>0</v>
      </c>
      <c r="AK79" s="65">
        <f t="shared" si="89"/>
        <v>0</v>
      </c>
      <c r="AL79" s="220"/>
      <c r="AM79" s="220">
        <f t="shared" si="64"/>
        <v>0</v>
      </c>
      <c r="AN79" s="220">
        <f t="shared" si="65"/>
        <v>0</v>
      </c>
      <c r="AO79" s="220">
        <f t="shared" si="66"/>
        <v>0</v>
      </c>
      <c r="AP79" s="220">
        <f t="shared" si="67"/>
        <v>0</v>
      </c>
      <c r="AQ79" s="220">
        <f t="shared" si="68"/>
        <v>0</v>
      </c>
      <c r="AR79" s="220">
        <f t="shared" si="69"/>
        <v>0</v>
      </c>
      <c r="AS79" s="220">
        <f t="shared" si="70"/>
        <v>0</v>
      </c>
      <c r="AT79" s="220">
        <f t="shared" si="71"/>
        <v>0</v>
      </c>
      <c r="AU79" s="220">
        <f t="shared" si="72"/>
        <v>0</v>
      </c>
      <c r="AV79" s="220">
        <f t="shared" si="73"/>
        <v>0</v>
      </c>
      <c r="AW79" s="220">
        <f t="shared" si="74"/>
        <v>0</v>
      </c>
      <c r="AX79" s="65">
        <f t="shared" si="75"/>
        <v>0</v>
      </c>
    </row>
    <row r="80" spans="2:50">
      <c r="B80" s="92"/>
      <c r="C80" s="131"/>
      <c r="D80" s="133" t="s">
        <v>119</v>
      </c>
      <c r="E80" s="133"/>
      <c r="F80" s="133" t="s">
        <v>285</v>
      </c>
      <c r="G80" s="243">
        <f t="shared" si="76"/>
        <v>0</v>
      </c>
      <c r="H80" s="234"/>
      <c r="I80" s="170">
        <v>0</v>
      </c>
      <c r="J80" s="170">
        <f t="shared" si="77"/>
        <v>0</v>
      </c>
      <c r="K80" s="170">
        <f t="shared" si="77"/>
        <v>0</v>
      </c>
      <c r="L80" s="170">
        <f t="shared" si="77"/>
        <v>0</v>
      </c>
      <c r="M80" s="170">
        <f t="shared" si="77"/>
        <v>0</v>
      </c>
      <c r="N80" s="170">
        <f t="shared" si="77"/>
        <v>0</v>
      </c>
      <c r="O80" s="170">
        <f t="shared" si="77"/>
        <v>0</v>
      </c>
      <c r="P80" s="170">
        <f t="shared" si="77"/>
        <v>0</v>
      </c>
      <c r="Q80" s="170">
        <f t="shared" si="77"/>
        <v>0</v>
      </c>
      <c r="R80" s="170">
        <f t="shared" si="77"/>
        <v>0</v>
      </c>
      <c r="S80" s="170">
        <f t="shared" si="77"/>
        <v>0</v>
      </c>
      <c r="T80" s="170">
        <f t="shared" si="77"/>
        <v>0</v>
      </c>
      <c r="U80" s="136"/>
      <c r="V80" s="97"/>
      <c r="Z80" s="65">
        <f t="shared" si="78"/>
        <v>0</v>
      </c>
      <c r="AA80" s="65">
        <f t="shared" si="79"/>
        <v>0</v>
      </c>
      <c r="AB80" s="65">
        <f t="shared" si="80"/>
        <v>0</v>
      </c>
      <c r="AC80" s="65">
        <f t="shared" si="81"/>
        <v>0</v>
      </c>
      <c r="AD80" s="65">
        <f t="shared" si="82"/>
        <v>0</v>
      </c>
      <c r="AE80" s="65">
        <f t="shared" si="83"/>
        <v>0</v>
      </c>
      <c r="AF80" s="65">
        <f t="shared" si="84"/>
        <v>0</v>
      </c>
      <c r="AG80" s="65">
        <f t="shared" si="85"/>
        <v>0</v>
      </c>
      <c r="AH80" s="65">
        <f t="shared" si="86"/>
        <v>0</v>
      </c>
      <c r="AI80" s="65">
        <f t="shared" si="87"/>
        <v>0</v>
      </c>
      <c r="AJ80" s="65">
        <f t="shared" si="88"/>
        <v>0</v>
      </c>
      <c r="AK80" s="65">
        <f t="shared" si="89"/>
        <v>0</v>
      </c>
      <c r="AL80" s="220"/>
      <c r="AM80" s="220">
        <f t="shared" si="64"/>
        <v>0</v>
      </c>
      <c r="AN80" s="220">
        <f t="shared" si="65"/>
        <v>0</v>
      </c>
      <c r="AO80" s="220">
        <f t="shared" si="66"/>
        <v>0</v>
      </c>
      <c r="AP80" s="220">
        <f t="shared" si="67"/>
        <v>0</v>
      </c>
      <c r="AQ80" s="220">
        <f t="shared" si="68"/>
        <v>0</v>
      </c>
      <c r="AR80" s="220">
        <f t="shared" si="69"/>
        <v>0</v>
      </c>
      <c r="AS80" s="220">
        <f t="shared" si="70"/>
        <v>0</v>
      </c>
      <c r="AT80" s="220">
        <f t="shared" si="71"/>
        <v>0</v>
      </c>
      <c r="AU80" s="220">
        <f t="shared" si="72"/>
        <v>0</v>
      </c>
      <c r="AV80" s="220">
        <f t="shared" si="73"/>
        <v>0</v>
      </c>
      <c r="AW80" s="220">
        <f t="shared" si="74"/>
        <v>0</v>
      </c>
      <c r="AX80" s="65">
        <f t="shared" si="75"/>
        <v>0</v>
      </c>
    </row>
    <row r="81" spans="2:50">
      <c r="B81" s="92"/>
      <c r="C81" s="131"/>
      <c r="D81" s="138" t="s">
        <v>273</v>
      </c>
      <c r="E81" s="138"/>
      <c r="F81" s="138"/>
      <c r="G81" s="244">
        <f>SUM(I81:T81)</f>
        <v>0</v>
      </c>
      <c r="H81" s="236"/>
      <c r="I81" s="245">
        <f t="shared" ref="I81:T81" si="90">+Z81</f>
        <v>0</v>
      </c>
      <c r="J81" s="245">
        <f t="shared" si="90"/>
        <v>0</v>
      </c>
      <c r="K81" s="245">
        <f t="shared" si="90"/>
        <v>0</v>
      </c>
      <c r="L81" s="245">
        <f t="shared" si="90"/>
        <v>0</v>
      </c>
      <c r="M81" s="245">
        <f t="shared" si="90"/>
        <v>0</v>
      </c>
      <c r="N81" s="245">
        <f t="shared" si="90"/>
        <v>0</v>
      </c>
      <c r="O81" s="245">
        <f t="shared" si="90"/>
        <v>0</v>
      </c>
      <c r="P81" s="245">
        <f t="shared" si="90"/>
        <v>0</v>
      </c>
      <c r="Q81" s="245">
        <f t="shared" si="90"/>
        <v>0</v>
      </c>
      <c r="R81" s="245">
        <f t="shared" si="90"/>
        <v>0</v>
      </c>
      <c r="S81" s="245">
        <f t="shared" si="90"/>
        <v>0</v>
      </c>
      <c r="T81" s="245">
        <f t="shared" si="90"/>
        <v>0</v>
      </c>
      <c r="U81" s="136"/>
      <c r="V81" s="97"/>
      <c r="Z81" s="65">
        <f t="shared" ref="Z81:AK81" si="91">SUM(Z68:Z80)</f>
        <v>0</v>
      </c>
      <c r="AA81" s="65">
        <f t="shared" si="91"/>
        <v>0</v>
      </c>
      <c r="AB81" s="65">
        <f t="shared" si="91"/>
        <v>0</v>
      </c>
      <c r="AC81" s="65">
        <f t="shared" si="91"/>
        <v>0</v>
      </c>
      <c r="AD81" s="65">
        <f t="shared" si="91"/>
        <v>0</v>
      </c>
      <c r="AE81" s="65">
        <f t="shared" si="91"/>
        <v>0</v>
      </c>
      <c r="AF81" s="65">
        <f t="shared" si="91"/>
        <v>0</v>
      </c>
      <c r="AG81" s="65">
        <f t="shared" si="91"/>
        <v>0</v>
      </c>
      <c r="AH81" s="65">
        <f t="shared" si="91"/>
        <v>0</v>
      </c>
      <c r="AI81" s="65">
        <f t="shared" si="91"/>
        <v>0</v>
      </c>
      <c r="AJ81" s="65">
        <f t="shared" si="91"/>
        <v>0</v>
      </c>
      <c r="AK81" s="65">
        <f t="shared" si="91"/>
        <v>0</v>
      </c>
      <c r="AL81" s="220"/>
      <c r="AM81" s="220"/>
      <c r="AN81" s="220"/>
      <c r="AO81" s="220"/>
      <c r="AP81" s="220"/>
      <c r="AQ81" s="220"/>
      <c r="AR81" s="220"/>
      <c r="AS81" s="220"/>
      <c r="AT81" s="220"/>
      <c r="AU81" s="220"/>
      <c r="AV81" s="220"/>
      <c r="AW81" s="220"/>
    </row>
    <row r="82" spans="2:50">
      <c r="B82" s="92"/>
      <c r="C82" s="131"/>
      <c r="D82" s="138" t="s">
        <v>280</v>
      </c>
      <c r="E82" s="138"/>
      <c r="F82" s="138"/>
      <c r="G82" s="244">
        <f>SUM(I82:T82)</f>
        <v>0</v>
      </c>
      <c r="H82" s="236"/>
      <c r="I82" s="245">
        <f>+AM82</f>
        <v>0</v>
      </c>
      <c r="J82" s="245">
        <f t="shared" ref="J82:T82" si="92">+AN82</f>
        <v>0</v>
      </c>
      <c r="K82" s="245">
        <f t="shared" si="92"/>
        <v>0</v>
      </c>
      <c r="L82" s="245">
        <f t="shared" si="92"/>
        <v>0</v>
      </c>
      <c r="M82" s="245">
        <f t="shared" si="92"/>
        <v>0</v>
      </c>
      <c r="N82" s="245">
        <f t="shared" si="92"/>
        <v>0</v>
      </c>
      <c r="O82" s="245">
        <f t="shared" si="92"/>
        <v>0</v>
      </c>
      <c r="P82" s="245">
        <f t="shared" si="92"/>
        <v>0</v>
      </c>
      <c r="Q82" s="245">
        <f t="shared" si="92"/>
        <v>0</v>
      </c>
      <c r="R82" s="245">
        <f t="shared" si="92"/>
        <v>0</v>
      </c>
      <c r="S82" s="245">
        <f t="shared" si="92"/>
        <v>0</v>
      </c>
      <c r="T82" s="245">
        <f t="shared" si="92"/>
        <v>0</v>
      </c>
      <c r="U82" s="136"/>
      <c r="V82" s="97"/>
      <c r="AL82" s="220"/>
      <c r="AM82" s="220">
        <f>SUM(AM68:AM80)</f>
        <v>0</v>
      </c>
      <c r="AN82" s="220">
        <f t="shared" ref="AN82:AX82" si="93">SUM(AN68:AN80)</f>
        <v>0</v>
      </c>
      <c r="AO82" s="220">
        <f t="shared" si="93"/>
        <v>0</v>
      </c>
      <c r="AP82" s="220">
        <f t="shared" si="93"/>
        <v>0</v>
      </c>
      <c r="AQ82" s="220">
        <f t="shared" si="93"/>
        <v>0</v>
      </c>
      <c r="AR82" s="220">
        <f t="shared" si="93"/>
        <v>0</v>
      </c>
      <c r="AS82" s="220">
        <f t="shared" si="93"/>
        <v>0</v>
      </c>
      <c r="AT82" s="220">
        <f t="shared" si="93"/>
        <v>0</v>
      </c>
      <c r="AU82" s="220">
        <f t="shared" si="93"/>
        <v>0</v>
      </c>
      <c r="AV82" s="220">
        <f t="shared" si="93"/>
        <v>0</v>
      </c>
      <c r="AW82" s="220">
        <f t="shared" si="93"/>
        <v>0</v>
      </c>
      <c r="AX82" s="65">
        <f t="shared" si="93"/>
        <v>0</v>
      </c>
    </row>
    <row r="83" spans="2:50">
      <c r="B83" s="92"/>
      <c r="C83" s="131"/>
      <c r="D83" s="138"/>
      <c r="E83" s="133"/>
      <c r="F83" s="138" t="s">
        <v>205</v>
      </c>
      <c r="G83" s="244">
        <f>SUM(G81:G82)</f>
        <v>0</v>
      </c>
      <c r="H83" s="236"/>
      <c r="I83" s="135"/>
      <c r="J83" s="135"/>
      <c r="K83" s="238">
        <f>SUM(K68:K80)</f>
        <v>0</v>
      </c>
      <c r="L83" s="135"/>
      <c r="M83" s="135"/>
      <c r="N83" s="135"/>
      <c r="O83" s="135"/>
      <c r="P83" s="135"/>
      <c r="Q83" s="135"/>
      <c r="R83" s="135"/>
      <c r="S83" s="135"/>
      <c r="T83" s="135"/>
      <c r="U83" s="136"/>
      <c r="V83" s="97"/>
    </row>
    <row r="84" spans="2:50">
      <c r="B84" s="92"/>
      <c r="C84" s="141"/>
      <c r="D84" s="142"/>
      <c r="E84" s="144"/>
      <c r="F84" s="144"/>
      <c r="G84" s="146"/>
      <c r="H84" s="144"/>
      <c r="I84" s="146"/>
      <c r="J84" s="146"/>
      <c r="K84" s="146"/>
      <c r="L84" s="146"/>
      <c r="M84" s="146"/>
      <c r="N84" s="146"/>
      <c r="O84" s="146"/>
      <c r="P84" s="146"/>
      <c r="Q84" s="146"/>
      <c r="R84" s="146"/>
      <c r="S84" s="146"/>
      <c r="T84" s="146"/>
      <c r="U84" s="147"/>
      <c r="V84" s="97"/>
    </row>
    <row r="85" spans="2:50">
      <c r="B85" s="92"/>
      <c r="C85" s="93"/>
      <c r="D85" s="93"/>
      <c r="E85" s="93"/>
      <c r="F85" s="93"/>
      <c r="G85" s="95"/>
      <c r="H85" s="93"/>
      <c r="I85" s="95"/>
      <c r="J85" s="95"/>
      <c r="K85" s="95"/>
      <c r="L85" s="95"/>
      <c r="M85" s="95"/>
      <c r="N85" s="95"/>
      <c r="O85" s="95"/>
      <c r="P85" s="95"/>
      <c r="Q85" s="95"/>
      <c r="R85" s="95"/>
      <c r="S85" s="95"/>
      <c r="T85" s="95"/>
      <c r="U85" s="93"/>
      <c r="V85" s="97"/>
    </row>
    <row r="86" spans="2:50">
      <c r="B86" s="92"/>
      <c r="C86" s="124"/>
      <c r="D86" s="127"/>
      <c r="E86" s="127"/>
      <c r="F86" s="127"/>
      <c r="G86" s="129"/>
      <c r="H86" s="127"/>
      <c r="I86" s="129"/>
      <c r="J86" s="129"/>
      <c r="K86" s="129"/>
      <c r="L86" s="129"/>
      <c r="M86" s="129"/>
      <c r="N86" s="129"/>
      <c r="O86" s="129"/>
      <c r="P86" s="153"/>
      <c r="Q86" s="153"/>
      <c r="R86" s="129"/>
      <c r="S86" s="129"/>
      <c r="T86" s="129"/>
      <c r="U86" s="130"/>
      <c r="V86" s="97"/>
    </row>
    <row r="87" spans="2:50">
      <c r="B87" s="92"/>
      <c r="C87" s="228"/>
      <c r="D87" s="239" t="s">
        <v>688</v>
      </c>
      <c r="E87" s="174" t="str">
        <f>E65</f>
        <v>2011/12</v>
      </c>
      <c r="F87" s="229"/>
      <c r="G87" s="230"/>
      <c r="H87" s="229"/>
      <c r="I87" s="230"/>
      <c r="J87" s="230"/>
      <c r="K87" s="170">
        <v>0</v>
      </c>
      <c r="L87" s="230"/>
      <c r="M87" s="230"/>
      <c r="N87" s="230"/>
      <c r="O87" s="230"/>
      <c r="P87" s="230"/>
      <c r="Q87" s="230"/>
      <c r="R87" s="230"/>
      <c r="S87" s="230"/>
      <c r="T87" s="230"/>
      <c r="U87" s="231"/>
      <c r="V87" s="97"/>
    </row>
    <row r="88" spans="2:50">
      <c r="B88" s="92"/>
      <c r="C88" s="228"/>
      <c r="D88" s="239" t="s">
        <v>694</v>
      </c>
      <c r="E88" s="240" t="str">
        <f>E66</f>
        <v>2012/13</v>
      </c>
      <c r="F88" s="174" t="s">
        <v>666</v>
      </c>
      <c r="G88" s="241" t="str">
        <f>G66</f>
        <v>2012/13</v>
      </c>
      <c r="H88" s="174"/>
      <c r="I88" s="242" t="s">
        <v>218</v>
      </c>
      <c r="J88" s="242" t="s">
        <v>219</v>
      </c>
      <c r="K88" s="242" t="s">
        <v>220</v>
      </c>
      <c r="L88" s="242" t="s">
        <v>221</v>
      </c>
      <c r="M88" s="242" t="s">
        <v>222</v>
      </c>
      <c r="N88" s="242" t="s">
        <v>216</v>
      </c>
      <c r="O88" s="242" t="s">
        <v>217</v>
      </c>
      <c r="P88" s="242" t="s">
        <v>223</v>
      </c>
      <c r="Q88" s="242" t="s">
        <v>224</v>
      </c>
      <c r="R88" s="242" t="s">
        <v>225</v>
      </c>
      <c r="S88" s="242" t="s">
        <v>226</v>
      </c>
      <c r="T88" s="242" t="s">
        <v>227</v>
      </c>
      <c r="U88" s="231"/>
      <c r="V88" s="97"/>
      <c r="Z88" s="65" t="s">
        <v>218</v>
      </c>
      <c r="AA88" s="65" t="s">
        <v>219</v>
      </c>
      <c r="AB88" s="65" t="s">
        <v>220</v>
      </c>
      <c r="AC88" s="65" t="s">
        <v>221</v>
      </c>
      <c r="AD88" s="65" t="s">
        <v>222</v>
      </c>
      <c r="AE88" s="65" t="s">
        <v>216</v>
      </c>
      <c r="AF88" s="65" t="s">
        <v>217</v>
      </c>
      <c r="AG88" s="65" t="s">
        <v>223</v>
      </c>
      <c r="AH88" s="65" t="s">
        <v>224</v>
      </c>
      <c r="AI88" s="65" t="s">
        <v>225</v>
      </c>
      <c r="AJ88" s="65" t="s">
        <v>226</v>
      </c>
      <c r="AK88" s="65" t="s">
        <v>227</v>
      </c>
      <c r="AM88" s="65" t="s">
        <v>218</v>
      </c>
      <c r="AN88" s="65" t="s">
        <v>219</v>
      </c>
      <c r="AO88" s="65" t="s">
        <v>220</v>
      </c>
      <c r="AP88" s="65" t="s">
        <v>221</v>
      </c>
      <c r="AQ88" s="65" t="s">
        <v>222</v>
      </c>
      <c r="AR88" s="65" t="s">
        <v>216</v>
      </c>
      <c r="AS88" s="65" t="s">
        <v>217</v>
      </c>
      <c r="AT88" s="65" t="s">
        <v>223</v>
      </c>
      <c r="AU88" s="65" t="s">
        <v>224</v>
      </c>
      <c r="AV88" s="65" t="s">
        <v>225</v>
      </c>
      <c r="AW88" s="65" t="s">
        <v>226</v>
      </c>
      <c r="AX88" s="65" t="s">
        <v>227</v>
      </c>
    </row>
    <row r="89" spans="2:50">
      <c r="B89" s="92"/>
      <c r="C89" s="131"/>
      <c r="D89" s="133"/>
      <c r="E89" s="232"/>
      <c r="F89" s="138"/>
      <c r="G89" s="139"/>
      <c r="H89" s="138"/>
      <c r="I89" s="135"/>
      <c r="J89" s="135"/>
      <c r="K89" s="135"/>
      <c r="L89" s="135"/>
      <c r="M89" s="135"/>
      <c r="N89" s="135"/>
      <c r="O89" s="135"/>
      <c r="P89" s="135"/>
      <c r="Q89" s="135"/>
      <c r="R89" s="135"/>
      <c r="S89" s="135"/>
      <c r="T89" s="135"/>
      <c r="U89" s="136"/>
      <c r="V89" s="97"/>
    </row>
    <row r="90" spans="2:50">
      <c r="B90" s="92"/>
      <c r="C90" s="131"/>
      <c r="D90" s="133" t="s">
        <v>107</v>
      </c>
      <c r="E90" s="133"/>
      <c r="F90" s="133" t="s">
        <v>285</v>
      </c>
      <c r="G90" s="243">
        <f t="shared" ref="G90:G102" si="94">ROUND(SUM(I90:T90)/12,2)</f>
        <v>0</v>
      </c>
      <c r="H90" s="234"/>
      <c r="I90" s="170">
        <v>0</v>
      </c>
      <c r="J90" s="170">
        <f>+I90</f>
        <v>0</v>
      </c>
      <c r="K90" s="170">
        <f t="shared" ref="K90:T90" si="95">+J90</f>
        <v>0</v>
      </c>
      <c r="L90" s="170">
        <f t="shared" si="95"/>
        <v>0</v>
      </c>
      <c r="M90" s="170">
        <f t="shared" si="95"/>
        <v>0</v>
      </c>
      <c r="N90" s="170">
        <f t="shared" si="95"/>
        <v>0</v>
      </c>
      <c r="O90" s="170">
        <f t="shared" si="95"/>
        <v>0</v>
      </c>
      <c r="P90" s="170">
        <f t="shared" si="95"/>
        <v>0</v>
      </c>
      <c r="Q90" s="170">
        <f t="shared" si="95"/>
        <v>0</v>
      </c>
      <c r="R90" s="170">
        <f t="shared" si="95"/>
        <v>0</v>
      </c>
      <c r="S90" s="170">
        <f t="shared" si="95"/>
        <v>0</v>
      </c>
      <c r="T90" s="170">
        <f t="shared" si="95"/>
        <v>0</v>
      </c>
      <c r="U90" s="136"/>
      <c r="V90" s="97"/>
      <c r="Z90" s="65">
        <f>ROUND(+I90*1/12*VLOOKUP($D90,LGFMBO,3,FALSE),2)</f>
        <v>0</v>
      </c>
      <c r="AA90" s="65">
        <f t="shared" ref="AA90:AA102" si="96">ROUND(+J90*1/12*VLOOKUP($D90,LGFMBO,3,FALSE),2)</f>
        <v>0</v>
      </c>
      <c r="AB90" s="65">
        <f t="shared" ref="AB90:AB102" si="97">ROUND(+K90*1/12*VLOOKUP($D90,LGFMBO,3,FALSE),2)</f>
        <v>0</v>
      </c>
      <c r="AC90" s="65">
        <f t="shared" ref="AC90:AC102" si="98">ROUND(+L90*1/12*VLOOKUP($D90,LGFMBO,3,FALSE),2)</f>
        <v>0</v>
      </c>
      <c r="AD90" s="65">
        <f t="shared" ref="AD90:AD102" si="99">ROUND(+M90*1/12*VLOOKUP($D90,LGFMBO,3,FALSE),2)</f>
        <v>0</v>
      </c>
      <c r="AE90" s="65">
        <f t="shared" ref="AE90:AE102" si="100">ROUND(+N90*1/12*VLOOKUP($D90,LGFMBO,3,FALSE),2)</f>
        <v>0</v>
      </c>
      <c r="AF90" s="65">
        <f t="shared" ref="AF90:AF102" si="101">ROUND(+O90*1/12*VLOOKUP($D90,LGFMBO,3,FALSE),2)</f>
        <v>0</v>
      </c>
      <c r="AG90" s="65">
        <f t="shared" ref="AG90:AG102" si="102">ROUND(+P90*1/12*VLOOKUP($D90,LGFMBO,3,FALSE),2)</f>
        <v>0</v>
      </c>
      <c r="AH90" s="65">
        <f t="shared" ref="AH90:AH102" si="103">ROUND(+Q90*1/12*VLOOKUP($D90,LGFMBO,3,FALSE),2)</f>
        <v>0</v>
      </c>
      <c r="AI90" s="65">
        <f t="shared" ref="AI90:AI102" si="104">ROUND(+R90*1/12*VLOOKUP($D90,LGFMBO,3,FALSE),2)</f>
        <v>0</v>
      </c>
      <c r="AJ90" s="65">
        <f t="shared" ref="AJ90:AJ102" si="105">ROUND(+S90*1/12*VLOOKUP($D90,LGFMBO,3,FALSE),2)</f>
        <v>0</v>
      </c>
      <c r="AK90" s="65">
        <f t="shared" ref="AK90:AK102" si="106">ROUND(+T90*1/12*VLOOKUP($D90,LGFMBO,3,FALSE),2)</f>
        <v>0</v>
      </c>
      <c r="AL90" s="220"/>
      <c r="AM90" s="220">
        <f t="shared" ref="AM90:AM102" si="107">ROUND(+I90*1/12*VLOOKUP($D90,LGFMBO,5,FALSE),2)</f>
        <v>0</v>
      </c>
      <c r="AN90" s="220">
        <f t="shared" ref="AN90:AN102" si="108">ROUND(+J90*1/12*VLOOKUP($D90,LGFMBO,5,FALSE),2)</f>
        <v>0</v>
      </c>
      <c r="AO90" s="220">
        <f t="shared" ref="AO90:AO102" si="109">ROUND(+K90*1/12*VLOOKUP($D90,LGFMBO,5,FALSE),2)</f>
        <v>0</v>
      </c>
      <c r="AP90" s="220">
        <f t="shared" ref="AP90:AP102" si="110">ROUND(+L90*1/12*VLOOKUP($D90,LGFMBO,5,FALSE),2)</f>
        <v>0</v>
      </c>
      <c r="AQ90" s="220">
        <f t="shared" ref="AQ90:AQ102" si="111">ROUND(+M90*1/12*VLOOKUP($D90,LGFMBO,5,FALSE),2)</f>
        <v>0</v>
      </c>
      <c r="AR90" s="220">
        <f t="shared" ref="AR90:AR102" si="112">ROUND(+N90*1/12*VLOOKUP($D90,LGFMBO,5,FALSE),2)</f>
        <v>0</v>
      </c>
      <c r="AS90" s="220">
        <f t="shared" ref="AS90:AS102" si="113">ROUND(+O90*1/12*VLOOKUP($D90,LGFMBO,5,FALSE),2)</f>
        <v>0</v>
      </c>
      <c r="AT90" s="220">
        <f t="shared" ref="AT90:AT102" si="114">ROUND(+P90*1/12*VLOOKUP($D90,LGFMBO,5,FALSE),2)</f>
        <v>0</v>
      </c>
      <c r="AU90" s="220">
        <f t="shared" ref="AU90:AU102" si="115">ROUND(+Q90*1/12*VLOOKUP($D90,LGFMBO,5,FALSE),2)</f>
        <v>0</v>
      </c>
      <c r="AV90" s="220">
        <f t="shared" ref="AV90:AV102" si="116">ROUND(+R90*1/12*VLOOKUP($D90,LGFMBO,5,FALSE),2)</f>
        <v>0</v>
      </c>
      <c r="AW90" s="220">
        <f t="shared" ref="AW90:AW102" si="117">ROUND(+S90*1/12*VLOOKUP($D90,LGFMBO,5,FALSE),2)</f>
        <v>0</v>
      </c>
      <c r="AX90" s="65">
        <f t="shared" ref="AX90:AX102" si="118">ROUND(+T90*1/12*VLOOKUP($D90,LGFMBO,5,FALSE),2)</f>
        <v>0</v>
      </c>
    </row>
    <row r="91" spans="2:50">
      <c r="B91" s="92"/>
      <c r="C91" s="131"/>
      <c r="D91" s="133" t="s">
        <v>108</v>
      </c>
      <c r="E91" s="133"/>
      <c r="F91" s="133" t="s">
        <v>285</v>
      </c>
      <c r="G91" s="243">
        <f t="shared" si="94"/>
        <v>0</v>
      </c>
      <c r="H91" s="234"/>
      <c r="I91" s="170">
        <v>0</v>
      </c>
      <c r="J91" s="170">
        <f t="shared" ref="J91:T102" si="119">+I91</f>
        <v>0</v>
      </c>
      <c r="K91" s="170">
        <f t="shared" si="119"/>
        <v>0</v>
      </c>
      <c r="L91" s="170">
        <f t="shared" si="119"/>
        <v>0</v>
      </c>
      <c r="M91" s="170">
        <f t="shared" si="119"/>
        <v>0</v>
      </c>
      <c r="N91" s="170">
        <f t="shared" si="119"/>
        <v>0</v>
      </c>
      <c r="O91" s="170">
        <f t="shared" si="119"/>
        <v>0</v>
      </c>
      <c r="P91" s="170">
        <f t="shared" si="119"/>
        <v>0</v>
      </c>
      <c r="Q91" s="170">
        <f t="shared" si="119"/>
        <v>0</v>
      </c>
      <c r="R91" s="170">
        <f t="shared" si="119"/>
        <v>0</v>
      </c>
      <c r="S91" s="170">
        <f t="shared" si="119"/>
        <v>0</v>
      </c>
      <c r="T91" s="170">
        <f t="shared" si="119"/>
        <v>0</v>
      </c>
      <c r="U91" s="136"/>
      <c r="V91" s="97"/>
      <c r="Z91" s="65">
        <f t="shared" ref="Z91:Z102" si="120">ROUND(+I91*1/12*VLOOKUP($D91,LGFMBO,3,FALSE),2)</f>
        <v>0</v>
      </c>
      <c r="AA91" s="65">
        <f t="shared" si="96"/>
        <v>0</v>
      </c>
      <c r="AB91" s="65">
        <f t="shared" si="97"/>
        <v>0</v>
      </c>
      <c r="AC91" s="65">
        <f t="shared" si="98"/>
        <v>0</v>
      </c>
      <c r="AD91" s="65">
        <f t="shared" si="99"/>
        <v>0</v>
      </c>
      <c r="AE91" s="65">
        <f t="shared" si="100"/>
        <v>0</v>
      </c>
      <c r="AF91" s="65">
        <f t="shared" si="101"/>
        <v>0</v>
      </c>
      <c r="AG91" s="65">
        <f t="shared" si="102"/>
        <v>0</v>
      </c>
      <c r="AH91" s="65">
        <f t="shared" si="103"/>
        <v>0</v>
      </c>
      <c r="AI91" s="65">
        <f t="shared" si="104"/>
        <v>0</v>
      </c>
      <c r="AJ91" s="65">
        <f t="shared" si="105"/>
        <v>0</v>
      </c>
      <c r="AK91" s="65">
        <f t="shared" si="106"/>
        <v>0</v>
      </c>
      <c r="AL91" s="220"/>
      <c r="AM91" s="220">
        <f t="shared" si="107"/>
        <v>0</v>
      </c>
      <c r="AN91" s="220">
        <f t="shared" si="108"/>
        <v>0</v>
      </c>
      <c r="AO91" s="220">
        <f t="shared" si="109"/>
        <v>0</v>
      </c>
      <c r="AP91" s="220">
        <f t="shared" si="110"/>
        <v>0</v>
      </c>
      <c r="AQ91" s="220">
        <f t="shared" si="111"/>
        <v>0</v>
      </c>
      <c r="AR91" s="220">
        <f t="shared" si="112"/>
        <v>0</v>
      </c>
      <c r="AS91" s="220">
        <f t="shared" si="113"/>
        <v>0</v>
      </c>
      <c r="AT91" s="220">
        <f t="shared" si="114"/>
        <v>0</v>
      </c>
      <c r="AU91" s="220">
        <f t="shared" si="115"/>
        <v>0</v>
      </c>
      <c r="AV91" s="220">
        <f t="shared" si="116"/>
        <v>0</v>
      </c>
      <c r="AW91" s="220">
        <f t="shared" si="117"/>
        <v>0</v>
      </c>
      <c r="AX91" s="65">
        <f t="shared" si="118"/>
        <v>0</v>
      </c>
    </row>
    <row r="92" spans="2:50">
      <c r="B92" s="92"/>
      <c r="C92" s="131"/>
      <c r="D92" s="133" t="s">
        <v>109</v>
      </c>
      <c r="E92" s="133"/>
      <c r="F92" s="133" t="s">
        <v>285</v>
      </c>
      <c r="G92" s="243">
        <f t="shared" si="94"/>
        <v>0</v>
      </c>
      <c r="H92" s="234"/>
      <c r="I92" s="170">
        <v>0</v>
      </c>
      <c r="J92" s="170">
        <f t="shared" si="119"/>
        <v>0</v>
      </c>
      <c r="K92" s="170">
        <f t="shared" si="119"/>
        <v>0</v>
      </c>
      <c r="L92" s="170">
        <f t="shared" si="119"/>
        <v>0</v>
      </c>
      <c r="M92" s="170">
        <f t="shared" si="119"/>
        <v>0</v>
      </c>
      <c r="N92" s="170">
        <f t="shared" si="119"/>
        <v>0</v>
      </c>
      <c r="O92" s="170">
        <f t="shared" si="119"/>
        <v>0</v>
      </c>
      <c r="P92" s="170">
        <f t="shared" si="119"/>
        <v>0</v>
      </c>
      <c r="Q92" s="170">
        <f t="shared" si="119"/>
        <v>0</v>
      </c>
      <c r="R92" s="170">
        <f t="shared" si="119"/>
        <v>0</v>
      </c>
      <c r="S92" s="170">
        <f t="shared" si="119"/>
        <v>0</v>
      </c>
      <c r="T92" s="170">
        <f t="shared" si="119"/>
        <v>0</v>
      </c>
      <c r="U92" s="136"/>
      <c r="V92" s="97"/>
      <c r="Z92" s="65">
        <f t="shared" si="120"/>
        <v>0</v>
      </c>
      <c r="AA92" s="65">
        <f t="shared" si="96"/>
        <v>0</v>
      </c>
      <c r="AB92" s="65">
        <f t="shared" si="97"/>
        <v>0</v>
      </c>
      <c r="AC92" s="65">
        <f t="shared" si="98"/>
        <v>0</v>
      </c>
      <c r="AD92" s="65">
        <f t="shared" si="99"/>
        <v>0</v>
      </c>
      <c r="AE92" s="65">
        <f t="shared" si="100"/>
        <v>0</v>
      </c>
      <c r="AF92" s="65">
        <f t="shared" si="101"/>
        <v>0</v>
      </c>
      <c r="AG92" s="65">
        <f t="shared" si="102"/>
        <v>0</v>
      </c>
      <c r="AH92" s="65">
        <f t="shared" si="103"/>
        <v>0</v>
      </c>
      <c r="AI92" s="65">
        <f t="shared" si="104"/>
        <v>0</v>
      </c>
      <c r="AJ92" s="65">
        <f t="shared" si="105"/>
        <v>0</v>
      </c>
      <c r="AK92" s="65">
        <f t="shared" si="106"/>
        <v>0</v>
      </c>
      <c r="AL92" s="220"/>
      <c r="AM92" s="220">
        <f t="shared" si="107"/>
        <v>0</v>
      </c>
      <c r="AN92" s="220">
        <f t="shared" si="108"/>
        <v>0</v>
      </c>
      <c r="AO92" s="220">
        <f t="shared" si="109"/>
        <v>0</v>
      </c>
      <c r="AP92" s="220">
        <f t="shared" si="110"/>
        <v>0</v>
      </c>
      <c r="AQ92" s="220">
        <f t="shared" si="111"/>
        <v>0</v>
      </c>
      <c r="AR92" s="220">
        <f t="shared" si="112"/>
        <v>0</v>
      </c>
      <c r="AS92" s="220">
        <f t="shared" si="113"/>
        <v>0</v>
      </c>
      <c r="AT92" s="220">
        <f t="shared" si="114"/>
        <v>0</v>
      </c>
      <c r="AU92" s="220">
        <f t="shared" si="115"/>
        <v>0</v>
      </c>
      <c r="AV92" s="220">
        <f t="shared" si="116"/>
        <v>0</v>
      </c>
      <c r="AW92" s="220">
        <f t="shared" si="117"/>
        <v>0</v>
      </c>
      <c r="AX92" s="65">
        <f t="shared" si="118"/>
        <v>0</v>
      </c>
    </row>
    <row r="93" spans="2:50">
      <c r="B93" s="92"/>
      <c r="C93" s="131"/>
      <c r="D93" s="133" t="s">
        <v>110</v>
      </c>
      <c r="E93" s="133"/>
      <c r="F93" s="133" t="s">
        <v>285</v>
      </c>
      <c r="G93" s="243">
        <f t="shared" si="94"/>
        <v>0</v>
      </c>
      <c r="H93" s="234"/>
      <c r="I93" s="170">
        <v>0</v>
      </c>
      <c r="J93" s="170">
        <f t="shared" si="119"/>
        <v>0</v>
      </c>
      <c r="K93" s="170">
        <f t="shared" si="119"/>
        <v>0</v>
      </c>
      <c r="L93" s="170">
        <f t="shared" si="119"/>
        <v>0</v>
      </c>
      <c r="M93" s="170">
        <f t="shared" si="119"/>
        <v>0</v>
      </c>
      <c r="N93" s="170">
        <f t="shared" si="119"/>
        <v>0</v>
      </c>
      <c r="O93" s="170">
        <f t="shared" si="119"/>
        <v>0</v>
      </c>
      <c r="P93" s="170">
        <f t="shared" si="119"/>
        <v>0</v>
      </c>
      <c r="Q93" s="170">
        <f t="shared" si="119"/>
        <v>0</v>
      </c>
      <c r="R93" s="170">
        <f t="shared" si="119"/>
        <v>0</v>
      </c>
      <c r="S93" s="170">
        <f t="shared" si="119"/>
        <v>0</v>
      </c>
      <c r="T93" s="170">
        <f t="shared" si="119"/>
        <v>0</v>
      </c>
      <c r="U93" s="136"/>
      <c r="V93" s="97"/>
      <c r="Z93" s="65">
        <f t="shared" si="120"/>
        <v>0</v>
      </c>
      <c r="AA93" s="65">
        <f t="shared" si="96"/>
        <v>0</v>
      </c>
      <c r="AB93" s="65">
        <f t="shared" si="97"/>
        <v>0</v>
      </c>
      <c r="AC93" s="65">
        <f t="shared" si="98"/>
        <v>0</v>
      </c>
      <c r="AD93" s="65">
        <f t="shared" si="99"/>
        <v>0</v>
      </c>
      <c r="AE93" s="65">
        <f t="shared" si="100"/>
        <v>0</v>
      </c>
      <c r="AF93" s="65">
        <f t="shared" si="101"/>
        <v>0</v>
      </c>
      <c r="AG93" s="65">
        <f t="shared" si="102"/>
        <v>0</v>
      </c>
      <c r="AH93" s="65">
        <f t="shared" si="103"/>
        <v>0</v>
      </c>
      <c r="AI93" s="65">
        <f t="shared" si="104"/>
        <v>0</v>
      </c>
      <c r="AJ93" s="65">
        <f t="shared" si="105"/>
        <v>0</v>
      </c>
      <c r="AK93" s="65">
        <f t="shared" si="106"/>
        <v>0</v>
      </c>
      <c r="AL93" s="220"/>
      <c r="AM93" s="220">
        <f t="shared" si="107"/>
        <v>0</v>
      </c>
      <c r="AN93" s="220">
        <f t="shared" si="108"/>
        <v>0</v>
      </c>
      <c r="AO93" s="220">
        <f t="shared" si="109"/>
        <v>0</v>
      </c>
      <c r="AP93" s="220">
        <f t="shared" si="110"/>
        <v>0</v>
      </c>
      <c r="AQ93" s="220">
        <f t="shared" si="111"/>
        <v>0</v>
      </c>
      <c r="AR93" s="220">
        <f t="shared" si="112"/>
        <v>0</v>
      </c>
      <c r="AS93" s="220">
        <f t="shared" si="113"/>
        <v>0</v>
      </c>
      <c r="AT93" s="220">
        <f t="shared" si="114"/>
        <v>0</v>
      </c>
      <c r="AU93" s="220">
        <f t="shared" si="115"/>
        <v>0</v>
      </c>
      <c r="AV93" s="220">
        <f t="shared" si="116"/>
        <v>0</v>
      </c>
      <c r="AW93" s="220">
        <f t="shared" si="117"/>
        <v>0</v>
      </c>
      <c r="AX93" s="65">
        <f t="shared" si="118"/>
        <v>0</v>
      </c>
    </row>
    <row r="94" spans="2:50">
      <c r="B94" s="92"/>
      <c r="C94" s="131"/>
      <c r="D94" s="133" t="s">
        <v>112</v>
      </c>
      <c r="E94" s="133"/>
      <c r="F94" s="133" t="s">
        <v>285</v>
      </c>
      <c r="G94" s="243">
        <f t="shared" si="94"/>
        <v>0</v>
      </c>
      <c r="H94" s="234"/>
      <c r="I94" s="170">
        <v>0</v>
      </c>
      <c r="J94" s="170">
        <f t="shared" si="119"/>
        <v>0</v>
      </c>
      <c r="K94" s="170">
        <f t="shared" si="119"/>
        <v>0</v>
      </c>
      <c r="L94" s="170">
        <f t="shared" si="119"/>
        <v>0</v>
      </c>
      <c r="M94" s="170">
        <f t="shared" si="119"/>
        <v>0</v>
      </c>
      <c r="N94" s="170">
        <f t="shared" si="119"/>
        <v>0</v>
      </c>
      <c r="O94" s="170">
        <f t="shared" si="119"/>
        <v>0</v>
      </c>
      <c r="P94" s="170">
        <f t="shared" si="119"/>
        <v>0</v>
      </c>
      <c r="Q94" s="170">
        <f t="shared" si="119"/>
        <v>0</v>
      </c>
      <c r="R94" s="170">
        <f t="shared" si="119"/>
        <v>0</v>
      </c>
      <c r="S94" s="170">
        <f t="shared" si="119"/>
        <v>0</v>
      </c>
      <c r="T94" s="170">
        <f t="shared" si="119"/>
        <v>0</v>
      </c>
      <c r="U94" s="136"/>
      <c r="V94" s="97"/>
      <c r="Z94" s="65">
        <f t="shared" si="120"/>
        <v>0</v>
      </c>
      <c r="AA94" s="65">
        <f t="shared" si="96"/>
        <v>0</v>
      </c>
      <c r="AB94" s="65">
        <f t="shared" si="97"/>
        <v>0</v>
      </c>
      <c r="AC94" s="65">
        <f t="shared" si="98"/>
        <v>0</v>
      </c>
      <c r="AD94" s="65">
        <f t="shared" si="99"/>
        <v>0</v>
      </c>
      <c r="AE94" s="65">
        <f t="shared" si="100"/>
        <v>0</v>
      </c>
      <c r="AF94" s="65">
        <f t="shared" si="101"/>
        <v>0</v>
      </c>
      <c r="AG94" s="65">
        <f t="shared" si="102"/>
        <v>0</v>
      </c>
      <c r="AH94" s="65">
        <f t="shared" si="103"/>
        <v>0</v>
      </c>
      <c r="AI94" s="65">
        <f t="shared" si="104"/>
        <v>0</v>
      </c>
      <c r="AJ94" s="65">
        <f t="shared" si="105"/>
        <v>0</v>
      </c>
      <c r="AK94" s="65">
        <f t="shared" si="106"/>
        <v>0</v>
      </c>
      <c r="AL94" s="220"/>
      <c r="AM94" s="220">
        <f t="shared" si="107"/>
        <v>0</v>
      </c>
      <c r="AN94" s="220">
        <f t="shared" si="108"/>
        <v>0</v>
      </c>
      <c r="AO94" s="220">
        <f t="shared" si="109"/>
        <v>0</v>
      </c>
      <c r="AP94" s="220">
        <f t="shared" si="110"/>
        <v>0</v>
      </c>
      <c r="AQ94" s="220">
        <f t="shared" si="111"/>
        <v>0</v>
      </c>
      <c r="AR94" s="220">
        <f t="shared" si="112"/>
        <v>0</v>
      </c>
      <c r="AS94" s="220">
        <f t="shared" si="113"/>
        <v>0</v>
      </c>
      <c r="AT94" s="220">
        <f t="shared" si="114"/>
        <v>0</v>
      </c>
      <c r="AU94" s="220">
        <f t="shared" si="115"/>
        <v>0</v>
      </c>
      <c r="AV94" s="220">
        <f t="shared" si="116"/>
        <v>0</v>
      </c>
      <c r="AW94" s="220">
        <f t="shared" si="117"/>
        <v>0</v>
      </c>
      <c r="AX94" s="65">
        <f t="shared" si="118"/>
        <v>0</v>
      </c>
    </row>
    <row r="95" spans="2:50">
      <c r="B95" s="92"/>
      <c r="C95" s="131"/>
      <c r="D95" s="133" t="s">
        <v>113</v>
      </c>
      <c r="E95" s="133"/>
      <c r="F95" s="133" t="s">
        <v>285</v>
      </c>
      <c r="G95" s="243">
        <f t="shared" si="94"/>
        <v>0</v>
      </c>
      <c r="H95" s="234"/>
      <c r="I95" s="170">
        <v>0</v>
      </c>
      <c r="J95" s="170">
        <f t="shared" si="119"/>
        <v>0</v>
      </c>
      <c r="K95" s="170">
        <f t="shared" si="119"/>
        <v>0</v>
      </c>
      <c r="L95" s="170">
        <f t="shared" si="119"/>
        <v>0</v>
      </c>
      <c r="M95" s="170">
        <f t="shared" si="119"/>
        <v>0</v>
      </c>
      <c r="N95" s="170">
        <f t="shared" si="119"/>
        <v>0</v>
      </c>
      <c r="O95" s="170">
        <f t="shared" si="119"/>
        <v>0</v>
      </c>
      <c r="P95" s="170">
        <f t="shared" si="119"/>
        <v>0</v>
      </c>
      <c r="Q95" s="170">
        <f t="shared" si="119"/>
        <v>0</v>
      </c>
      <c r="R95" s="170">
        <f t="shared" si="119"/>
        <v>0</v>
      </c>
      <c r="S95" s="170">
        <f t="shared" si="119"/>
        <v>0</v>
      </c>
      <c r="T95" s="170">
        <f t="shared" si="119"/>
        <v>0</v>
      </c>
      <c r="U95" s="136"/>
      <c r="V95" s="97"/>
      <c r="Z95" s="65">
        <f t="shared" si="120"/>
        <v>0</v>
      </c>
      <c r="AA95" s="65">
        <f t="shared" si="96"/>
        <v>0</v>
      </c>
      <c r="AB95" s="65">
        <f t="shared" si="97"/>
        <v>0</v>
      </c>
      <c r="AC95" s="65">
        <f t="shared" si="98"/>
        <v>0</v>
      </c>
      <c r="AD95" s="65">
        <f t="shared" si="99"/>
        <v>0</v>
      </c>
      <c r="AE95" s="65">
        <f t="shared" si="100"/>
        <v>0</v>
      </c>
      <c r="AF95" s="65">
        <f t="shared" si="101"/>
        <v>0</v>
      </c>
      <c r="AG95" s="65">
        <f t="shared" si="102"/>
        <v>0</v>
      </c>
      <c r="AH95" s="65">
        <f t="shared" si="103"/>
        <v>0</v>
      </c>
      <c r="AI95" s="65">
        <f t="shared" si="104"/>
        <v>0</v>
      </c>
      <c r="AJ95" s="65">
        <f t="shared" si="105"/>
        <v>0</v>
      </c>
      <c r="AK95" s="65">
        <f t="shared" si="106"/>
        <v>0</v>
      </c>
      <c r="AL95" s="220"/>
      <c r="AM95" s="220">
        <f t="shared" si="107"/>
        <v>0</v>
      </c>
      <c r="AN95" s="220">
        <f t="shared" si="108"/>
        <v>0</v>
      </c>
      <c r="AO95" s="220">
        <f t="shared" si="109"/>
        <v>0</v>
      </c>
      <c r="AP95" s="220">
        <f t="shared" si="110"/>
        <v>0</v>
      </c>
      <c r="AQ95" s="220">
        <f t="shared" si="111"/>
        <v>0</v>
      </c>
      <c r="AR95" s="220">
        <f t="shared" si="112"/>
        <v>0</v>
      </c>
      <c r="AS95" s="220">
        <f t="shared" si="113"/>
        <v>0</v>
      </c>
      <c r="AT95" s="220">
        <f t="shared" si="114"/>
        <v>0</v>
      </c>
      <c r="AU95" s="220">
        <f t="shared" si="115"/>
        <v>0</v>
      </c>
      <c r="AV95" s="220">
        <f t="shared" si="116"/>
        <v>0</v>
      </c>
      <c r="AW95" s="220">
        <f t="shared" si="117"/>
        <v>0</v>
      </c>
      <c r="AX95" s="65">
        <f t="shared" si="118"/>
        <v>0</v>
      </c>
    </row>
    <row r="96" spans="2:50">
      <c r="B96" s="92"/>
      <c r="C96" s="131"/>
      <c r="D96" s="133" t="s">
        <v>111</v>
      </c>
      <c r="E96" s="133"/>
      <c r="F96" s="133" t="s">
        <v>285</v>
      </c>
      <c r="G96" s="243">
        <f t="shared" si="94"/>
        <v>0</v>
      </c>
      <c r="H96" s="234"/>
      <c r="I96" s="170">
        <v>0</v>
      </c>
      <c r="J96" s="170">
        <f t="shared" si="119"/>
        <v>0</v>
      </c>
      <c r="K96" s="170">
        <f t="shared" si="119"/>
        <v>0</v>
      </c>
      <c r="L96" s="170">
        <f t="shared" si="119"/>
        <v>0</v>
      </c>
      <c r="M96" s="170">
        <f t="shared" si="119"/>
        <v>0</v>
      </c>
      <c r="N96" s="170">
        <f t="shared" si="119"/>
        <v>0</v>
      </c>
      <c r="O96" s="170">
        <f t="shared" si="119"/>
        <v>0</v>
      </c>
      <c r="P96" s="170">
        <f t="shared" si="119"/>
        <v>0</v>
      </c>
      <c r="Q96" s="170">
        <f t="shared" si="119"/>
        <v>0</v>
      </c>
      <c r="R96" s="170">
        <f t="shared" si="119"/>
        <v>0</v>
      </c>
      <c r="S96" s="170">
        <f t="shared" si="119"/>
        <v>0</v>
      </c>
      <c r="T96" s="170">
        <f t="shared" si="119"/>
        <v>0</v>
      </c>
      <c r="U96" s="136"/>
      <c r="V96" s="97"/>
      <c r="Z96" s="65">
        <f t="shared" si="120"/>
        <v>0</v>
      </c>
      <c r="AA96" s="65">
        <f t="shared" si="96"/>
        <v>0</v>
      </c>
      <c r="AB96" s="65">
        <f t="shared" si="97"/>
        <v>0</v>
      </c>
      <c r="AC96" s="65">
        <f t="shared" si="98"/>
        <v>0</v>
      </c>
      <c r="AD96" s="65">
        <f t="shared" si="99"/>
        <v>0</v>
      </c>
      <c r="AE96" s="65">
        <f t="shared" si="100"/>
        <v>0</v>
      </c>
      <c r="AF96" s="65">
        <f t="shared" si="101"/>
        <v>0</v>
      </c>
      <c r="AG96" s="65">
        <f t="shared" si="102"/>
        <v>0</v>
      </c>
      <c r="AH96" s="65">
        <f t="shared" si="103"/>
        <v>0</v>
      </c>
      <c r="AI96" s="65">
        <f t="shared" si="104"/>
        <v>0</v>
      </c>
      <c r="AJ96" s="65">
        <f t="shared" si="105"/>
        <v>0</v>
      </c>
      <c r="AK96" s="65">
        <f t="shared" si="106"/>
        <v>0</v>
      </c>
      <c r="AL96" s="220"/>
      <c r="AM96" s="220">
        <f t="shared" si="107"/>
        <v>0</v>
      </c>
      <c r="AN96" s="220">
        <f t="shared" si="108"/>
        <v>0</v>
      </c>
      <c r="AO96" s="220">
        <f t="shared" si="109"/>
        <v>0</v>
      </c>
      <c r="AP96" s="220">
        <f t="shared" si="110"/>
        <v>0</v>
      </c>
      <c r="AQ96" s="220">
        <f t="shared" si="111"/>
        <v>0</v>
      </c>
      <c r="AR96" s="220">
        <f t="shared" si="112"/>
        <v>0</v>
      </c>
      <c r="AS96" s="220">
        <f t="shared" si="113"/>
        <v>0</v>
      </c>
      <c r="AT96" s="220">
        <f t="shared" si="114"/>
        <v>0</v>
      </c>
      <c r="AU96" s="220">
        <f t="shared" si="115"/>
        <v>0</v>
      </c>
      <c r="AV96" s="220">
        <f t="shared" si="116"/>
        <v>0</v>
      </c>
      <c r="AW96" s="220">
        <f t="shared" si="117"/>
        <v>0</v>
      </c>
      <c r="AX96" s="65">
        <f t="shared" si="118"/>
        <v>0</v>
      </c>
    </row>
    <row r="97" spans="2:50">
      <c r="B97" s="92"/>
      <c r="C97" s="131"/>
      <c r="D97" s="133" t="s">
        <v>114</v>
      </c>
      <c r="E97" s="133"/>
      <c r="F97" s="133" t="s">
        <v>285</v>
      </c>
      <c r="G97" s="243">
        <f t="shared" si="94"/>
        <v>0</v>
      </c>
      <c r="H97" s="234"/>
      <c r="I97" s="170">
        <v>0</v>
      </c>
      <c r="J97" s="170">
        <f t="shared" si="119"/>
        <v>0</v>
      </c>
      <c r="K97" s="170">
        <f t="shared" si="119"/>
        <v>0</v>
      </c>
      <c r="L97" s="170">
        <f t="shared" si="119"/>
        <v>0</v>
      </c>
      <c r="M97" s="170">
        <f t="shared" si="119"/>
        <v>0</v>
      </c>
      <c r="N97" s="170">
        <f t="shared" si="119"/>
        <v>0</v>
      </c>
      <c r="O97" s="170">
        <f t="shared" si="119"/>
        <v>0</v>
      </c>
      <c r="P97" s="170">
        <f t="shared" si="119"/>
        <v>0</v>
      </c>
      <c r="Q97" s="170">
        <f t="shared" si="119"/>
        <v>0</v>
      </c>
      <c r="R97" s="170">
        <f t="shared" si="119"/>
        <v>0</v>
      </c>
      <c r="S97" s="170">
        <f t="shared" si="119"/>
        <v>0</v>
      </c>
      <c r="T97" s="170">
        <f t="shared" si="119"/>
        <v>0</v>
      </c>
      <c r="U97" s="136"/>
      <c r="V97" s="97"/>
      <c r="Z97" s="65">
        <f t="shared" si="120"/>
        <v>0</v>
      </c>
      <c r="AA97" s="65">
        <f t="shared" si="96"/>
        <v>0</v>
      </c>
      <c r="AB97" s="65">
        <f t="shared" si="97"/>
        <v>0</v>
      </c>
      <c r="AC97" s="65">
        <f t="shared" si="98"/>
        <v>0</v>
      </c>
      <c r="AD97" s="65">
        <f t="shared" si="99"/>
        <v>0</v>
      </c>
      <c r="AE97" s="65">
        <f t="shared" si="100"/>
        <v>0</v>
      </c>
      <c r="AF97" s="65">
        <f t="shared" si="101"/>
        <v>0</v>
      </c>
      <c r="AG97" s="65">
        <f t="shared" si="102"/>
        <v>0</v>
      </c>
      <c r="AH97" s="65">
        <f t="shared" si="103"/>
        <v>0</v>
      </c>
      <c r="AI97" s="65">
        <f t="shared" si="104"/>
        <v>0</v>
      </c>
      <c r="AJ97" s="65">
        <f t="shared" si="105"/>
        <v>0</v>
      </c>
      <c r="AK97" s="65">
        <f t="shared" si="106"/>
        <v>0</v>
      </c>
      <c r="AL97" s="220"/>
      <c r="AM97" s="220">
        <f t="shared" si="107"/>
        <v>0</v>
      </c>
      <c r="AN97" s="220">
        <f t="shared" si="108"/>
        <v>0</v>
      </c>
      <c r="AO97" s="220">
        <f t="shared" si="109"/>
        <v>0</v>
      </c>
      <c r="AP97" s="220">
        <f t="shared" si="110"/>
        <v>0</v>
      </c>
      <c r="AQ97" s="220">
        <f t="shared" si="111"/>
        <v>0</v>
      </c>
      <c r="AR97" s="220">
        <f t="shared" si="112"/>
        <v>0</v>
      </c>
      <c r="AS97" s="220">
        <f t="shared" si="113"/>
        <v>0</v>
      </c>
      <c r="AT97" s="220">
        <f t="shared" si="114"/>
        <v>0</v>
      </c>
      <c r="AU97" s="220">
        <f t="shared" si="115"/>
        <v>0</v>
      </c>
      <c r="AV97" s="220">
        <f t="shared" si="116"/>
        <v>0</v>
      </c>
      <c r="AW97" s="220">
        <f t="shared" si="117"/>
        <v>0</v>
      </c>
      <c r="AX97" s="65">
        <f t="shared" si="118"/>
        <v>0</v>
      </c>
    </row>
    <row r="98" spans="2:50">
      <c r="B98" s="92"/>
      <c r="C98" s="131"/>
      <c r="D98" s="133" t="s">
        <v>115</v>
      </c>
      <c r="E98" s="133"/>
      <c r="F98" s="133" t="s">
        <v>285</v>
      </c>
      <c r="G98" s="243">
        <f t="shared" si="94"/>
        <v>0</v>
      </c>
      <c r="H98" s="234"/>
      <c r="I98" s="170">
        <v>0</v>
      </c>
      <c r="J98" s="170">
        <f t="shared" si="119"/>
        <v>0</v>
      </c>
      <c r="K98" s="170">
        <f t="shared" si="119"/>
        <v>0</v>
      </c>
      <c r="L98" s="170">
        <f t="shared" si="119"/>
        <v>0</v>
      </c>
      <c r="M98" s="170">
        <f t="shared" si="119"/>
        <v>0</v>
      </c>
      <c r="N98" s="170">
        <f t="shared" si="119"/>
        <v>0</v>
      </c>
      <c r="O98" s="170">
        <f t="shared" si="119"/>
        <v>0</v>
      </c>
      <c r="P98" s="170">
        <f t="shared" si="119"/>
        <v>0</v>
      </c>
      <c r="Q98" s="170">
        <f t="shared" si="119"/>
        <v>0</v>
      </c>
      <c r="R98" s="170">
        <f t="shared" si="119"/>
        <v>0</v>
      </c>
      <c r="S98" s="170">
        <f t="shared" si="119"/>
        <v>0</v>
      </c>
      <c r="T98" s="170">
        <f t="shared" si="119"/>
        <v>0</v>
      </c>
      <c r="U98" s="136"/>
      <c r="V98" s="97"/>
      <c r="Z98" s="65">
        <f t="shared" si="120"/>
        <v>0</v>
      </c>
      <c r="AA98" s="65">
        <f t="shared" si="96"/>
        <v>0</v>
      </c>
      <c r="AB98" s="65">
        <f t="shared" si="97"/>
        <v>0</v>
      </c>
      <c r="AC98" s="65">
        <f t="shared" si="98"/>
        <v>0</v>
      </c>
      <c r="AD98" s="65">
        <f t="shared" si="99"/>
        <v>0</v>
      </c>
      <c r="AE98" s="65">
        <f t="shared" si="100"/>
        <v>0</v>
      </c>
      <c r="AF98" s="65">
        <f t="shared" si="101"/>
        <v>0</v>
      </c>
      <c r="AG98" s="65">
        <f t="shared" si="102"/>
        <v>0</v>
      </c>
      <c r="AH98" s="65">
        <f t="shared" si="103"/>
        <v>0</v>
      </c>
      <c r="AI98" s="65">
        <f t="shared" si="104"/>
        <v>0</v>
      </c>
      <c r="AJ98" s="65">
        <f t="shared" si="105"/>
        <v>0</v>
      </c>
      <c r="AK98" s="65">
        <f t="shared" si="106"/>
        <v>0</v>
      </c>
      <c r="AL98" s="220"/>
      <c r="AM98" s="220">
        <f t="shared" si="107"/>
        <v>0</v>
      </c>
      <c r="AN98" s="220">
        <f t="shared" si="108"/>
        <v>0</v>
      </c>
      <c r="AO98" s="220">
        <f t="shared" si="109"/>
        <v>0</v>
      </c>
      <c r="AP98" s="220">
        <f t="shared" si="110"/>
        <v>0</v>
      </c>
      <c r="AQ98" s="220">
        <f t="shared" si="111"/>
        <v>0</v>
      </c>
      <c r="AR98" s="220">
        <f t="shared" si="112"/>
        <v>0</v>
      </c>
      <c r="AS98" s="220">
        <f t="shared" si="113"/>
        <v>0</v>
      </c>
      <c r="AT98" s="220">
        <f t="shared" si="114"/>
        <v>0</v>
      </c>
      <c r="AU98" s="220">
        <f t="shared" si="115"/>
        <v>0</v>
      </c>
      <c r="AV98" s="220">
        <f t="shared" si="116"/>
        <v>0</v>
      </c>
      <c r="AW98" s="220">
        <f t="shared" si="117"/>
        <v>0</v>
      </c>
      <c r="AX98" s="65">
        <f t="shared" si="118"/>
        <v>0</v>
      </c>
    </row>
    <row r="99" spans="2:50">
      <c r="B99" s="92"/>
      <c r="C99" s="131"/>
      <c r="D99" s="133" t="s">
        <v>117</v>
      </c>
      <c r="E99" s="133"/>
      <c r="F99" s="133" t="s">
        <v>285</v>
      </c>
      <c r="G99" s="243">
        <f t="shared" si="94"/>
        <v>0</v>
      </c>
      <c r="H99" s="234"/>
      <c r="I99" s="170">
        <v>0</v>
      </c>
      <c r="J99" s="170">
        <f t="shared" si="119"/>
        <v>0</v>
      </c>
      <c r="K99" s="170">
        <f t="shared" si="119"/>
        <v>0</v>
      </c>
      <c r="L99" s="170">
        <f t="shared" si="119"/>
        <v>0</v>
      </c>
      <c r="M99" s="170">
        <f t="shared" si="119"/>
        <v>0</v>
      </c>
      <c r="N99" s="170">
        <f t="shared" si="119"/>
        <v>0</v>
      </c>
      <c r="O99" s="170">
        <f t="shared" si="119"/>
        <v>0</v>
      </c>
      <c r="P99" s="170">
        <f t="shared" si="119"/>
        <v>0</v>
      </c>
      <c r="Q99" s="170">
        <f t="shared" si="119"/>
        <v>0</v>
      </c>
      <c r="R99" s="170">
        <f t="shared" si="119"/>
        <v>0</v>
      </c>
      <c r="S99" s="170">
        <f t="shared" si="119"/>
        <v>0</v>
      </c>
      <c r="T99" s="170">
        <f t="shared" si="119"/>
        <v>0</v>
      </c>
      <c r="U99" s="136"/>
      <c r="V99" s="97"/>
      <c r="Z99" s="65">
        <f t="shared" si="120"/>
        <v>0</v>
      </c>
      <c r="AA99" s="65">
        <f t="shared" si="96"/>
        <v>0</v>
      </c>
      <c r="AB99" s="65">
        <f t="shared" si="97"/>
        <v>0</v>
      </c>
      <c r="AC99" s="65">
        <f t="shared" si="98"/>
        <v>0</v>
      </c>
      <c r="AD99" s="65">
        <f t="shared" si="99"/>
        <v>0</v>
      </c>
      <c r="AE99" s="65">
        <f t="shared" si="100"/>
        <v>0</v>
      </c>
      <c r="AF99" s="65">
        <f t="shared" si="101"/>
        <v>0</v>
      </c>
      <c r="AG99" s="65">
        <f t="shared" si="102"/>
        <v>0</v>
      </c>
      <c r="AH99" s="65">
        <f t="shared" si="103"/>
        <v>0</v>
      </c>
      <c r="AI99" s="65">
        <f t="shared" si="104"/>
        <v>0</v>
      </c>
      <c r="AJ99" s="65">
        <f t="shared" si="105"/>
        <v>0</v>
      </c>
      <c r="AK99" s="65">
        <f t="shared" si="106"/>
        <v>0</v>
      </c>
      <c r="AL99" s="220"/>
      <c r="AM99" s="220">
        <f t="shared" si="107"/>
        <v>0</v>
      </c>
      <c r="AN99" s="220">
        <f t="shared" si="108"/>
        <v>0</v>
      </c>
      <c r="AO99" s="220">
        <f t="shared" si="109"/>
        <v>0</v>
      </c>
      <c r="AP99" s="220">
        <f t="shared" si="110"/>
        <v>0</v>
      </c>
      <c r="AQ99" s="220">
        <f t="shared" si="111"/>
        <v>0</v>
      </c>
      <c r="AR99" s="220">
        <f t="shared" si="112"/>
        <v>0</v>
      </c>
      <c r="AS99" s="220">
        <f t="shared" si="113"/>
        <v>0</v>
      </c>
      <c r="AT99" s="220">
        <f t="shared" si="114"/>
        <v>0</v>
      </c>
      <c r="AU99" s="220">
        <f t="shared" si="115"/>
        <v>0</v>
      </c>
      <c r="AV99" s="220">
        <f t="shared" si="116"/>
        <v>0</v>
      </c>
      <c r="AW99" s="220">
        <f t="shared" si="117"/>
        <v>0</v>
      </c>
      <c r="AX99" s="65">
        <f t="shared" si="118"/>
        <v>0</v>
      </c>
    </row>
    <row r="100" spans="2:50">
      <c r="B100" s="92"/>
      <c r="C100" s="131"/>
      <c r="D100" s="133" t="s">
        <v>118</v>
      </c>
      <c r="E100" s="133"/>
      <c r="F100" s="133" t="s">
        <v>285</v>
      </c>
      <c r="G100" s="243">
        <f t="shared" si="94"/>
        <v>0</v>
      </c>
      <c r="H100" s="234"/>
      <c r="I100" s="170">
        <v>0</v>
      </c>
      <c r="J100" s="170">
        <f t="shared" si="119"/>
        <v>0</v>
      </c>
      <c r="K100" s="170">
        <f t="shared" si="119"/>
        <v>0</v>
      </c>
      <c r="L100" s="170">
        <f t="shared" si="119"/>
        <v>0</v>
      </c>
      <c r="M100" s="170">
        <f t="shared" si="119"/>
        <v>0</v>
      </c>
      <c r="N100" s="170">
        <f t="shared" si="119"/>
        <v>0</v>
      </c>
      <c r="O100" s="170">
        <f t="shared" si="119"/>
        <v>0</v>
      </c>
      <c r="P100" s="170">
        <f t="shared" si="119"/>
        <v>0</v>
      </c>
      <c r="Q100" s="170">
        <f t="shared" si="119"/>
        <v>0</v>
      </c>
      <c r="R100" s="170">
        <f t="shared" si="119"/>
        <v>0</v>
      </c>
      <c r="S100" s="170">
        <f t="shared" si="119"/>
        <v>0</v>
      </c>
      <c r="T100" s="170">
        <f t="shared" si="119"/>
        <v>0</v>
      </c>
      <c r="U100" s="136"/>
      <c r="V100" s="97"/>
      <c r="Z100" s="65">
        <f t="shared" si="120"/>
        <v>0</v>
      </c>
      <c r="AA100" s="65">
        <f t="shared" si="96"/>
        <v>0</v>
      </c>
      <c r="AB100" s="65">
        <f t="shared" si="97"/>
        <v>0</v>
      </c>
      <c r="AC100" s="65">
        <f t="shared" si="98"/>
        <v>0</v>
      </c>
      <c r="AD100" s="65">
        <f t="shared" si="99"/>
        <v>0</v>
      </c>
      <c r="AE100" s="65">
        <f t="shared" si="100"/>
        <v>0</v>
      </c>
      <c r="AF100" s="65">
        <f t="shared" si="101"/>
        <v>0</v>
      </c>
      <c r="AG100" s="65">
        <f t="shared" si="102"/>
        <v>0</v>
      </c>
      <c r="AH100" s="65">
        <f t="shared" si="103"/>
        <v>0</v>
      </c>
      <c r="AI100" s="65">
        <f t="shared" si="104"/>
        <v>0</v>
      </c>
      <c r="AJ100" s="65">
        <f t="shared" si="105"/>
        <v>0</v>
      </c>
      <c r="AK100" s="65">
        <f t="shared" si="106"/>
        <v>0</v>
      </c>
      <c r="AL100" s="220"/>
      <c r="AM100" s="220">
        <f t="shared" si="107"/>
        <v>0</v>
      </c>
      <c r="AN100" s="220">
        <f t="shared" si="108"/>
        <v>0</v>
      </c>
      <c r="AO100" s="220">
        <f t="shared" si="109"/>
        <v>0</v>
      </c>
      <c r="AP100" s="220">
        <f t="shared" si="110"/>
        <v>0</v>
      </c>
      <c r="AQ100" s="220">
        <f t="shared" si="111"/>
        <v>0</v>
      </c>
      <c r="AR100" s="220">
        <f t="shared" si="112"/>
        <v>0</v>
      </c>
      <c r="AS100" s="220">
        <f t="shared" si="113"/>
        <v>0</v>
      </c>
      <c r="AT100" s="220">
        <f t="shared" si="114"/>
        <v>0</v>
      </c>
      <c r="AU100" s="220">
        <f t="shared" si="115"/>
        <v>0</v>
      </c>
      <c r="AV100" s="220">
        <f t="shared" si="116"/>
        <v>0</v>
      </c>
      <c r="AW100" s="220">
        <f t="shared" si="117"/>
        <v>0</v>
      </c>
      <c r="AX100" s="65">
        <f t="shared" si="118"/>
        <v>0</v>
      </c>
    </row>
    <row r="101" spans="2:50">
      <c r="B101" s="92"/>
      <c r="C101" s="131"/>
      <c r="D101" s="133" t="s">
        <v>116</v>
      </c>
      <c r="E101" s="133"/>
      <c r="F101" s="133" t="s">
        <v>285</v>
      </c>
      <c r="G101" s="243">
        <f t="shared" si="94"/>
        <v>0</v>
      </c>
      <c r="H101" s="234"/>
      <c r="I101" s="170">
        <v>0</v>
      </c>
      <c r="J101" s="170">
        <f t="shared" si="119"/>
        <v>0</v>
      </c>
      <c r="K101" s="170">
        <f t="shared" si="119"/>
        <v>0</v>
      </c>
      <c r="L101" s="170">
        <f t="shared" si="119"/>
        <v>0</v>
      </c>
      <c r="M101" s="170">
        <f t="shared" si="119"/>
        <v>0</v>
      </c>
      <c r="N101" s="170">
        <f t="shared" si="119"/>
        <v>0</v>
      </c>
      <c r="O101" s="170">
        <f t="shared" si="119"/>
        <v>0</v>
      </c>
      <c r="P101" s="170">
        <f t="shared" si="119"/>
        <v>0</v>
      </c>
      <c r="Q101" s="170">
        <f t="shared" si="119"/>
        <v>0</v>
      </c>
      <c r="R101" s="170">
        <f t="shared" si="119"/>
        <v>0</v>
      </c>
      <c r="S101" s="170">
        <f t="shared" si="119"/>
        <v>0</v>
      </c>
      <c r="T101" s="170">
        <f t="shared" si="119"/>
        <v>0</v>
      </c>
      <c r="U101" s="136"/>
      <c r="V101" s="97"/>
      <c r="Z101" s="65">
        <f t="shared" si="120"/>
        <v>0</v>
      </c>
      <c r="AA101" s="65">
        <f t="shared" si="96"/>
        <v>0</v>
      </c>
      <c r="AB101" s="65">
        <f t="shared" si="97"/>
        <v>0</v>
      </c>
      <c r="AC101" s="65">
        <f t="shared" si="98"/>
        <v>0</v>
      </c>
      <c r="AD101" s="65">
        <f t="shared" si="99"/>
        <v>0</v>
      </c>
      <c r="AE101" s="65">
        <f t="shared" si="100"/>
        <v>0</v>
      </c>
      <c r="AF101" s="65">
        <f t="shared" si="101"/>
        <v>0</v>
      </c>
      <c r="AG101" s="65">
        <f t="shared" si="102"/>
        <v>0</v>
      </c>
      <c r="AH101" s="65">
        <f t="shared" si="103"/>
        <v>0</v>
      </c>
      <c r="AI101" s="65">
        <f t="shared" si="104"/>
        <v>0</v>
      </c>
      <c r="AJ101" s="65">
        <f t="shared" si="105"/>
        <v>0</v>
      </c>
      <c r="AK101" s="65">
        <f t="shared" si="106"/>
        <v>0</v>
      </c>
      <c r="AL101" s="220"/>
      <c r="AM101" s="220">
        <f t="shared" si="107"/>
        <v>0</v>
      </c>
      <c r="AN101" s="220">
        <f t="shared" si="108"/>
        <v>0</v>
      </c>
      <c r="AO101" s="220">
        <f t="shared" si="109"/>
        <v>0</v>
      </c>
      <c r="AP101" s="220">
        <f t="shared" si="110"/>
        <v>0</v>
      </c>
      <c r="AQ101" s="220">
        <f t="shared" si="111"/>
        <v>0</v>
      </c>
      <c r="AR101" s="220">
        <f t="shared" si="112"/>
        <v>0</v>
      </c>
      <c r="AS101" s="220">
        <f t="shared" si="113"/>
        <v>0</v>
      </c>
      <c r="AT101" s="220">
        <f t="shared" si="114"/>
        <v>0</v>
      </c>
      <c r="AU101" s="220">
        <f t="shared" si="115"/>
        <v>0</v>
      </c>
      <c r="AV101" s="220">
        <f t="shared" si="116"/>
        <v>0</v>
      </c>
      <c r="AW101" s="220">
        <f t="shared" si="117"/>
        <v>0</v>
      </c>
      <c r="AX101" s="65">
        <f t="shared" si="118"/>
        <v>0</v>
      </c>
    </row>
    <row r="102" spans="2:50">
      <c r="B102" s="92"/>
      <c r="C102" s="131"/>
      <c r="D102" s="133" t="s">
        <v>119</v>
      </c>
      <c r="E102" s="133"/>
      <c r="F102" s="133" t="s">
        <v>285</v>
      </c>
      <c r="G102" s="243">
        <f t="shared" si="94"/>
        <v>0</v>
      </c>
      <c r="H102" s="234"/>
      <c r="I102" s="170">
        <v>0</v>
      </c>
      <c r="J102" s="170">
        <f t="shared" si="119"/>
        <v>0</v>
      </c>
      <c r="K102" s="170">
        <f t="shared" si="119"/>
        <v>0</v>
      </c>
      <c r="L102" s="170">
        <f t="shared" si="119"/>
        <v>0</v>
      </c>
      <c r="M102" s="170">
        <f t="shared" si="119"/>
        <v>0</v>
      </c>
      <c r="N102" s="170">
        <f t="shared" si="119"/>
        <v>0</v>
      </c>
      <c r="O102" s="170">
        <f t="shared" si="119"/>
        <v>0</v>
      </c>
      <c r="P102" s="170">
        <f t="shared" si="119"/>
        <v>0</v>
      </c>
      <c r="Q102" s="170">
        <f t="shared" si="119"/>
        <v>0</v>
      </c>
      <c r="R102" s="170">
        <f t="shared" si="119"/>
        <v>0</v>
      </c>
      <c r="S102" s="170">
        <f t="shared" si="119"/>
        <v>0</v>
      </c>
      <c r="T102" s="170">
        <f t="shared" si="119"/>
        <v>0</v>
      </c>
      <c r="U102" s="136"/>
      <c r="V102" s="97"/>
      <c r="Z102" s="65">
        <f t="shared" si="120"/>
        <v>0</v>
      </c>
      <c r="AA102" s="65">
        <f t="shared" si="96"/>
        <v>0</v>
      </c>
      <c r="AB102" s="65">
        <f t="shared" si="97"/>
        <v>0</v>
      </c>
      <c r="AC102" s="65">
        <f t="shared" si="98"/>
        <v>0</v>
      </c>
      <c r="AD102" s="65">
        <f t="shared" si="99"/>
        <v>0</v>
      </c>
      <c r="AE102" s="65">
        <f t="shared" si="100"/>
        <v>0</v>
      </c>
      <c r="AF102" s="65">
        <f t="shared" si="101"/>
        <v>0</v>
      </c>
      <c r="AG102" s="65">
        <f t="shared" si="102"/>
        <v>0</v>
      </c>
      <c r="AH102" s="65">
        <f t="shared" si="103"/>
        <v>0</v>
      </c>
      <c r="AI102" s="65">
        <f t="shared" si="104"/>
        <v>0</v>
      </c>
      <c r="AJ102" s="65">
        <f t="shared" si="105"/>
        <v>0</v>
      </c>
      <c r="AK102" s="65">
        <f t="shared" si="106"/>
        <v>0</v>
      </c>
      <c r="AL102" s="220"/>
      <c r="AM102" s="220">
        <f t="shared" si="107"/>
        <v>0</v>
      </c>
      <c r="AN102" s="220">
        <f t="shared" si="108"/>
        <v>0</v>
      </c>
      <c r="AO102" s="220">
        <f t="shared" si="109"/>
        <v>0</v>
      </c>
      <c r="AP102" s="220">
        <f t="shared" si="110"/>
        <v>0</v>
      </c>
      <c r="AQ102" s="220">
        <f t="shared" si="111"/>
        <v>0</v>
      </c>
      <c r="AR102" s="220">
        <f t="shared" si="112"/>
        <v>0</v>
      </c>
      <c r="AS102" s="220">
        <f t="shared" si="113"/>
        <v>0</v>
      </c>
      <c r="AT102" s="220">
        <f t="shared" si="114"/>
        <v>0</v>
      </c>
      <c r="AU102" s="220">
        <f t="shared" si="115"/>
        <v>0</v>
      </c>
      <c r="AV102" s="220">
        <f t="shared" si="116"/>
        <v>0</v>
      </c>
      <c r="AW102" s="220">
        <f t="shared" si="117"/>
        <v>0</v>
      </c>
      <c r="AX102" s="65">
        <f t="shared" si="118"/>
        <v>0</v>
      </c>
    </row>
    <row r="103" spans="2:50">
      <c r="B103" s="92"/>
      <c r="C103" s="131"/>
      <c r="D103" s="138" t="s">
        <v>273</v>
      </c>
      <c r="E103" s="138"/>
      <c r="F103" s="138"/>
      <c r="G103" s="244">
        <f>SUM(I103:T103)</f>
        <v>0</v>
      </c>
      <c r="H103" s="236"/>
      <c r="I103" s="245">
        <f t="shared" ref="I103:T103" si="121">+Z103</f>
        <v>0</v>
      </c>
      <c r="J103" s="245">
        <f t="shared" si="121"/>
        <v>0</v>
      </c>
      <c r="K103" s="245">
        <f t="shared" si="121"/>
        <v>0</v>
      </c>
      <c r="L103" s="245">
        <f t="shared" si="121"/>
        <v>0</v>
      </c>
      <c r="M103" s="245">
        <f t="shared" si="121"/>
        <v>0</v>
      </c>
      <c r="N103" s="245">
        <f t="shared" si="121"/>
        <v>0</v>
      </c>
      <c r="O103" s="245">
        <f t="shared" si="121"/>
        <v>0</v>
      </c>
      <c r="P103" s="245">
        <f t="shared" si="121"/>
        <v>0</v>
      </c>
      <c r="Q103" s="245">
        <f t="shared" si="121"/>
        <v>0</v>
      </c>
      <c r="R103" s="245">
        <f t="shared" si="121"/>
        <v>0</v>
      </c>
      <c r="S103" s="245">
        <f t="shared" si="121"/>
        <v>0</v>
      </c>
      <c r="T103" s="245">
        <f t="shared" si="121"/>
        <v>0</v>
      </c>
      <c r="U103" s="136"/>
      <c r="V103" s="97"/>
      <c r="Z103" s="65">
        <f t="shared" ref="Z103:AK103" si="122">SUM(Z90:Z102)</f>
        <v>0</v>
      </c>
      <c r="AA103" s="65">
        <f t="shared" si="122"/>
        <v>0</v>
      </c>
      <c r="AB103" s="65">
        <f t="shared" si="122"/>
        <v>0</v>
      </c>
      <c r="AC103" s="65">
        <f t="shared" si="122"/>
        <v>0</v>
      </c>
      <c r="AD103" s="65">
        <f t="shared" si="122"/>
        <v>0</v>
      </c>
      <c r="AE103" s="65">
        <f t="shared" si="122"/>
        <v>0</v>
      </c>
      <c r="AF103" s="65">
        <f t="shared" si="122"/>
        <v>0</v>
      </c>
      <c r="AG103" s="65">
        <f t="shared" si="122"/>
        <v>0</v>
      </c>
      <c r="AH103" s="65">
        <f t="shared" si="122"/>
        <v>0</v>
      </c>
      <c r="AI103" s="65">
        <f t="shared" si="122"/>
        <v>0</v>
      </c>
      <c r="AJ103" s="65">
        <f t="shared" si="122"/>
        <v>0</v>
      </c>
      <c r="AK103" s="65">
        <f t="shared" si="122"/>
        <v>0</v>
      </c>
      <c r="AL103" s="220"/>
      <c r="AM103" s="220"/>
      <c r="AN103" s="220"/>
      <c r="AO103" s="220"/>
      <c r="AP103" s="220"/>
      <c r="AQ103" s="220"/>
      <c r="AR103" s="220"/>
      <c r="AS103" s="220"/>
      <c r="AT103" s="220"/>
      <c r="AU103" s="220"/>
      <c r="AV103" s="220"/>
      <c r="AW103" s="220"/>
    </row>
    <row r="104" spans="2:50">
      <c r="B104" s="92"/>
      <c r="C104" s="131"/>
      <c r="D104" s="138" t="s">
        <v>280</v>
      </c>
      <c r="E104" s="138"/>
      <c r="F104" s="138"/>
      <c r="G104" s="244">
        <f>SUM(I104:T104)</f>
        <v>0</v>
      </c>
      <c r="H104" s="236"/>
      <c r="I104" s="245">
        <f>AM104</f>
        <v>0</v>
      </c>
      <c r="J104" s="245">
        <f t="shared" ref="J104:T104" si="123">AN104</f>
        <v>0</v>
      </c>
      <c r="K104" s="245">
        <f t="shared" si="123"/>
        <v>0</v>
      </c>
      <c r="L104" s="245">
        <f t="shared" si="123"/>
        <v>0</v>
      </c>
      <c r="M104" s="245">
        <f t="shared" si="123"/>
        <v>0</v>
      </c>
      <c r="N104" s="245">
        <f t="shared" si="123"/>
        <v>0</v>
      </c>
      <c r="O104" s="245">
        <f t="shared" si="123"/>
        <v>0</v>
      </c>
      <c r="P104" s="245">
        <f t="shared" si="123"/>
        <v>0</v>
      </c>
      <c r="Q104" s="245">
        <f t="shared" si="123"/>
        <v>0</v>
      </c>
      <c r="R104" s="245">
        <f t="shared" si="123"/>
        <v>0</v>
      </c>
      <c r="S104" s="245">
        <f t="shared" si="123"/>
        <v>0</v>
      </c>
      <c r="T104" s="245">
        <f t="shared" si="123"/>
        <v>0</v>
      </c>
      <c r="U104" s="136"/>
      <c r="V104" s="97"/>
      <c r="AL104" s="220"/>
      <c r="AM104" s="220">
        <f>SUM(AM90:AM102)</f>
        <v>0</v>
      </c>
      <c r="AN104" s="220">
        <f t="shared" ref="AN104:AX104" si="124">SUM(AN90:AN102)</f>
        <v>0</v>
      </c>
      <c r="AO104" s="220">
        <f t="shared" si="124"/>
        <v>0</v>
      </c>
      <c r="AP104" s="220">
        <f t="shared" si="124"/>
        <v>0</v>
      </c>
      <c r="AQ104" s="220">
        <f t="shared" si="124"/>
        <v>0</v>
      </c>
      <c r="AR104" s="220">
        <f t="shared" si="124"/>
        <v>0</v>
      </c>
      <c r="AS104" s="220">
        <f t="shared" si="124"/>
        <v>0</v>
      </c>
      <c r="AT104" s="220">
        <f t="shared" si="124"/>
        <v>0</v>
      </c>
      <c r="AU104" s="220">
        <f t="shared" si="124"/>
        <v>0</v>
      </c>
      <c r="AV104" s="220">
        <f t="shared" si="124"/>
        <v>0</v>
      </c>
      <c r="AW104" s="220">
        <f t="shared" si="124"/>
        <v>0</v>
      </c>
      <c r="AX104" s="65">
        <f t="shared" si="124"/>
        <v>0</v>
      </c>
    </row>
    <row r="105" spans="2:50">
      <c r="B105" s="92"/>
      <c r="C105" s="131"/>
      <c r="D105" s="138"/>
      <c r="E105" s="133"/>
      <c r="F105" s="138" t="s">
        <v>205</v>
      </c>
      <c r="G105" s="244">
        <f>SUM(G103:G104)</f>
        <v>0</v>
      </c>
      <c r="H105" s="236"/>
      <c r="I105" s="135"/>
      <c r="J105" s="135"/>
      <c r="K105" s="238">
        <f>SUM(K90:K102)</f>
        <v>0</v>
      </c>
      <c r="L105" s="135"/>
      <c r="M105" s="135"/>
      <c r="N105" s="135"/>
      <c r="O105" s="135"/>
      <c r="P105" s="135"/>
      <c r="Q105" s="135"/>
      <c r="R105" s="135"/>
      <c r="S105" s="135"/>
      <c r="T105" s="135"/>
      <c r="U105" s="136"/>
      <c r="V105" s="97"/>
    </row>
    <row r="106" spans="2:50">
      <c r="B106" s="92"/>
      <c r="C106" s="133"/>
      <c r="D106" s="138"/>
      <c r="E106" s="133"/>
      <c r="F106" s="133"/>
      <c r="G106" s="135"/>
      <c r="H106" s="133"/>
      <c r="I106" s="135"/>
      <c r="J106" s="135"/>
      <c r="K106" s="135"/>
      <c r="L106" s="135"/>
      <c r="M106" s="135"/>
      <c r="N106" s="135"/>
      <c r="O106" s="135"/>
      <c r="P106" s="135"/>
      <c r="Q106" s="247"/>
      <c r="R106" s="146"/>
      <c r="S106" s="146"/>
      <c r="T106" s="146"/>
      <c r="U106" s="147"/>
      <c r="V106" s="97"/>
    </row>
    <row r="107" spans="2:50">
      <c r="B107" s="92"/>
      <c r="C107" s="133"/>
      <c r="D107" s="138" t="s">
        <v>283</v>
      </c>
      <c r="E107" s="133"/>
      <c r="F107" s="133"/>
      <c r="G107" s="248">
        <f>+G81+G103</f>
        <v>0</v>
      </c>
      <c r="H107" s="133"/>
      <c r="I107" s="135"/>
      <c r="J107" s="135"/>
      <c r="K107" s="135"/>
      <c r="L107" s="135"/>
      <c r="M107" s="135"/>
      <c r="N107" s="135"/>
      <c r="O107" s="135"/>
      <c r="P107" s="135"/>
      <c r="U107" s="68"/>
      <c r="V107" s="97"/>
    </row>
    <row r="108" spans="2:50">
      <c r="B108" s="92"/>
      <c r="C108" s="133"/>
      <c r="D108" s="138" t="s">
        <v>284</v>
      </c>
      <c r="E108" s="133"/>
      <c r="F108" s="133"/>
      <c r="G108" s="248">
        <f>+G82+G104</f>
        <v>0</v>
      </c>
      <c r="H108" s="236"/>
      <c r="I108" s="135"/>
      <c r="J108" s="135"/>
      <c r="K108" s="135"/>
      <c r="L108" s="135"/>
      <c r="M108" s="135"/>
      <c r="N108" s="135"/>
      <c r="O108" s="135"/>
      <c r="P108" s="135"/>
      <c r="U108" s="68"/>
      <c r="V108" s="97"/>
    </row>
    <row r="109" spans="2:50">
      <c r="B109" s="92"/>
      <c r="C109" s="133"/>
      <c r="D109" s="138"/>
      <c r="E109" s="133"/>
      <c r="F109" s="138" t="s">
        <v>205</v>
      </c>
      <c r="G109" s="249">
        <f>SUM(G107:G108)</f>
        <v>0</v>
      </c>
      <c r="H109" s="236"/>
      <c r="I109" s="135"/>
      <c r="J109" s="135"/>
      <c r="K109" s="135"/>
      <c r="L109" s="135"/>
      <c r="M109" s="135"/>
      <c r="N109" s="135"/>
      <c r="O109" s="135"/>
      <c r="P109" s="135"/>
      <c r="U109" s="68"/>
      <c r="V109" s="97"/>
    </row>
    <row r="110" spans="2:50">
      <c r="B110" s="92"/>
      <c r="C110" s="133"/>
      <c r="D110" s="133"/>
      <c r="E110" s="133"/>
      <c r="F110" s="138"/>
      <c r="G110" s="235"/>
      <c r="H110" s="236"/>
      <c r="I110" s="135"/>
      <c r="J110" s="135"/>
      <c r="K110" s="135"/>
      <c r="L110" s="135"/>
      <c r="M110" s="135"/>
      <c r="N110" s="135"/>
      <c r="O110" s="135"/>
      <c r="P110" s="135"/>
      <c r="U110" s="68"/>
      <c r="V110" s="97"/>
    </row>
    <row r="111" spans="2:50">
      <c r="B111" s="92"/>
      <c r="C111" s="93"/>
      <c r="D111" s="93"/>
      <c r="E111" s="93"/>
      <c r="F111" s="93"/>
      <c r="G111" s="95"/>
      <c r="H111" s="93"/>
      <c r="I111" s="95"/>
      <c r="J111" s="95"/>
      <c r="K111" s="95"/>
      <c r="L111" s="95"/>
      <c r="M111" s="95"/>
      <c r="N111" s="95"/>
      <c r="O111" s="95"/>
      <c r="P111" s="95"/>
      <c r="Q111" s="95"/>
      <c r="R111" s="95"/>
      <c r="S111" s="95"/>
      <c r="T111" s="95"/>
      <c r="U111" s="93"/>
      <c r="V111" s="97"/>
    </row>
    <row r="112" spans="2:50" ht="15">
      <c r="B112" s="113"/>
      <c r="C112" s="114"/>
      <c r="D112" s="114"/>
      <c r="E112" s="114"/>
      <c r="F112" s="114"/>
      <c r="G112" s="118"/>
      <c r="H112" s="114"/>
      <c r="I112" s="118"/>
      <c r="J112" s="118"/>
      <c r="K112" s="118"/>
      <c r="L112" s="118"/>
      <c r="M112" s="118"/>
      <c r="N112" s="118"/>
      <c r="O112" s="118"/>
      <c r="P112" s="118"/>
      <c r="Q112" s="118"/>
      <c r="R112" s="118"/>
      <c r="S112" s="118"/>
      <c r="T112" s="118"/>
      <c r="U112" s="119" t="s">
        <v>555</v>
      </c>
      <c r="V112" s="120"/>
    </row>
    <row r="113" spans="2:50">
      <c r="B113" s="87"/>
      <c r="C113" s="88"/>
      <c r="D113" s="88"/>
      <c r="E113" s="88"/>
      <c r="F113" s="88"/>
      <c r="G113" s="90"/>
      <c r="H113" s="88"/>
      <c r="I113" s="90"/>
      <c r="J113" s="90"/>
      <c r="K113" s="90"/>
      <c r="L113" s="90"/>
      <c r="M113" s="90"/>
      <c r="N113" s="90"/>
      <c r="O113" s="90"/>
      <c r="P113" s="90"/>
      <c r="Q113" s="90"/>
      <c r="R113" s="90"/>
      <c r="S113" s="90"/>
      <c r="T113" s="90"/>
      <c r="U113" s="88"/>
      <c r="V113" s="91"/>
    </row>
    <row r="114" spans="2:50">
      <c r="B114" s="92"/>
      <c r="C114" s="93"/>
      <c r="D114" s="93"/>
      <c r="E114" s="93"/>
      <c r="F114" s="93"/>
      <c r="G114" s="95"/>
      <c r="H114" s="93"/>
      <c r="I114" s="95"/>
      <c r="J114" s="95"/>
      <c r="K114" s="95"/>
      <c r="L114" s="95"/>
      <c r="M114" s="95"/>
      <c r="N114" s="95"/>
      <c r="O114" s="95"/>
      <c r="P114" s="95"/>
      <c r="Q114" s="95"/>
      <c r="R114" s="95"/>
      <c r="S114" s="95"/>
      <c r="T114" s="95"/>
      <c r="U114" s="93"/>
      <c r="V114" s="97"/>
    </row>
    <row r="115" spans="2:50" s="73" customFormat="1" ht="18.75">
      <c r="B115" s="98"/>
      <c r="C115" s="168" t="s">
        <v>400</v>
      </c>
      <c r="D115" s="100"/>
      <c r="E115" s="100"/>
      <c r="F115" s="100"/>
      <c r="G115" s="102"/>
      <c r="H115" s="100"/>
      <c r="I115" s="102"/>
      <c r="J115" s="102"/>
      <c r="K115" s="225"/>
      <c r="L115" s="102"/>
      <c r="M115" s="102"/>
      <c r="N115" s="102"/>
      <c r="O115" s="102"/>
      <c r="P115" s="102"/>
      <c r="Q115" s="102"/>
      <c r="R115" s="102"/>
      <c r="S115" s="102"/>
      <c r="T115" s="102"/>
      <c r="U115" s="100"/>
      <c r="V115" s="104"/>
    </row>
    <row r="116" spans="2:50" ht="12" customHeight="1">
      <c r="B116" s="92"/>
      <c r="C116" s="226"/>
      <c r="D116" s="93"/>
      <c r="E116" s="93"/>
      <c r="F116" s="93"/>
      <c r="G116" s="95"/>
      <c r="H116" s="93"/>
      <c r="I116" s="95"/>
      <c r="J116" s="95"/>
      <c r="K116" s="227"/>
      <c r="L116" s="95"/>
      <c r="M116" s="95"/>
      <c r="N116" s="95"/>
      <c r="O116" s="95"/>
      <c r="P116" s="95"/>
      <c r="Q116" s="95"/>
      <c r="R116" s="95"/>
      <c r="S116" s="95"/>
      <c r="T116" s="95"/>
      <c r="U116" s="93"/>
      <c r="V116" s="97"/>
    </row>
    <row r="117" spans="2:50" ht="12" customHeight="1">
      <c r="B117" s="92"/>
      <c r="C117" s="226"/>
      <c r="D117" s="93"/>
      <c r="E117" s="93"/>
      <c r="F117" s="93"/>
      <c r="G117" s="95"/>
      <c r="H117" s="93"/>
      <c r="I117" s="95"/>
      <c r="J117" s="95"/>
      <c r="K117" s="227"/>
      <c r="L117" s="95"/>
      <c r="M117" s="95"/>
      <c r="N117" s="95"/>
      <c r="O117" s="95"/>
      <c r="P117" s="95"/>
      <c r="Q117" s="95"/>
      <c r="R117" s="95"/>
      <c r="S117" s="95"/>
      <c r="T117" s="95"/>
      <c r="U117" s="93"/>
      <c r="V117" s="97"/>
    </row>
    <row r="118" spans="2:50">
      <c r="B118" s="92"/>
      <c r="C118" s="124"/>
      <c r="D118" s="127"/>
      <c r="E118" s="127"/>
      <c r="F118" s="127"/>
      <c r="G118" s="129"/>
      <c r="H118" s="127"/>
      <c r="I118" s="129"/>
      <c r="J118" s="129"/>
      <c r="K118" s="129"/>
      <c r="L118" s="129"/>
      <c r="M118" s="129"/>
      <c r="N118" s="129"/>
      <c r="O118" s="129"/>
      <c r="P118" s="153"/>
      <c r="Q118" s="153"/>
      <c r="R118" s="129"/>
      <c r="S118" s="129"/>
      <c r="T118" s="129"/>
      <c r="U118" s="130"/>
      <c r="V118" s="97"/>
      <c r="Y118" s="217"/>
      <c r="Z118" s="65" t="s">
        <v>282</v>
      </c>
      <c r="AL118" s="217"/>
      <c r="AM118" s="65" t="s">
        <v>281</v>
      </c>
    </row>
    <row r="119" spans="2:50">
      <c r="B119" s="98"/>
      <c r="C119" s="228"/>
      <c r="D119" s="239" t="s">
        <v>692</v>
      </c>
      <c r="E119" s="240"/>
      <c r="F119" s="174" t="s">
        <v>270</v>
      </c>
      <c r="G119" s="241" t="str">
        <f>tab!E2</f>
        <v>2013/14</v>
      </c>
      <c r="H119" s="174"/>
      <c r="I119" s="242" t="s">
        <v>218</v>
      </c>
      <c r="J119" s="242" t="s">
        <v>219</v>
      </c>
      <c r="K119" s="242" t="s">
        <v>220</v>
      </c>
      <c r="L119" s="242" t="s">
        <v>221</v>
      </c>
      <c r="M119" s="242" t="s">
        <v>222</v>
      </c>
      <c r="N119" s="242" t="s">
        <v>216</v>
      </c>
      <c r="O119" s="242" t="s">
        <v>217</v>
      </c>
      <c r="P119" s="242" t="s">
        <v>223</v>
      </c>
      <c r="Q119" s="242" t="s">
        <v>224</v>
      </c>
      <c r="R119" s="242" t="s">
        <v>225</v>
      </c>
      <c r="S119" s="242" t="s">
        <v>226</v>
      </c>
      <c r="T119" s="242" t="s">
        <v>227</v>
      </c>
      <c r="U119" s="231"/>
      <c r="V119" s="104"/>
      <c r="Z119" s="65" t="s">
        <v>218</v>
      </c>
      <c r="AA119" s="65" t="s">
        <v>219</v>
      </c>
      <c r="AB119" s="65" t="s">
        <v>220</v>
      </c>
      <c r="AC119" s="65" t="s">
        <v>221</v>
      </c>
      <c r="AD119" s="65" t="s">
        <v>222</v>
      </c>
      <c r="AE119" s="65" t="s">
        <v>216</v>
      </c>
      <c r="AF119" s="65" t="s">
        <v>217</v>
      </c>
      <c r="AG119" s="65" t="s">
        <v>223</v>
      </c>
      <c r="AH119" s="65" t="s">
        <v>224</v>
      </c>
      <c r="AI119" s="65" t="s">
        <v>225</v>
      </c>
      <c r="AJ119" s="65" t="s">
        <v>226</v>
      </c>
      <c r="AK119" s="65" t="s">
        <v>227</v>
      </c>
      <c r="AM119" s="65" t="s">
        <v>218</v>
      </c>
      <c r="AN119" s="65" t="s">
        <v>219</v>
      </c>
      <c r="AO119" s="65" t="s">
        <v>220</v>
      </c>
      <c r="AP119" s="65" t="s">
        <v>221</v>
      </c>
      <c r="AQ119" s="65" t="s">
        <v>222</v>
      </c>
      <c r="AR119" s="65" t="s">
        <v>216</v>
      </c>
      <c r="AS119" s="65" t="s">
        <v>217</v>
      </c>
      <c r="AT119" s="65" t="s">
        <v>223</v>
      </c>
      <c r="AU119" s="65" t="s">
        <v>224</v>
      </c>
      <c r="AV119" s="65" t="s">
        <v>225</v>
      </c>
      <c r="AW119" s="65" t="s">
        <v>226</v>
      </c>
      <c r="AX119" s="65" t="s">
        <v>227</v>
      </c>
    </row>
    <row r="120" spans="2:50">
      <c r="B120" s="92"/>
      <c r="C120" s="131"/>
      <c r="D120" s="133"/>
      <c r="E120" s="232"/>
      <c r="F120" s="138"/>
      <c r="G120" s="139"/>
      <c r="H120" s="138"/>
      <c r="I120" s="135"/>
      <c r="J120" s="135"/>
      <c r="K120" s="135"/>
      <c r="L120" s="135"/>
      <c r="M120" s="135"/>
      <c r="N120" s="135"/>
      <c r="O120" s="135"/>
      <c r="P120" s="135"/>
      <c r="Q120" s="135"/>
      <c r="R120" s="135"/>
      <c r="S120" s="135"/>
      <c r="T120" s="135"/>
      <c r="U120" s="136"/>
      <c r="V120" s="97"/>
    </row>
    <row r="121" spans="2:50">
      <c r="B121" s="92"/>
      <c r="C121" s="131"/>
      <c r="D121" s="133" t="s">
        <v>107</v>
      </c>
      <c r="E121" s="133"/>
      <c r="F121" s="133" t="s">
        <v>285</v>
      </c>
      <c r="G121" s="243">
        <f>ROUND(SUM(I121:T121)/12,2)</f>
        <v>0</v>
      </c>
      <c r="H121" s="234"/>
      <c r="I121" s="170">
        <v>0</v>
      </c>
      <c r="J121" s="170">
        <f>+I121</f>
        <v>0</v>
      </c>
      <c r="K121" s="170">
        <f t="shared" ref="K121:T121" si="125">+J121</f>
        <v>0</v>
      </c>
      <c r="L121" s="170">
        <f t="shared" si="125"/>
        <v>0</v>
      </c>
      <c r="M121" s="170">
        <f t="shared" si="125"/>
        <v>0</v>
      </c>
      <c r="N121" s="170">
        <f t="shared" si="125"/>
        <v>0</v>
      </c>
      <c r="O121" s="170">
        <f t="shared" si="125"/>
        <v>0</v>
      </c>
      <c r="P121" s="170">
        <f t="shared" si="125"/>
        <v>0</v>
      </c>
      <c r="Q121" s="170">
        <f t="shared" si="125"/>
        <v>0</v>
      </c>
      <c r="R121" s="170">
        <f t="shared" si="125"/>
        <v>0</v>
      </c>
      <c r="S121" s="170">
        <f t="shared" si="125"/>
        <v>0</v>
      </c>
      <c r="T121" s="170">
        <f t="shared" si="125"/>
        <v>0</v>
      </c>
      <c r="U121" s="136"/>
      <c r="V121" s="97"/>
      <c r="Y121" s="219"/>
      <c r="Z121" s="219">
        <f t="shared" ref="Z121:Z133" si="126">ROUND(+I121*1/12*VLOOKUP($D121,LGFPOVO,2,FALSE),2)</f>
        <v>0</v>
      </c>
      <c r="AA121" s="219">
        <f t="shared" ref="AA121:AA133" si="127">ROUND(+J121*1/12*VLOOKUP($D121,LGFPOVO,2,FALSE),2)</f>
        <v>0</v>
      </c>
      <c r="AB121" s="219">
        <f t="shared" ref="AB121:AB133" si="128">ROUND(+K121*1/12*VLOOKUP($D121,LGFPOVO,2,FALSE),2)</f>
        <v>0</v>
      </c>
      <c r="AC121" s="219">
        <f t="shared" ref="AC121:AC133" si="129">ROUND(+L121*1/12*VLOOKUP($D121,LGFPOVO,2,FALSE),2)</f>
        <v>0</v>
      </c>
      <c r="AD121" s="219">
        <f t="shared" ref="AD121:AD133" si="130">ROUND(+M121*1/12*VLOOKUP($D121,LGFPOVO,2,FALSE),2)</f>
        <v>0</v>
      </c>
      <c r="AE121" s="219">
        <f t="shared" ref="AE121:AE133" si="131">ROUND(+N121*1/12*VLOOKUP($D121,LGFPOVO,2,FALSE),2)</f>
        <v>0</v>
      </c>
      <c r="AF121" s="219">
        <f t="shared" ref="AF121:AF133" si="132">ROUND(+O121*1/12*VLOOKUP($D121,LGFPOVO,2,FALSE),2)</f>
        <v>0</v>
      </c>
      <c r="AG121" s="219">
        <f t="shared" ref="AG121:AG133" si="133">ROUND(+P121*1/12*VLOOKUP($D121,LGFPOVO,2,FALSE),2)</f>
        <v>0</v>
      </c>
      <c r="AH121" s="219">
        <f t="shared" ref="AH121:AH133" si="134">ROUND(+Q121*1/12*VLOOKUP($D121,LGFPOVO,2,FALSE),2)</f>
        <v>0</v>
      </c>
      <c r="AI121" s="219">
        <f t="shared" ref="AI121:AI133" si="135">ROUND(+R121*1/12*VLOOKUP($D121,LGFPOVO,2,FALSE),2)</f>
        <v>0</v>
      </c>
      <c r="AJ121" s="219">
        <f t="shared" ref="AJ121:AJ133" si="136">ROUND(+S121*1/12*VLOOKUP($D121,LGFPOVO,2,FALSE),2)</f>
        <v>0</v>
      </c>
      <c r="AK121" s="65">
        <f t="shared" ref="AK121:AK133" si="137">ROUND(+T121*1/12*VLOOKUP($D121,LGFPOVO,2,FALSE),2)</f>
        <v>0</v>
      </c>
      <c r="AL121" s="219"/>
      <c r="AM121" s="219">
        <f t="shared" ref="AM121:AM133" si="138">ROUND(+I121*1/12*VLOOKUP($D121,LGFPOVO,4,FALSE),2)</f>
        <v>0</v>
      </c>
      <c r="AN121" s="219">
        <f t="shared" ref="AN121:AN133" si="139">ROUND(+J121*1/12*VLOOKUP($D121,LGFPOVO,4,FALSE),2)</f>
        <v>0</v>
      </c>
      <c r="AO121" s="219">
        <f t="shared" ref="AO121:AO133" si="140">ROUND(+K121*1/12*VLOOKUP($D121,LGFPOVO,4,FALSE),2)</f>
        <v>0</v>
      </c>
      <c r="AP121" s="219">
        <f t="shared" ref="AP121:AP133" si="141">ROUND(+L121*1/12*VLOOKUP($D121,LGFPOVO,4,FALSE),2)</f>
        <v>0</v>
      </c>
      <c r="AQ121" s="219">
        <f t="shared" ref="AQ121:AQ133" si="142">ROUND(+M121*1/12*VLOOKUP($D121,LGFPOVO,4,FALSE),2)</f>
        <v>0</v>
      </c>
      <c r="AR121" s="219">
        <f t="shared" ref="AR121:AR133" si="143">ROUND(+N121*1/12*VLOOKUP($D121,LGFPOVO,4,FALSE),2)</f>
        <v>0</v>
      </c>
      <c r="AS121" s="219">
        <f t="shared" ref="AS121:AS133" si="144">ROUND(+O121*1/12*VLOOKUP($D121,LGFPOVO,4,FALSE),2)</f>
        <v>0</v>
      </c>
      <c r="AT121" s="219">
        <f t="shared" ref="AT121:AT133" si="145">ROUND(+P121*1/12*VLOOKUP($D121,LGFPOVO,4,FALSE),2)</f>
        <v>0</v>
      </c>
      <c r="AU121" s="219">
        <f t="shared" ref="AU121:AU133" si="146">ROUND(+Q121*1/12*VLOOKUP($D121,LGFPOVO,4,FALSE),2)</f>
        <v>0</v>
      </c>
      <c r="AV121" s="219">
        <f t="shared" ref="AV121:AV133" si="147">ROUND(+R121*1/12*VLOOKUP($D121,LGFPOVO,4,FALSE),2)</f>
        <v>0</v>
      </c>
      <c r="AW121" s="219">
        <f t="shared" ref="AW121:AW133" si="148">ROUND(+S121*1/12*VLOOKUP($D121,LGFPOVO,4,FALSE),2)</f>
        <v>0</v>
      </c>
      <c r="AX121" s="65">
        <f t="shared" ref="AX121:AX133" si="149">ROUND(+T121*1/12*VLOOKUP($D121,LGFPOVO,4,FALSE),2)</f>
        <v>0</v>
      </c>
    </row>
    <row r="122" spans="2:50">
      <c r="B122" s="92"/>
      <c r="C122" s="131"/>
      <c r="D122" s="133" t="s">
        <v>108</v>
      </c>
      <c r="E122" s="133"/>
      <c r="F122" s="133" t="s">
        <v>285</v>
      </c>
      <c r="G122" s="243">
        <f t="shared" ref="G122:G133" si="150">ROUND(SUM(I122:T122)/12,2)</f>
        <v>0</v>
      </c>
      <c r="H122" s="234"/>
      <c r="I122" s="170">
        <v>0</v>
      </c>
      <c r="J122" s="170">
        <f t="shared" ref="J122:T122" si="151">+I122</f>
        <v>0</v>
      </c>
      <c r="K122" s="170">
        <f t="shared" si="151"/>
        <v>0</v>
      </c>
      <c r="L122" s="170">
        <f t="shared" si="151"/>
        <v>0</v>
      </c>
      <c r="M122" s="170">
        <f t="shared" si="151"/>
        <v>0</v>
      </c>
      <c r="N122" s="170">
        <f t="shared" si="151"/>
        <v>0</v>
      </c>
      <c r="O122" s="170">
        <f t="shared" si="151"/>
        <v>0</v>
      </c>
      <c r="P122" s="170">
        <f t="shared" si="151"/>
        <v>0</v>
      </c>
      <c r="Q122" s="170">
        <f t="shared" si="151"/>
        <v>0</v>
      </c>
      <c r="R122" s="170">
        <f t="shared" si="151"/>
        <v>0</v>
      </c>
      <c r="S122" s="170">
        <f t="shared" si="151"/>
        <v>0</v>
      </c>
      <c r="T122" s="170">
        <f t="shared" si="151"/>
        <v>0</v>
      </c>
      <c r="U122" s="136"/>
      <c r="V122" s="97"/>
      <c r="Y122" s="219"/>
      <c r="Z122" s="219">
        <f t="shared" si="126"/>
        <v>0</v>
      </c>
      <c r="AA122" s="219">
        <f t="shared" si="127"/>
        <v>0</v>
      </c>
      <c r="AB122" s="219">
        <f t="shared" si="128"/>
        <v>0</v>
      </c>
      <c r="AC122" s="219">
        <f t="shared" si="129"/>
        <v>0</v>
      </c>
      <c r="AD122" s="219">
        <f t="shared" si="130"/>
        <v>0</v>
      </c>
      <c r="AE122" s="219">
        <f t="shared" si="131"/>
        <v>0</v>
      </c>
      <c r="AF122" s="219">
        <f t="shared" si="132"/>
        <v>0</v>
      </c>
      <c r="AG122" s="219">
        <f t="shared" si="133"/>
        <v>0</v>
      </c>
      <c r="AH122" s="219">
        <f t="shared" si="134"/>
        <v>0</v>
      </c>
      <c r="AI122" s="219">
        <f t="shared" si="135"/>
        <v>0</v>
      </c>
      <c r="AJ122" s="219">
        <f t="shared" si="136"/>
        <v>0</v>
      </c>
      <c r="AK122" s="65">
        <f t="shared" si="137"/>
        <v>0</v>
      </c>
      <c r="AL122" s="219"/>
      <c r="AM122" s="219">
        <f t="shared" si="138"/>
        <v>0</v>
      </c>
      <c r="AN122" s="219">
        <f t="shared" si="139"/>
        <v>0</v>
      </c>
      <c r="AO122" s="219">
        <f t="shared" si="140"/>
        <v>0</v>
      </c>
      <c r="AP122" s="219">
        <f t="shared" si="141"/>
        <v>0</v>
      </c>
      <c r="AQ122" s="219">
        <f t="shared" si="142"/>
        <v>0</v>
      </c>
      <c r="AR122" s="219">
        <f t="shared" si="143"/>
        <v>0</v>
      </c>
      <c r="AS122" s="219">
        <f t="shared" si="144"/>
        <v>0</v>
      </c>
      <c r="AT122" s="219">
        <f t="shared" si="145"/>
        <v>0</v>
      </c>
      <c r="AU122" s="219">
        <f t="shared" si="146"/>
        <v>0</v>
      </c>
      <c r="AV122" s="219">
        <f t="shared" si="147"/>
        <v>0</v>
      </c>
      <c r="AW122" s="219">
        <f t="shared" si="148"/>
        <v>0</v>
      </c>
      <c r="AX122" s="65">
        <f t="shared" si="149"/>
        <v>0</v>
      </c>
    </row>
    <row r="123" spans="2:50">
      <c r="B123" s="92"/>
      <c r="C123" s="131"/>
      <c r="D123" s="133" t="s">
        <v>109</v>
      </c>
      <c r="E123" s="133"/>
      <c r="F123" s="133" t="s">
        <v>285</v>
      </c>
      <c r="G123" s="243">
        <f t="shared" si="150"/>
        <v>0</v>
      </c>
      <c r="H123" s="234"/>
      <c r="I123" s="170">
        <v>0</v>
      </c>
      <c r="J123" s="170">
        <f t="shared" ref="J123:T123" si="152">+I123</f>
        <v>0</v>
      </c>
      <c r="K123" s="170">
        <f t="shared" si="152"/>
        <v>0</v>
      </c>
      <c r="L123" s="170">
        <f t="shared" si="152"/>
        <v>0</v>
      </c>
      <c r="M123" s="170">
        <f t="shared" si="152"/>
        <v>0</v>
      </c>
      <c r="N123" s="170">
        <f t="shared" si="152"/>
        <v>0</v>
      </c>
      <c r="O123" s="170">
        <f t="shared" si="152"/>
        <v>0</v>
      </c>
      <c r="P123" s="170">
        <f t="shared" si="152"/>
        <v>0</v>
      </c>
      <c r="Q123" s="170">
        <f t="shared" si="152"/>
        <v>0</v>
      </c>
      <c r="R123" s="170">
        <f t="shared" si="152"/>
        <v>0</v>
      </c>
      <c r="S123" s="170">
        <f t="shared" si="152"/>
        <v>0</v>
      </c>
      <c r="T123" s="170">
        <f t="shared" si="152"/>
        <v>0</v>
      </c>
      <c r="U123" s="136"/>
      <c r="V123" s="97"/>
      <c r="Y123" s="219"/>
      <c r="Z123" s="219">
        <f t="shared" si="126"/>
        <v>0</v>
      </c>
      <c r="AA123" s="219">
        <f t="shared" si="127"/>
        <v>0</v>
      </c>
      <c r="AB123" s="219">
        <f t="shared" si="128"/>
        <v>0</v>
      </c>
      <c r="AC123" s="219">
        <f t="shared" si="129"/>
        <v>0</v>
      </c>
      <c r="AD123" s="219">
        <f t="shared" si="130"/>
        <v>0</v>
      </c>
      <c r="AE123" s="219">
        <f t="shared" si="131"/>
        <v>0</v>
      </c>
      <c r="AF123" s="219">
        <f t="shared" si="132"/>
        <v>0</v>
      </c>
      <c r="AG123" s="219">
        <f t="shared" si="133"/>
        <v>0</v>
      </c>
      <c r="AH123" s="219">
        <f t="shared" si="134"/>
        <v>0</v>
      </c>
      <c r="AI123" s="219">
        <f t="shared" si="135"/>
        <v>0</v>
      </c>
      <c r="AJ123" s="219">
        <f t="shared" si="136"/>
        <v>0</v>
      </c>
      <c r="AK123" s="65">
        <f t="shared" si="137"/>
        <v>0</v>
      </c>
      <c r="AL123" s="219"/>
      <c r="AM123" s="219">
        <f t="shared" si="138"/>
        <v>0</v>
      </c>
      <c r="AN123" s="219">
        <f t="shared" si="139"/>
        <v>0</v>
      </c>
      <c r="AO123" s="219">
        <f t="shared" si="140"/>
        <v>0</v>
      </c>
      <c r="AP123" s="219">
        <f t="shared" si="141"/>
        <v>0</v>
      </c>
      <c r="AQ123" s="219">
        <f t="shared" si="142"/>
        <v>0</v>
      </c>
      <c r="AR123" s="219">
        <f t="shared" si="143"/>
        <v>0</v>
      </c>
      <c r="AS123" s="219">
        <f t="shared" si="144"/>
        <v>0</v>
      </c>
      <c r="AT123" s="219">
        <f t="shared" si="145"/>
        <v>0</v>
      </c>
      <c r="AU123" s="219">
        <f t="shared" si="146"/>
        <v>0</v>
      </c>
      <c r="AV123" s="219">
        <f t="shared" si="147"/>
        <v>0</v>
      </c>
      <c r="AW123" s="219">
        <f t="shared" si="148"/>
        <v>0</v>
      </c>
      <c r="AX123" s="65">
        <f t="shared" si="149"/>
        <v>0</v>
      </c>
    </row>
    <row r="124" spans="2:50">
      <c r="B124" s="92"/>
      <c r="C124" s="131"/>
      <c r="D124" s="133" t="s">
        <v>110</v>
      </c>
      <c r="E124" s="133"/>
      <c r="F124" s="133" t="s">
        <v>285</v>
      </c>
      <c r="G124" s="243">
        <f t="shared" si="150"/>
        <v>0</v>
      </c>
      <c r="H124" s="234"/>
      <c r="I124" s="170">
        <v>0</v>
      </c>
      <c r="J124" s="170">
        <f t="shared" ref="J124:T124" si="153">+I124</f>
        <v>0</v>
      </c>
      <c r="K124" s="170">
        <f t="shared" si="153"/>
        <v>0</v>
      </c>
      <c r="L124" s="170">
        <f t="shared" si="153"/>
        <v>0</v>
      </c>
      <c r="M124" s="170">
        <f t="shared" si="153"/>
        <v>0</v>
      </c>
      <c r="N124" s="170">
        <f t="shared" si="153"/>
        <v>0</v>
      </c>
      <c r="O124" s="170">
        <f t="shared" si="153"/>
        <v>0</v>
      </c>
      <c r="P124" s="170">
        <f t="shared" si="153"/>
        <v>0</v>
      </c>
      <c r="Q124" s="170">
        <f t="shared" si="153"/>
        <v>0</v>
      </c>
      <c r="R124" s="170">
        <f t="shared" si="153"/>
        <v>0</v>
      </c>
      <c r="S124" s="170">
        <f t="shared" si="153"/>
        <v>0</v>
      </c>
      <c r="T124" s="170">
        <f t="shared" si="153"/>
        <v>0</v>
      </c>
      <c r="U124" s="136"/>
      <c r="V124" s="97"/>
      <c r="Y124" s="219"/>
      <c r="Z124" s="219">
        <f t="shared" si="126"/>
        <v>0</v>
      </c>
      <c r="AA124" s="219">
        <f t="shared" si="127"/>
        <v>0</v>
      </c>
      <c r="AB124" s="219">
        <f t="shared" si="128"/>
        <v>0</v>
      </c>
      <c r="AC124" s="219">
        <f t="shared" si="129"/>
        <v>0</v>
      </c>
      <c r="AD124" s="219">
        <f t="shared" si="130"/>
        <v>0</v>
      </c>
      <c r="AE124" s="219">
        <f t="shared" si="131"/>
        <v>0</v>
      </c>
      <c r="AF124" s="219">
        <f t="shared" si="132"/>
        <v>0</v>
      </c>
      <c r="AG124" s="219">
        <f t="shared" si="133"/>
        <v>0</v>
      </c>
      <c r="AH124" s="219">
        <f t="shared" si="134"/>
        <v>0</v>
      </c>
      <c r="AI124" s="219">
        <f t="shared" si="135"/>
        <v>0</v>
      </c>
      <c r="AJ124" s="219">
        <f t="shared" si="136"/>
        <v>0</v>
      </c>
      <c r="AK124" s="65">
        <f t="shared" si="137"/>
        <v>0</v>
      </c>
      <c r="AL124" s="219"/>
      <c r="AM124" s="219">
        <f t="shared" si="138"/>
        <v>0</v>
      </c>
      <c r="AN124" s="219">
        <f t="shared" si="139"/>
        <v>0</v>
      </c>
      <c r="AO124" s="219">
        <f t="shared" si="140"/>
        <v>0</v>
      </c>
      <c r="AP124" s="219">
        <f t="shared" si="141"/>
        <v>0</v>
      </c>
      <c r="AQ124" s="219">
        <f t="shared" si="142"/>
        <v>0</v>
      </c>
      <c r="AR124" s="219">
        <f t="shared" si="143"/>
        <v>0</v>
      </c>
      <c r="AS124" s="219">
        <f t="shared" si="144"/>
        <v>0</v>
      </c>
      <c r="AT124" s="219">
        <f t="shared" si="145"/>
        <v>0</v>
      </c>
      <c r="AU124" s="219">
        <f t="shared" si="146"/>
        <v>0</v>
      </c>
      <c r="AV124" s="219">
        <f t="shared" si="147"/>
        <v>0</v>
      </c>
      <c r="AW124" s="219">
        <f t="shared" si="148"/>
        <v>0</v>
      </c>
      <c r="AX124" s="65">
        <f t="shared" si="149"/>
        <v>0</v>
      </c>
    </row>
    <row r="125" spans="2:50">
      <c r="B125" s="92"/>
      <c r="C125" s="131"/>
      <c r="D125" s="133" t="s">
        <v>112</v>
      </c>
      <c r="E125" s="133"/>
      <c r="F125" s="133" t="s">
        <v>285</v>
      </c>
      <c r="G125" s="243">
        <f t="shared" si="150"/>
        <v>0</v>
      </c>
      <c r="H125" s="234"/>
      <c r="I125" s="170">
        <v>0</v>
      </c>
      <c r="J125" s="170">
        <f t="shared" ref="J125:T125" si="154">+I125</f>
        <v>0</v>
      </c>
      <c r="K125" s="170">
        <f t="shared" si="154"/>
        <v>0</v>
      </c>
      <c r="L125" s="170">
        <f t="shared" si="154"/>
        <v>0</v>
      </c>
      <c r="M125" s="170">
        <f t="shared" si="154"/>
        <v>0</v>
      </c>
      <c r="N125" s="170">
        <f t="shared" si="154"/>
        <v>0</v>
      </c>
      <c r="O125" s="170">
        <f t="shared" si="154"/>
        <v>0</v>
      </c>
      <c r="P125" s="170">
        <f t="shared" si="154"/>
        <v>0</v>
      </c>
      <c r="Q125" s="170">
        <f t="shared" si="154"/>
        <v>0</v>
      </c>
      <c r="R125" s="170">
        <f t="shared" si="154"/>
        <v>0</v>
      </c>
      <c r="S125" s="170">
        <f t="shared" si="154"/>
        <v>0</v>
      </c>
      <c r="T125" s="170">
        <f t="shared" si="154"/>
        <v>0</v>
      </c>
      <c r="U125" s="136"/>
      <c r="V125" s="97"/>
      <c r="Y125" s="219"/>
      <c r="Z125" s="219">
        <f t="shared" si="126"/>
        <v>0</v>
      </c>
      <c r="AA125" s="219">
        <f t="shared" si="127"/>
        <v>0</v>
      </c>
      <c r="AB125" s="219">
        <f t="shared" si="128"/>
        <v>0</v>
      </c>
      <c r="AC125" s="219">
        <f t="shared" si="129"/>
        <v>0</v>
      </c>
      <c r="AD125" s="219">
        <f t="shared" si="130"/>
        <v>0</v>
      </c>
      <c r="AE125" s="219">
        <f t="shared" si="131"/>
        <v>0</v>
      </c>
      <c r="AF125" s="219">
        <f t="shared" si="132"/>
        <v>0</v>
      </c>
      <c r="AG125" s="219">
        <f t="shared" si="133"/>
        <v>0</v>
      </c>
      <c r="AH125" s="219">
        <f t="shared" si="134"/>
        <v>0</v>
      </c>
      <c r="AI125" s="219">
        <f t="shared" si="135"/>
        <v>0</v>
      </c>
      <c r="AJ125" s="219">
        <f t="shared" si="136"/>
        <v>0</v>
      </c>
      <c r="AK125" s="65">
        <f t="shared" si="137"/>
        <v>0</v>
      </c>
      <c r="AL125" s="219"/>
      <c r="AM125" s="219">
        <f t="shared" si="138"/>
        <v>0</v>
      </c>
      <c r="AN125" s="219">
        <f t="shared" si="139"/>
        <v>0</v>
      </c>
      <c r="AO125" s="219">
        <f t="shared" si="140"/>
        <v>0</v>
      </c>
      <c r="AP125" s="219">
        <f t="shared" si="141"/>
        <v>0</v>
      </c>
      <c r="AQ125" s="219">
        <f t="shared" si="142"/>
        <v>0</v>
      </c>
      <c r="AR125" s="219">
        <f t="shared" si="143"/>
        <v>0</v>
      </c>
      <c r="AS125" s="219">
        <f t="shared" si="144"/>
        <v>0</v>
      </c>
      <c r="AT125" s="219">
        <f t="shared" si="145"/>
        <v>0</v>
      </c>
      <c r="AU125" s="219">
        <f t="shared" si="146"/>
        <v>0</v>
      </c>
      <c r="AV125" s="219">
        <f t="shared" si="147"/>
        <v>0</v>
      </c>
      <c r="AW125" s="219">
        <f t="shared" si="148"/>
        <v>0</v>
      </c>
      <c r="AX125" s="65">
        <f t="shared" si="149"/>
        <v>0</v>
      </c>
    </row>
    <row r="126" spans="2:50">
      <c r="B126" s="92"/>
      <c r="C126" s="131"/>
      <c r="D126" s="133" t="s">
        <v>113</v>
      </c>
      <c r="E126" s="133"/>
      <c r="F126" s="133" t="s">
        <v>285</v>
      </c>
      <c r="G126" s="243">
        <f t="shared" si="150"/>
        <v>0</v>
      </c>
      <c r="H126" s="234"/>
      <c r="I126" s="170">
        <v>0</v>
      </c>
      <c r="J126" s="170">
        <f t="shared" ref="J126:T126" si="155">+I126</f>
        <v>0</v>
      </c>
      <c r="K126" s="170">
        <f t="shared" si="155"/>
        <v>0</v>
      </c>
      <c r="L126" s="170">
        <f t="shared" si="155"/>
        <v>0</v>
      </c>
      <c r="M126" s="170">
        <f t="shared" si="155"/>
        <v>0</v>
      </c>
      <c r="N126" s="170">
        <f t="shared" si="155"/>
        <v>0</v>
      </c>
      <c r="O126" s="170">
        <f t="shared" si="155"/>
        <v>0</v>
      </c>
      <c r="P126" s="170">
        <f t="shared" si="155"/>
        <v>0</v>
      </c>
      <c r="Q126" s="170">
        <f t="shared" si="155"/>
        <v>0</v>
      </c>
      <c r="R126" s="170">
        <f t="shared" si="155"/>
        <v>0</v>
      </c>
      <c r="S126" s="170">
        <f t="shared" si="155"/>
        <v>0</v>
      </c>
      <c r="T126" s="170">
        <f t="shared" si="155"/>
        <v>0</v>
      </c>
      <c r="U126" s="136"/>
      <c r="V126" s="97"/>
      <c r="Y126" s="219"/>
      <c r="Z126" s="219">
        <f t="shared" si="126"/>
        <v>0</v>
      </c>
      <c r="AA126" s="219">
        <f t="shared" si="127"/>
        <v>0</v>
      </c>
      <c r="AB126" s="219">
        <f t="shared" si="128"/>
        <v>0</v>
      </c>
      <c r="AC126" s="219">
        <f t="shared" si="129"/>
        <v>0</v>
      </c>
      <c r="AD126" s="219">
        <f t="shared" si="130"/>
        <v>0</v>
      </c>
      <c r="AE126" s="219">
        <f t="shared" si="131"/>
        <v>0</v>
      </c>
      <c r="AF126" s="219">
        <f t="shared" si="132"/>
        <v>0</v>
      </c>
      <c r="AG126" s="219">
        <f t="shared" si="133"/>
        <v>0</v>
      </c>
      <c r="AH126" s="219">
        <f t="shared" si="134"/>
        <v>0</v>
      </c>
      <c r="AI126" s="219">
        <f t="shared" si="135"/>
        <v>0</v>
      </c>
      <c r="AJ126" s="219">
        <f t="shared" si="136"/>
        <v>0</v>
      </c>
      <c r="AK126" s="65">
        <f t="shared" si="137"/>
        <v>0</v>
      </c>
      <c r="AL126" s="219"/>
      <c r="AM126" s="219">
        <f t="shared" si="138"/>
        <v>0</v>
      </c>
      <c r="AN126" s="219">
        <f t="shared" si="139"/>
        <v>0</v>
      </c>
      <c r="AO126" s="219">
        <f t="shared" si="140"/>
        <v>0</v>
      </c>
      <c r="AP126" s="219">
        <f t="shared" si="141"/>
        <v>0</v>
      </c>
      <c r="AQ126" s="219">
        <f t="shared" si="142"/>
        <v>0</v>
      </c>
      <c r="AR126" s="219">
        <f t="shared" si="143"/>
        <v>0</v>
      </c>
      <c r="AS126" s="219">
        <f t="shared" si="144"/>
        <v>0</v>
      </c>
      <c r="AT126" s="219">
        <f t="shared" si="145"/>
        <v>0</v>
      </c>
      <c r="AU126" s="219">
        <f t="shared" si="146"/>
        <v>0</v>
      </c>
      <c r="AV126" s="219">
        <f t="shared" si="147"/>
        <v>0</v>
      </c>
      <c r="AW126" s="219">
        <f t="shared" si="148"/>
        <v>0</v>
      </c>
      <c r="AX126" s="65">
        <f t="shared" si="149"/>
        <v>0</v>
      </c>
    </row>
    <row r="127" spans="2:50">
      <c r="B127" s="92"/>
      <c r="C127" s="131"/>
      <c r="D127" s="133" t="s">
        <v>111</v>
      </c>
      <c r="E127" s="133"/>
      <c r="F127" s="133" t="s">
        <v>285</v>
      </c>
      <c r="G127" s="243">
        <f t="shared" si="150"/>
        <v>0</v>
      </c>
      <c r="H127" s="234"/>
      <c r="I127" s="170">
        <v>0</v>
      </c>
      <c r="J127" s="170">
        <f t="shared" ref="J127:T127" si="156">+I127</f>
        <v>0</v>
      </c>
      <c r="K127" s="170">
        <f t="shared" si="156"/>
        <v>0</v>
      </c>
      <c r="L127" s="170">
        <f t="shared" si="156"/>
        <v>0</v>
      </c>
      <c r="M127" s="170">
        <f t="shared" si="156"/>
        <v>0</v>
      </c>
      <c r="N127" s="170">
        <f t="shared" si="156"/>
        <v>0</v>
      </c>
      <c r="O127" s="170">
        <f t="shared" si="156"/>
        <v>0</v>
      </c>
      <c r="P127" s="170">
        <f t="shared" si="156"/>
        <v>0</v>
      </c>
      <c r="Q127" s="170">
        <f t="shared" si="156"/>
        <v>0</v>
      </c>
      <c r="R127" s="170">
        <f t="shared" si="156"/>
        <v>0</v>
      </c>
      <c r="S127" s="170">
        <f t="shared" si="156"/>
        <v>0</v>
      </c>
      <c r="T127" s="170">
        <f t="shared" si="156"/>
        <v>0</v>
      </c>
      <c r="U127" s="136"/>
      <c r="V127" s="97"/>
      <c r="Y127" s="219"/>
      <c r="Z127" s="219">
        <f t="shared" si="126"/>
        <v>0</v>
      </c>
      <c r="AA127" s="219">
        <f t="shared" si="127"/>
        <v>0</v>
      </c>
      <c r="AB127" s="219">
        <f t="shared" si="128"/>
        <v>0</v>
      </c>
      <c r="AC127" s="219">
        <f t="shared" si="129"/>
        <v>0</v>
      </c>
      <c r="AD127" s="219">
        <f t="shared" si="130"/>
        <v>0</v>
      </c>
      <c r="AE127" s="219">
        <f t="shared" si="131"/>
        <v>0</v>
      </c>
      <c r="AF127" s="219">
        <f t="shared" si="132"/>
        <v>0</v>
      </c>
      <c r="AG127" s="219">
        <f t="shared" si="133"/>
        <v>0</v>
      </c>
      <c r="AH127" s="219">
        <f t="shared" si="134"/>
        <v>0</v>
      </c>
      <c r="AI127" s="219">
        <f t="shared" si="135"/>
        <v>0</v>
      </c>
      <c r="AJ127" s="219">
        <f t="shared" si="136"/>
        <v>0</v>
      </c>
      <c r="AK127" s="65">
        <f t="shared" si="137"/>
        <v>0</v>
      </c>
      <c r="AL127" s="219"/>
      <c r="AM127" s="219">
        <f t="shared" si="138"/>
        <v>0</v>
      </c>
      <c r="AN127" s="219">
        <f t="shared" si="139"/>
        <v>0</v>
      </c>
      <c r="AO127" s="219">
        <f t="shared" si="140"/>
        <v>0</v>
      </c>
      <c r="AP127" s="219">
        <f t="shared" si="141"/>
        <v>0</v>
      </c>
      <c r="AQ127" s="219">
        <f t="shared" si="142"/>
        <v>0</v>
      </c>
      <c r="AR127" s="219">
        <f t="shared" si="143"/>
        <v>0</v>
      </c>
      <c r="AS127" s="219">
        <f t="shared" si="144"/>
        <v>0</v>
      </c>
      <c r="AT127" s="219">
        <f t="shared" si="145"/>
        <v>0</v>
      </c>
      <c r="AU127" s="219">
        <f t="shared" si="146"/>
        <v>0</v>
      </c>
      <c r="AV127" s="219">
        <f t="shared" si="147"/>
        <v>0</v>
      </c>
      <c r="AW127" s="219">
        <f t="shared" si="148"/>
        <v>0</v>
      </c>
      <c r="AX127" s="65">
        <f t="shared" si="149"/>
        <v>0</v>
      </c>
    </row>
    <row r="128" spans="2:50">
      <c r="B128" s="92"/>
      <c r="C128" s="131"/>
      <c r="D128" s="133" t="s">
        <v>114</v>
      </c>
      <c r="E128" s="133"/>
      <c r="F128" s="133" t="s">
        <v>285</v>
      </c>
      <c r="G128" s="243">
        <f t="shared" si="150"/>
        <v>0</v>
      </c>
      <c r="H128" s="234"/>
      <c r="I128" s="170">
        <v>0</v>
      </c>
      <c r="J128" s="170">
        <f t="shared" ref="J128:T128" si="157">+I128</f>
        <v>0</v>
      </c>
      <c r="K128" s="170">
        <f t="shared" si="157"/>
        <v>0</v>
      </c>
      <c r="L128" s="170">
        <f t="shared" si="157"/>
        <v>0</v>
      </c>
      <c r="M128" s="170">
        <f t="shared" si="157"/>
        <v>0</v>
      </c>
      <c r="N128" s="170">
        <f t="shared" si="157"/>
        <v>0</v>
      </c>
      <c r="O128" s="170">
        <f t="shared" si="157"/>
        <v>0</v>
      </c>
      <c r="P128" s="170">
        <f t="shared" si="157"/>
        <v>0</v>
      </c>
      <c r="Q128" s="170">
        <f t="shared" si="157"/>
        <v>0</v>
      </c>
      <c r="R128" s="170">
        <f t="shared" si="157"/>
        <v>0</v>
      </c>
      <c r="S128" s="170">
        <f t="shared" si="157"/>
        <v>0</v>
      </c>
      <c r="T128" s="170">
        <f t="shared" si="157"/>
        <v>0</v>
      </c>
      <c r="U128" s="136"/>
      <c r="V128" s="97"/>
      <c r="Y128" s="219"/>
      <c r="Z128" s="219">
        <f t="shared" si="126"/>
        <v>0</v>
      </c>
      <c r="AA128" s="219">
        <f t="shared" si="127"/>
        <v>0</v>
      </c>
      <c r="AB128" s="219">
        <f t="shared" si="128"/>
        <v>0</v>
      </c>
      <c r="AC128" s="219">
        <f t="shared" si="129"/>
        <v>0</v>
      </c>
      <c r="AD128" s="219">
        <f t="shared" si="130"/>
        <v>0</v>
      </c>
      <c r="AE128" s="219">
        <f t="shared" si="131"/>
        <v>0</v>
      </c>
      <c r="AF128" s="219">
        <f t="shared" si="132"/>
        <v>0</v>
      </c>
      <c r="AG128" s="219">
        <f t="shared" si="133"/>
        <v>0</v>
      </c>
      <c r="AH128" s="219">
        <f t="shared" si="134"/>
        <v>0</v>
      </c>
      <c r="AI128" s="219">
        <f t="shared" si="135"/>
        <v>0</v>
      </c>
      <c r="AJ128" s="219">
        <f t="shared" si="136"/>
        <v>0</v>
      </c>
      <c r="AK128" s="65">
        <f t="shared" si="137"/>
        <v>0</v>
      </c>
      <c r="AL128" s="219"/>
      <c r="AM128" s="219">
        <f t="shared" si="138"/>
        <v>0</v>
      </c>
      <c r="AN128" s="219">
        <f t="shared" si="139"/>
        <v>0</v>
      </c>
      <c r="AO128" s="219">
        <f t="shared" si="140"/>
        <v>0</v>
      </c>
      <c r="AP128" s="219">
        <f t="shared" si="141"/>
        <v>0</v>
      </c>
      <c r="AQ128" s="219">
        <f t="shared" si="142"/>
        <v>0</v>
      </c>
      <c r="AR128" s="219">
        <f t="shared" si="143"/>
        <v>0</v>
      </c>
      <c r="AS128" s="219">
        <f t="shared" si="144"/>
        <v>0</v>
      </c>
      <c r="AT128" s="219">
        <f t="shared" si="145"/>
        <v>0</v>
      </c>
      <c r="AU128" s="219">
        <f t="shared" si="146"/>
        <v>0</v>
      </c>
      <c r="AV128" s="219">
        <f t="shared" si="147"/>
        <v>0</v>
      </c>
      <c r="AW128" s="219">
        <f t="shared" si="148"/>
        <v>0</v>
      </c>
      <c r="AX128" s="65">
        <f t="shared" si="149"/>
        <v>0</v>
      </c>
    </row>
    <row r="129" spans="2:50">
      <c r="B129" s="92"/>
      <c r="C129" s="131"/>
      <c r="D129" s="133" t="s">
        <v>115</v>
      </c>
      <c r="E129" s="133"/>
      <c r="F129" s="133" t="s">
        <v>285</v>
      </c>
      <c r="G129" s="243">
        <f t="shared" si="150"/>
        <v>0</v>
      </c>
      <c r="H129" s="234"/>
      <c r="I129" s="170">
        <v>0</v>
      </c>
      <c r="J129" s="170">
        <f t="shared" ref="J129:T129" si="158">+I129</f>
        <v>0</v>
      </c>
      <c r="K129" s="170">
        <f t="shared" si="158"/>
        <v>0</v>
      </c>
      <c r="L129" s="170">
        <f t="shared" si="158"/>
        <v>0</v>
      </c>
      <c r="M129" s="170">
        <f t="shared" si="158"/>
        <v>0</v>
      </c>
      <c r="N129" s="170">
        <f t="shared" si="158"/>
        <v>0</v>
      </c>
      <c r="O129" s="170">
        <f t="shared" si="158"/>
        <v>0</v>
      </c>
      <c r="P129" s="170">
        <f t="shared" si="158"/>
        <v>0</v>
      </c>
      <c r="Q129" s="170">
        <f t="shared" si="158"/>
        <v>0</v>
      </c>
      <c r="R129" s="170">
        <f t="shared" si="158"/>
        <v>0</v>
      </c>
      <c r="S129" s="170">
        <f t="shared" si="158"/>
        <v>0</v>
      </c>
      <c r="T129" s="170">
        <f t="shared" si="158"/>
        <v>0</v>
      </c>
      <c r="U129" s="136"/>
      <c r="V129" s="97"/>
      <c r="Y129" s="219"/>
      <c r="Z129" s="219">
        <f t="shared" si="126"/>
        <v>0</v>
      </c>
      <c r="AA129" s="219">
        <f t="shared" si="127"/>
        <v>0</v>
      </c>
      <c r="AB129" s="219">
        <f t="shared" si="128"/>
        <v>0</v>
      </c>
      <c r="AC129" s="219">
        <f t="shared" si="129"/>
        <v>0</v>
      </c>
      <c r="AD129" s="219">
        <f t="shared" si="130"/>
        <v>0</v>
      </c>
      <c r="AE129" s="219">
        <f t="shared" si="131"/>
        <v>0</v>
      </c>
      <c r="AF129" s="219">
        <f t="shared" si="132"/>
        <v>0</v>
      </c>
      <c r="AG129" s="219">
        <f t="shared" si="133"/>
        <v>0</v>
      </c>
      <c r="AH129" s="219">
        <f t="shared" si="134"/>
        <v>0</v>
      </c>
      <c r="AI129" s="219">
        <f t="shared" si="135"/>
        <v>0</v>
      </c>
      <c r="AJ129" s="219">
        <f t="shared" si="136"/>
        <v>0</v>
      </c>
      <c r="AK129" s="65">
        <f t="shared" si="137"/>
        <v>0</v>
      </c>
      <c r="AL129" s="219"/>
      <c r="AM129" s="219">
        <f t="shared" si="138"/>
        <v>0</v>
      </c>
      <c r="AN129" s="219">
        <f t="shared" si="139"/>
        <v>0</v>
      </c>
      <c r="AO129" s="219">
        <f t="shared" si="140"/>
        <v>0</v>
      </c>
      <c r="AP129" s="219">
        <f t="shared" si="141"/>
        <v>0</v>
      </c>
      <c r="AQ129" s="219">
        <f t="shared" si="142"/>
        <v>0</v>
      </c>
      <c r="AR129" s="219">
        <f t="shared" si="143"/>
        <v>0</v>
      </c>
      <c r="AS129" s="219">
        <f t="shared" si="144"/>
        <v>0</v>
      </c>
      <c r="AT129" s="219">
        <f t="shared" si="145"/>
        <v>0</v>
      </c>
      <c r="AU129" s="219">
        <f t="shared" si="146"/>
        <v>0</v>
      </c>
      <c r="AV129" s="219">
        <f t="shared" si="147"/>
        <v>0</v>
      </c>
      <c r="AW129" s="219">
        <f t="shared" si="148"/>
        <v>0</v>
      </c>
      <c r="AX129" s="65">
        <f t="shared" si="149"/>
        <v>0</v>
      </c>
    </row>
    <row r="130" spans="2:50">
      <c r="B130" s="92"/>
      <c r="C130" s="131"/>
      <c r="D130" s="133" t="s">
        <v>117</v>
      </c>
      <c r="E130" s="133"/>
      <c r="F130" s="133" t="s">
        <v>285</v>
      </c>
      <c r="G130" s="243">
        <f t="shared" si="150"/>
        <v>0</v>
      </c>
      <c r="H130" s="234"/>
      <c r="I130" s="170">
        <v>0</v>
      </c>
      <c r="J130" s="170">
        <f t="shared" ref="J130:T130" si="159">+I130</f>
        <v>0</v>
      </c>
      <c r="K130" s="170">
        <f t="shared" si="159"/>
        <v>0</v>
      </c>
      <c r="L130" s="170">
        <f t="shared" si="159"/>
        <v>0</v>
      </c>
      <c r="M130" s="170">
        <f t="shared" si="159"/>
        <v>0</v>
      </c>
      <c r="N130" s="170">
        <f t="shared" si="159"/>
        <v>0</v>
      </c>
      <c r="O130" s="170">
        <f t="shared" si="159"/>
        <v>0</v>
      </c>
      <c r="P130" s="170">
        <f t="shared" si="159"/>
        <v>0</v>
      </c>
      <c r="Q130" s="170">
        <f t="shared" si="159"/>
        <v>0</v>
      </c>
      <c r="R130" s="170">
        <f t="shared" si="159"/>
        <v>0</v>
      </c>
      <c r="S130" s="170">
        <f t="shared" si="159"/>
        <v>0</v>
      </c>
      <c r="T130" s="170">
        <f t="shared" si="159"/>
        <v>0</v>
      </c>
      <c r="U130" s="136"/>
      <c r="V130" s="97"/>
      <c r="Y130" s="219"/>
      <c r="Z130" s="219">
        <f t="shared" si="126"/>
        <v>0</v>
      </c>
      <c r="AA130" s="219">
        <f t="shared" si="127"/>
        <v>0</v>
      </c>
      <c r="AB130" s="219">
        <f t="shared" si="128"/>
        <v>0</v>
      </c>
      <c r="AC130" s="219">
        <f t="shared" si="129"/>
        <v>0</v>
      </c>
      <c r="AD130" s="219">
        <f t="shared" si="130"/>
        <v>0</v>
      </c>
      <c r="AE130" s="219">
        <f t="shared" si="131"/>
        <v>0</v>
      </c>
      <c r="AF130" s="219">
        <f t="shared" si="132"/>
        <v>0</v>
      </c>
      <c r="AG130" s="219">
        <f t="shared" si="133"/>
        <v>0</v>
      </c>
      <c r="AH130" s="219">
        <f t="shared" si="134"/>
        <v>0</v>
      </c>
      <c r="AI130" s="219">
        <f t="shared" si="135"/>
        <v>0</v>
      </c>
      <c r="AJ130" s="219">
        <f t="shared" si="136"/>
        <v>0</v>
      </c>
      <c r="AK130" s="65">
        <f t="shared" si="137"/>
        <v>0</v>
      </c>
      <c r="AL130" s="219"/>
      <c r="AM130" s="219">
        <f t="shared" si="138"/>
        <v>0</v>
      </c>
      <c r="AN130" s="219">
        <f t="shared" si="139"/>
        <v>0</v>
      </c>
      <c r="AO130" s="219">
        <f t="shared" si="140"/>
        <v>0</v>
      </c>
      <c r="AP130" s="219">
        <f t="shared" si="141"/>
        <v>0</v>
      </c>
      <c r="AQ130" s="219">
        <f t="shared" si="142"/>
        <v>0</v>
      </c>
      <c r="AR130" s="219">
        <f t="shared" si="143"/>
        <v>0</v>
      </c>
      <c r="AS130" s="219">
        <f t="shared" si="144"/>
        <v>0</v>
      </c>
      <c r="AT130" s="219">
        <f t="shared" si="145"/>
        <v>0</v>
      </c>
      <c r="AU130" s="219">
        <f t="shared" si="146"/>
        <v>0</v>
      </c>
      <c r="AV130" s="219">
        <f t="shared" si="147"/>
        <v>0</v>
      </c>
      <c r="AW130" s="219">
        <f t="shared" si="148"/>
        <v>0</v>
      </c>
      <c r="AX130" s="65">
        <f t="shared" si="149"/>
        <v>0</v>
      </c>
    </row>
    <row r="131" spans="2:50">
      <c r="B131" s="92"/>
      <c r="C131" s="131"/>
      <c r="D131" s="133" t="s">
        <v>118</v>
      </c>
      <c r="E131" s="133"/>
      <c r="F131" s="133" t="s">
        <v>285</v>
      </c>
      <c r="G131" s="243">
        <f t="shared" si="150"/>
        <v>0</v>
      </c>
      <c r="H131" s="234"/>
      <c r="I131" s="170">
        <v>0</v>
      </c>
      <c r="J131" s="170">
        <f t="shared" ref="J131:T131" si="160">+I131</f>
        <v>0</v>
      </c>
      <c r="K131" s="170">
        <f t="shared" si="160"/>
        <v>0</v>
      </c>
      <c r="L131" s="170">
        <f t="shared" si="160"/>
        <v>0</v>
      </c>
      <c r="M131" s="170">
        <f t="shared" si="160"/>
        <v>0</v>
      </c>
      <c r="N131" s="170">
        <f t="shared" si="160"/>
        <v>0</v>
      </c>
      <c r="O131" s="170">
        <f t="shared" si="160"/>
        <v>0</v>
      </c>
      <c r="P131" s="170">
        <f t="shared" si="160"/>
        <v>0</v>
      </c>
      <c r="Q131" s="170">
        <f t="shared" si="160"/>
        <v>0</v>
      </c>
      <c r="R131" s="170">
        <f t="shared" si="160"/>
        <v>0</v>
      </c>
      <c r="S131" s="170">
        <f t="shared" si="160"/>
        <v>0</v>
      </c>
      <c r="T131" s="170">
        <f t="shared" si="160"/>
        <v>0</v>
      </c>
      <c r="U131" s="136"/>
      <c r="V131" s="97"/>
      <c r="Y131" s="219"/>
      <c r="Z131" s="219">
        <f t="shared" si="126"/>
        <v>0</v>
      </c>
      <c r="AA131" s="219">
        <f t="shared" si="127"/>
        <v>0</v>
      </c>
      <c r="AB131" s="219">
        <f t="shared" si="128"/>
        <v>0</v>
      </c>
      <c r="AC131" s="219">
        <f t="shared" si="129"/>
        <v>0</v>
      </c>
      <c r="AD131" s="219">
        <f t="shared" si="130"/>
        <v>0</v>
      </c>
      <c r="AE131" s="219">
        <f t="shared" si="131"/>
        <v>0</v>
      </c>
      <c r="AF131" s="219">
        <f t="shared" si="132"/>
        <v>0</v>
      </c>
      <c r="AG131" s="219">
        <f t="shared" si="133"/>
        <v>0</v>
      </c>
      <c r="AH131" s="219">
        <f t="shared" si="134"/>
        <v>0</v>
      </c>
      <c r="AI131" s="219">
        <f t="shared" si="135"/>
        <v>0</v>
      </c>
      <c r="AJ131" s="219">
        <f t="shared" si="136"/>
        <v>0</v>
      </c>
      <c r="AK131" s="65">
        <f t="shared" si="137"/>
        <v>0</v>
      </c>
      <c r="AL131" s="219"/>
      <c r="AM131" s="219">
        <f t="shared" si="138"/>
        <v>0</v>
      </c>
      <c r="AN131" s="219">
        <f t="shared" si="139"/>
        <v>0</v>
      </c>
      <c r="AO131" s="219">
        <f t="shared" si="140"/>
        <v>0</v>
      </c>
      <c r="AP131" s="219">
        <f t="shared" si="141"/>
        <v>0</v>
      </c>
      <c r="AQ131" s="219">
        <f t="shared" si="142"/>
        <v>0</v>
      </c>
      <c r="AR131" s="219">
        <f t="shared" si="143"/>
        <v>0</v>
      </c>
      <c r="AS131" s="219">
        <f t="shared" si="144"/>
        <v>0</v>
      </c>
      <c r="AT131" s="219">
        <f t="shared" si="145"/>
        <v>0</v>
      </c>
      <c r="AU131" s="219">
        <f t="shared" si="146"/>
        <v>0</v>
      </c>
      <c r="AV131" s="219">
        <f t="shared" si="147"/>
        <v>0</v>
      </c>
      <c r="AW131" s="219">
        <f t="shared" si="148"/>
        <v>0</v>
      </c>
      <c r="AX131" s="65">
        <f t="shared" si="149"/>
        <v>0</v>
      </c>
    </row>
    <row r="132" spans="2:50">
      <c r="B132" s="92"/>
      <c r="C132" s="131"/>
      <c r="D132" s="133" t="s">
        <v>116</v>
      </c>
      <c r="E132" s="133"/>
      <c r="F132" s="133" t="s">
        <v>285</v>
      </c>
      <c r="G132" s="243">
        <f t="shared" si="150"/>
        <v>0</v>
      </c>
      <c r="H132" s="234"/>
      <c r="I132" s="170">
        <v>0</v>
      </c>
      <c r="J132" s="170">
        <f t="shared" ref="J132:T132" si="161">+I132</f>
        <v>0</v>
      </c>
      <c r="K132" s="170">
        <f t="shared" si="161"/>
        <v>0</v>
      </c>
      <c r="L132" s="170">
        <f t="shared" si="161"/>
        <v>0</v>
      </c>
      <c r="M132" s="170">
        <f t="shared" si="161"/>
        <v>0</v>
      </c>
      <c r="N132" s="170">
        <f t="shared" si="161"/>
        <v>0</v>
      </c>
      <c r="O132" s="170">
        <f t="shared" si="161"/>
        <v>0</v>
      </c>
      <c r="P132" s="170">
        <f t="shared" si="161"/>
        <v>0</v>
      </c>
      <c r="Q132" s="170">
        <f t="shared" si="161"/>
        <v>0</v>
      </c>
      <c r="R132" s="170">
        <f t="shared" si="161"/>
        <v>0</v>
      </c>
      <c r="S132" s="170">
        <f t="shared" si="161"/>
        <v>0</v>
      </c>
      <c r="T132" s="170">
        <f t="shared" si="161"/>
        <v>0</v>
      </c>
      <c r="U132" s="136"/>
      <c r="V132" s="97"/>
      <c r="Y132" s="219"/>
      <c r="Z132" s="219">
        <f t="shared" si="126"/>
        <v>0</v>
      </c>
      <c r="AA132" s="219">
        <f t="shared" si="127"/>
        <v>0</v>
      </c>
      <c r="AB132" s="219">
        <f t="shared" si="128"/>
        <v>0</v>
      </c>
      <c r="AC132" s="219">
        <f t="shared" si="129"/>
        <v>0</v>
      </c>
      <c r="AD132" s="219">
        <f t="shared" si="130"/>
        <v>0</v>
      </c>
      <c r="AE132" s="219">
        <f t="shared" si="131"/>
        <v>0</v>
      </c>
      <c r="AF132" s="219">
        <f t="shared" si="132"/>
        <v>0</v>
      </c>
      <c r="AG132" s="219">
        <f t="shared" si="133"/>
        <v>0</v>
      </c>
      <c r="AH132" s="219">
        <f t="shared" si="134"/>
        <v>0</v>
      </c>
      <c r="AI132" s="219">
        <f t="shared" si="135"/>
        <v>0</v>
      </c>
      <c r="AJ132" s="219">
        <f t="shared" si="136"/>
        <v>0</v>
      </c>
      <c r="AK132" s="65">
        <f t="shared" si="137"/>
        <v>0</v>
      </c>
      <c r="AL132" s="219"/>
      <c r="AM132" s="219">
        <f t="shared" si="138"/>
        <v>0</v>
      </c>
      <c r="AN132" s="219">
        <f t="shared" si="139"/>
        <v>0</v>
      </c>
      <c r="AO132" s="219">
        <f t="shared" si="140"/>
        <v>0</v>
      </c>
      <c r="AP132" s="219">
        <f t="shared" si="141"/>
        <v>0</v>
      </c>
      <c r="AQ132" s="219">
        <f t="shared" si="142"/>
        <v>0</v>
      </c>
      <c r="AR132" s="219">
        <f t="shared" si="143"/>
        <v>0</v>
      </c>
      <c r="AS132" s="219">
        <f t="shared" si="144"/>
        <v>0</v>
      </c>
      <c r="AT132" s="219">
        <f t="shared" si="145"/>
        <v>0</v>
      </c>
      <c r="AU132" s="219">
        <f t="shared" si="146"/>
        <v>0</v>
      </c>
      <c r="AV132" s="219">
        <f t="shared" si="147"/>
        <v>0</v>
      </c>
      <c r="AW132" s="219">
        <f t="shared" si="148"/>
        <v>0</v>
      </c>
      <c r="AX132" s="65">
        <f t="shared" si="149"/>
        <v>0</v>
      </c>
    </row>
    <row r="133" spans="2:50">
      <c r="B133" s="92"/>
      <c r="C133" s="131"/>
      <c r="D133" s="133" t="s">
        <v>119</v>
      </c>
      <c r="E133" s="133"/>
      <c r="F133" s="133" t="s">
        <v>285</v>
      </c>
      <c r="G133" s="243">
        <f t="shared" si="150"/>
        <v>0</v>
      </c>
      <c r="H133" s="234"/>
      <c r="I133" s="170">
        <v>0</v>
      </c>
      <c r="J133" s="170">
        <f t="shared" ref="J133:T133" si="162">+I133</f>
        <v>0</v>
      </c>
      <c r="K133" s="170">
        <f t="shared" si="162"/>
        <v>0</v>
      </c>
      <c r="L133" s="170">
        <f t="shared" si="162"/>
        <v>0</v>
      </c>
      <c r="M133" s="170">
        <f t="shared" si="162"/>
        <v>0</v>
      </c>
      <c r="N133" s="170">
        <f t="shared" si="162"/>
        <v>0</v>
      </c>
      <c r="O133" s="170">
        <f t="shared" si="162"/>
        <v>0</v>
      </c>
      <c r="P133" s="170">
        <f t="shared" si="162"/>
        <v>0</v>
      </c>
      <c r="Q133" s="170">
        <f t="shared" si="162"/>
        <v>0</v>
      </c>
      <c r="R133" s="170">
        <f t="shared" si="162"/>
        <v>0</v>
      </c>
      <c r="S133" s="170">
        <f t="shared" si="162"/>
        <v>0</v>
      </c>
      <c r="T133" s="170">
        <f t="shared" si="162"/>
        <v>0</v>
      </c>
      <c r="U133" s="136"/>
      <c r="V133" s="97"/>
      <c r="Y133" s="219"/>
      <c r="Z133" s="219">
        <f t="shared" si="126"/>
        <v>0</v>
      </c>
      <c r="AA133" s="219">
        <f t="shared" si="127"/>
        <v>0</v>
      </c>
      <c r="AB133" s="219">
        <f t="shared" si="128"/>
        <v>0</v>
      </c>
      <c r="AC133" s="219">
        <f t="shared" si="129"/>
        <v>0</v>
      </c>
      <c r="AD133" s="219">
        <f t="shared" si="130"/>
        <v>0</v>
      </c>
      <c r="AE133" s="219">
        <f t="shared" si="131"/>
        <v>0</v>
      </c>
      <c r="AF133" s="219">
        <f t="shared" si="132"/>
        <v>0</v>
      </c>
      <c r="AG133" s="219">
        <f t="shared" si="133"/>
        <v>0</v>
      </c>
      <c r="AH133" s="219">
        <f t="shared" si="134"/>
        <v>0</v>
      </c>
      <c r="AI133" s="219">
        <f t="shared" si="135"/>
        <v>0</v>
      </c>
      <c r="AJ133" s="219">
        <f t="shared" si="136"/>
        <v>0</v>
      </c>
      <c r="AK133" s="65">
        <f t="shared" si="137"/>
        <v>0</v>
      </c>
      <c r="AL133" s="219"/>
      <c r="AM133" s="219">
        <f t="shared" si="138"/>
        <v>0</v>
      </c>
      <c r="AN133" s="219">
        <f t="shared" si="139"/>
        <v>0</v>
      </c>
      <c r="AO133" s="219">
        <f t="shared" si="140"/>
        <v>0</v>
      </c>
      <c r="AP133" s="219">
        <f t="shared" si="141"/>
        <v>0</v>
      </c>
      <c r="AQ133" s="219">
        <f t="shared" si="142"/>
        <v>0</v>
      </c>
      <c r="AR133" s="219">
        <f t="shared" si="143"/>
        <v>0</v>
      </c>
      <c r="AS133" s="219">
        <f t="shared" si="144"/>
        <v>0</v>
      </c>
      <c r="AT133" s="219">
        <f t="shared" si="145"/>
        <v>0</v>
      </c>
      <c r="AU133" s="219">
        <f t="shared" si="146"/>
        <v>0</v>
      </c>
      <c r="AV133" s="219">
        <f t="shared" si="147"/>
        <v>0</v>
      </c>
      <c r="AW133" s="219">
        <f t="shared" si="148"/>
        <v>0</v>
      </c>
      <c r="AX133" s="65">
        <f t="shared" si="149"/>
        <v>0</v>
      </c>
    </row>
    <row r="134" spans="2:50">
      <c r="B134" s="92"/>
      <c r="C134" s="131"/>
      <c r="D134" s="138" t="s">
        <v>273</v>
      </c>
      <c r="E134" s="138"/>
      <c r="F134" s="138"/>
      <c r="G134" s="244">
        <f>SUM(I134:T134)</f>
        <v>0</v>
      </c>
      <c r="H134" s="236"/>
      <c r="I134" s="245">
        <f t="shared" ref="I134:T134" si="163">+Z134</f>
        <v>0</v>
      </c>
      <c r="J134" s="245">
        <f t="shared" si="163"/>
        <v>0</v>
      </c>
      <c r="K134" s="245">
        <f t="shared" si="163"/>
        <v>0</v>
      </c>
      <c r="L134" s="245">
        <f t="shared" si="163"/>
        <v>0</v>
      </c>
      <c r="M134" s="245">
        <f t="shared" si="163"/>
        <v>0</v>
      </c>
      <c r="N134" s="245">
        <f t="shared" si="163"/>
        <v>0</v>
      </c>
      <c r="O134" s="245">
        <f t="shared" si="163"/>
        <v>0</v>
      </c>
      <c r="P134" s="245">
        <f t="shared" si="163"/>
        <v>0</v>
      </c>
      <c r="Q134" s="245">
        <f t="shared" si="163"/>
        <v>0</v>
      </c>
      <c r="R134" s="245">
        <f t="shared" si="163"/>
        <v>0</v>
      </c>
      <c r="S134" s="245">
        <f t="shared" si="163"/>
        <v>0</v>
      </c>
      <c r="T134" s="245">
        <f t="shared" si="163"/>
        <v>0</v>
      </c>
      <c r="U134" s="136"/>
      <c r="V134" s="97"/>
      <c r="Y134" s="219"/>
      <c r="Z134" s="219">
        <f t="shared" ref="Z134:AK134" si="164">SUM(Z121:Z133)</f>
        <v>0</v>
      </c>
      <c r="AA134" s="219">
        <f t="shared" si="164"/>
        <v>0</v>
      </c>
      <c r="AB134" s="219">
        <f t="shared" si="164"/>
        <v>0</v>
      </c>
      <c r="AC134" s="219">
        <f t="shared" si="164"/>
        <v>0</v>
      </c>
      <c r="AD134" s="219">
        <f t="shared" si="164"/>
        <v>0</v>
      </c>
      <c r="AE134" s="219">
        <f t="shared" si="164"/>
        <v>0</v>
      </c>
      <c r="AF134" s="219">
        <f t="shared" si="164"/>
        <v>0</v>
      </c>
      <c r="AG134" s="219">
        <f t="shared" si="164"/>
        <v>0</v>
      </c>
      <c r="AH134" s="219">
        <f t="shared" si="164"/>
        <v>0</v>
      </c>
      <c r="AI134" s="219">
        <f t="shared" si="164"/>
        <v>0</v>
      </c>
      <c r="AJ134" s="219">
        <f t="shared" si="164"/>
        <v>0</v>
      </c>
      <c r="AK134" s="65">
        <f t="shared" si="164"/>
        <v>0</v>
      </c>
    </row>
    <row r="135" spans="2:50">
      <c r="B135" s="92"/>
      <c r="C135" s="131"/>
      <c r="D135" s="138" t="s">
        <v>280</v>
      </c>
      <c r="E135" s="138"/>
      <c r="F135" s="138"/>
      <c r="G135" s="244">
        <f>SUM(I135:T135)</f>
        <v>0</v>
      </c>
      <c r="H135" s="236"/>
      <c r="I135" s="245">
        <f t="shared" ref="I135:T135" si="165">+AM135</f>
        <v>0</v>
      </c>
      <c r="J135" s="245">
        <f t="shared" si="165"/>
        <v>0</v>
      </c>
      <c r="K135" s="245">
        <f t="shared" si="165"/>
        <v>0</v>
      </c>
      <c r="L135" s="245">
        <f t="shared" si="165"/>
        <v>0</v>
      </c>
      <c r="M135" s="245">
        <f t="shared" si="165"/>
        <v>0</v>
      </c>
      <c r="N135" s="245">
        <f t="shared" si="165"/>
        <v>0</v>
      </c>
      <c r="O135" s="245">
        <f t="shared" si="165"/>
        <v>0</v>
      </c>
      <c r="P135" s="245">
        <f t="shared" si="165"/>
        <v>0</v>
      </c>
      <c r="Q135" s="245">
        <f t="shared" si="165"/>
        <v>0</v>
      </c>
      <c r="R135" s="245">
        <f t="shared" si="165"/>
        <v>0</v>
      </c>
      <c r="S135" s="245">
        <f t="shared" si="165"/>
        <v>0</v>
      </c>
      <c r="T135" s="245">
        <f t="shared" si="165"/>
        <v>0</v>
      </c>
      <c r="U135" s="136"/>
      <c r="V135" s="97"/>
      <c r="AL135" s="219"/>
      <c r="AM135" s="219">
        <f t="shared" ref="AM135:AX135" si="166">SUM(AM121:AM133)</f>
        <v>0</v>
      </c>
      <c r="AN135" s="219">
        <f t="shared" si="166"/>
        <v>0</v>
      </c>
      <c r="AO135" s="219">
        <f t="shared" si="166"/>
        <v>0</v>
      </c>
      <c r="AP135" s="219">
        <f t="shared" si="166"/>
        <v>0</v>
      </c>
      <c r="AQ135" s="219">
        <f t="shared" si="166"/>
        <v>0</v>
      </c>
      <c r="AR135" s="219">
        <f t="shared" si="166"/>
        <v>0</v>
      </c>
      <c r="AS135" s="219">
        <f t="shared" si="166"/>
        <v>0</v>
      </c>
      <c r="AT135" s="219">
        <f t="shared" si="166"/>
        <v>0</v>
      </c>
      <c r="AU135" s="219">
        <f t="shared" si="166"/>
        <v>0</v>
      </c>
      <c r="AV135" s="219">
        <f t="shared" si="166"/>
        <v>0</v>
      </c>
      <c r="AW135" s="219">
        <f t="shared" si="166"/>
        <v>0</v>
      </c>
      <c r="AX135" s="65">
        <f t="shared" si="166"/>
        <v>0</v>
      </c>
    </row>
    <row r="136" spans="2:50">
      <c r="B136" s="92"/>
      <c r="C136" s="131"/>
      <c r="D136" s="138"/>
      <c r="E136" s="133"/>
      <c r="F136" s="138" t="s">
        <v>205</v>
      </c>
      <c r="G136" s="244">
        <f>SUM(G134:G135)</f>
        <v>0</v>
      </c>
      <c r="H136" s="236"/>
      <c r="I136" s="135"/>
      <c r="J136" s="135"/>
      <c r="K136" s="238">
        <f>SUM(K121:K133)</f>
        <v>0</v>
      </c>
      <c r="L136" s="135"/>
      <c r="M136" s="135"/>
      <c r="N136" s="135"/>
      <c r="O136" s="135"/>
      <c r="P136" s="135"/>
      <c r="Q136" s="135"/>
      <c r="R136" s="135"/>
      <c r="S136" s="135"/>
      <c r="T136" s="135"/>
      <c r="U136" s="136"/>
      <c r="V136" s="97"/>
    </row>
    <row r="137" spans="2:50">
      <c r="B137" s="92"/>
      <c r="C137" s="141"/>
      <c r="D137" s="142"/>
      <c r="E137" s="144"/>
      <c r="F137" s="144"/>
      <c r="G137" s="146"/>
      <c r="H137" s="144"/>
      <c r="I137" s="146"/>
      <c r="J137" s="146"/>
      <c r="K137" s="146"/>
      <c r="L137" s="146"/>
      <c r="M137" s="146"/>
      <c r="N137" s="146"/>
      <c r="O137" s="146"/>
      <c r="P137" s="146"/>
      <c r="Q137" s="146"/>
      <c r="R137" s="146"/>
      <c r="S137" s="146"/>
      <c r="T137" s="146"/>
      <c r="U137" s="147"/>
      <c r="V137" s="97"/>
    </row>
    <row r="138" spans="2:50">
      <c r="B138" s="92"/>
      <c r="C138" s="93"/>
      <c r="D138" s="110"/>
      <c r="E138" s="93"/>
      <c r="F138" s="93"/>
      <c r="G138" s="95"/>
      <c r="H138" s="93"/>
      <c r="I138" s="95"/>
      <c r="J138" s="95"/>
      <c r="K138" s="95"/>
      <c r="L138" s="95"/>
      <c r="M138" s="95"/>
      <c r="N138" s="95"/>
      <c r="O138" s="95"/>
      <c r="P138" s="95"/>
      <c r="Q138" s="95"/>
      <c r="R138" s="95"/>
      <c r="S138" s="95"/>
      <c r="T138" s="95"/>
      <c r="U138" s="93"/>
      <c r="V138" s="97"/>
    </row>
    <row r="139" spans="2:50">
      <c r="B139" s="92"/>
      <c r="C139" s="124"/>
      <c r="D139" s="127"/>
      <c r="E139" s="127"/>
      <c r="F139" s="127"/>
      <c r="G139" s="129"/>
      <c r="H139" s="127"/>
      <c r="I139" s="129"/>
      <c r="J139" s="129"/>
      <c r="K139" s="129"/>
      <c r="L139" s="129"/>
      <c r="M139" s="129"/>
      <c r="N139" s="129"/>
      <c r="O139" s="129"/>
      <c r="P139" s="153"/>
      <c r="Q139" s="153"/>
      <c r="R139" s="129"/>
      <c r="S139" s="129"/>
      <c r="T139" s="129"/>
      <c r="U139" s="130"/>
      <c r="V139" s="97"/>
    </row>
    <row r="140" spans="2:50">
      <c r="B140" s="92"/>
      <c r="C140" s="228"/>
      <c r="D140" s="239" t="s">
        <v>692</v>
      </c>
      <c r="E140" s="240"/>
      <c r="F140" s="174" t="s">
        <v>586</v>
      </c>
      <c r="G140" s="241" t="str">
        <f>G119</f>
        <v>2013/14</v>
      </c>
      <c r="H140" s="174"/>
      <c r="I140" s="242" t="s">
        <v>218</v>
      </c>
      <c r="J140" s="242" t="s">
        <v>219</v>
      </c>
      <c r="K140" s="242" t="s">
        <v>220</v>
      </c>
      <c r="L140" s="242" t="s">
        <v>221</v>
      </c>
      <c r="M140" s="242" t="s">
        <v>222</v>
      </c>
      <c r="N140" s="242" t="s">
        <v>216</v>
      </c>
      <c r="O140" s="242" t="s">
        <v>217</v>
      </c>
      <c r="P140" s="242" t="s">
        <v>223</v>
      </c>
      <c r="Q140" s="242" t="s">
        <v>224</v>
      </c>
      <c r="R140" s="242" t="s">
        <v>225</v>
      </c>
      <c r="S140" s="242" t="s">
        <v>226</v>
      </c>
      <c r="T140" s="242" t="s">
        <v>227</v>
      </c>
      <c r="U140" s="231"/>
      <c r="V140" s="97"/>
      <c r="Z140" s="65" t="s">
        <v>218</v>
      </c>
      <c r="AA140" s="65" t="s">
        <v>219</v>
      </c>
      <c r="AB140" s="65" t="s">
        <v>220</v>
      </c>
      <c r="AC140" s="65" t="s">
        <v>221</v>
      </c>
      <c r="AD140" s="65" t="s">
        <v>222</v>
      </c>
      <c r="AE140" s="65" t="s">
        <v>216</v>
      </c>
      <c r="AF140" s="65" t="s">
        <v>217</v>
      </c>
      <c r="AG140" s="65" t="s">
        <v>223</v>
      </c>
      <c r="AH140" s="65" t="s">
        <v>224</v>
      </c>
      <c r="AI140" s="65" t="s">
        <v>225</v>
      </c>
      <c r="AJ140" s="65" t="s">
        <v>226</v>
      </c>
      <c r="AK140" s="65" t="s">
        <v>227</v>
      </c>
      <c r="AM140" s="65" t="s">
        <v>218</v>
      </c>
      <c r="AN140" s="65" t="s">
        <v>219</v>
      </c>
      <c r="AO140" s="65" t="s">
        <v>220</v>
      </c>
      <c r="AP140" s="65" t="s">
        <v>221</v>
      </c>
      <c r="AQ140" s="65" t="s">
        <v>222</v>
      </c>
      <c r="AR140" s="65" t="s">
        <v>216</v>
      </c>
      <c r="AS140" s="65" t="s">
        <v>217</v>
      </c>
      <c r="AT140" s="65" t="s">
        <v>223</v>
      </c>
      <c r="AU140" s="65" t="s">
        <v>224</v>
      </c>
      <c r="AV140" s="65" t="s">
        <v>225</v>
      </c>
      <c r="AW140" s="65" t="s">
        <v>226</v>
      </c>
      <c r="AX140" s="65" t="s">
        <v>227</v>
      </c>
    </row>
    <row r="141" spans="2:50">
      <c r="B141" s="92"/>
      <c r="C141" s="131"/>
      <c r="D141" s="133"/>
      <c r="E141" s="232"/>
      <c r="F141" s="138"/>
      <c r="G141" s="139"/>
      <c r="H141" s="138"/>
      <c r="I141" s="135"/>
      <c r="J141" s="135"/>
      <c r="K141" s="135"/>
      <c r="L141" s="135"/>
      <c r="M141" s="135"/>
      <c r="N141" s="135"/>
      <c r="O141" s="135"/>
      <c r="P141" s="135"/>
      <c r="Q141" s="135"/>
      <c r="R141" s="135"/>
      <c r="S141" s="135"/>
      <c r="T141" s="135"/>
      <c r="U141" s="136"/>
      <c r="V141" s="97"/>
    </row>
    <row r="142" spans="2:50">
      <c r="B142" s="92"/>
      <c r="C142" s="131"/>
      <c r="D142" s="133" t="s">
        <v>107</v>
      </c>
      <c r="E142" s="133"/>
      <c r="F142" s="133" t="s">
        <v>285</v>
      </c>
      <c r="G142" s="243">
        <f t="shared" ref="G142:G154" si="167">ROUND(SUM(I142:T142)/12,2)</f>
        <v>0</v>
      </c>
      <c r="H142" s="234"/>
      <c r="I142" s="170">
        <v>0</v>
      </c>
      <c r="J142" s="170">
        <f>+I142</f>
        <v>0</v>
      </c>
      <c r="K142" s="170">
        <f t="shared" ref="K142:T142" si="168">+J142</f>
        <v>0</v>
      </c>
      <c r="L142" s="170">
        <f t="shared" si="168"/>
        <v>0</v>
      </c>
      <c r="M142" s="170">
        <f t="shared" si="168"/>
        <v>0</v>
      </c>
      <c r="N142" s="170">
        <f t="shared" si="168"/>
        <v>0</v>
      </c>
      <c r="O142" s="170">
        <f t="shared" si="168"/>
        <v>0</v>
      </c>
      <c r="P142" s="170">
        <f t="shared" si="168"/>
        <v>0</v>
      </c>
      <c r="Q142" s="170">
        <f t="shared" si="168"/>
        <v>0</v>
      </c>
      <c r="R142" s="170">
        <f t="shared" si="168"/>
        <v>0</v>
      </c>
      <c r="S142" s="170">
        <f t="shared" si="168"/>
        <v>0</v>
      </c>
      <c r="T142" s="170">
        <f t="shared" si="168"/>
        <v>0</v>
      </c>
      <c r="U142" s="136"/>
      <c r="V142" s="97"/>
      <c r="Y142" s="220"/>
      <c r="Z142" s="220">
        <f t="shared" ref="Z142:Z154" si="169">ROUND(+I142*1/12*VLOOKUP($D142,LGFPOVO,3,FALSE),2)</f>
        <v>0</v>
      </c>
      <c r="AA142" s="220">
        <f t="shared" ref="AA142:AA154" si="170">ROUND(+J142*1/12*VLOOKUP($D142,LGFPOVO,3,FALSE),2)</f>
        <v>0</v>
      </c>
      <c r="AB142" s="220">
        <f t="shared" ref="AB142:AB154" si="171">ROUND(+K142*1/12*VLOOKUP($D142,LGFPOVO,3,FALSE),2)</f>
        <v>0</v>
      </c>
      <c r="AC142" s="220">
        <f t="shared" ref="AC142:AC154" si="172">ROUND(+L142*1/12*VLOOKUP($D142,LGFPOVO,3,FALSE),2)</f>
        <v>0</v>
      </c>
      <c r="AD142" s="220">
        <f t="shared" ref="AD142:AD154" si="173">ROUND(+M142*1/12*VLOOKUP($D142,LGFPOVO,3,FALSE),2)</f>
        <v>0</v>
      </c>
      <c r="AE142" s="220">
        <f t="shared" ref="AE142:AE154" si="174">ROUND(+N142*1/12*VLOOKUP($D142,LGFPOVO,3,FALSE),2)</f>
        <v>0</v>
      </c>
      <c r="AF142" s="220">
        <f t="shared" ref="AF142:AF154" si="175">ROUND(+O142*1/12*VLOOKUP($D142,LGFPOVO,3,FALSE),2)</f>
        <v>0</v>
      </c>
      <c r="AG142" s="220">
        <f t="shared" ref="AG142:AG154" si="176">ROUND(+P142*1/12*VLOOKUP($D142,LGFPOVO,3,FALSE),2)</f>
        <v>0</v>
      </c>
      <c r="AH142" s="220">
        <f t="shared" ref="AH142:AH154" si="177">ROUND(+Q142*1/12*VLOOKUP($D142,LGFPOVO,3,FALSE),2)</f>
        <v>0</v>
      </c>
      <c r="AI142" s="220">
        <f t="shared" ref="AI142:AI154" si="178">ROUND(+R142*1/12*VLOOKUP($D142,LGFPOVO,3,FALSE),2)</f>
        <v>0</v>
      </c>
      <c r="AJ142" s="220">
        <f t="shared" ref="AJ142:AJ154" si="179">ROUND(+S142*1/12*VLOOKUP($D142,LGFPOVO,3,FALSE),2)</f>
        <v>0</v>
      </c>
      <c r="AK142" s="65">
        <f t="shared" ref="AK142:AK154" si="180">ROUND(+T142*1/12*VLOOKUP($D142,LGFPOVO,3,FALSE),2)</f>
        <v>0</v>
      </c>
      <c r="AL142" s="220"/>
      <c r="AM142" s="220">
        <f t="shared" ref="AM142:AM154" si="181">ROUND(+I142*1/12*VLOOKUP($D142,LGFPOVO,5,FALSE),2)</f>
        <v>0</v>
      </c>
      <c r="AN142" s="220">
        <f t="shared" ref="AN142:AN154" si="182">ROUND(+J142*1/12*VLOOKUP($D142,LGFPOVO,5,FALSE),2)</f>
        <v>0</v>
      </c>
      <c r="AO142" s="220">
        <f t="shared" ref="AO142:AO154" si="183">ROUND(+K142*1/12*VLOOKUP($D142,LGFPOVO,5,FALSE),2)</f>
        <v>0</v>
      </c>
      <c r="AP142" s="220">
        <f t="shared" ref="AP142:AP154" si="184">ROUND(+L142*1/12*VLOOKUP($D142,LGFPOVO,5,FALSE),2)</f>
        <v>0</v>
      </c>
      <c r="AQ142" s="220">
        <f t="shared" ref="AQ142:AQ154" si="185">ROUND(+M142*1/12*VLOOKUP($D142,LGFPOVO,5,FALSE),2)</f>
        <v>0</v>
      </c>
      <c r="AR142" s="220">
        <f t="shared" ref="AR142:AR154" si="186">ROUND(+N142*1/12*VLOOKUP($D142,LGFPOVO,5,FALSE),2)</f>
        <v>0</v>
      </c>
      <c r="AS142" s="220">
        <f t="shared" ref="AS142:AS154" si="187">ROUND(+O142*1/12*VLOOKUP($D142,LGFPOVO,5,FALSE),2)</f>
        <v>0</v>
      </c>
      <c r="AT142" s="220">
        <f t="shared" ref="AT142:AT154" si="188">ROUND(+P142*1/12*VLOOKUP($D142,LGFPOVO,5,FALSE),2)</f>
        <v>0</v>
      </c>
      <c r="AU142" s="220">
        <f t="shared" ref="AU142:AU154" si="189">ROUND(+Q142*1/12*VLOOKUP($D142,LGFPOVO,5,FALSE),2)</f>
        <v>0</v>
      </c>
      <c r="AV142" s="220">
        <f t="shared" ref="AV142:AV154" si="190">ROUND(+R142*1/12*VLOOKUP($D142,LGFPOVO,5,FALSE),2)</f>
        <v>0</v>
      </c>
      <c r="AW142" s="220">
        <f t="shared" ref="AW142:AW154" si="191">ROUND(+S142*1/12*VLOOKUP($D142,LGFPOVO,5,FALSE),2)</f>
        <v>0</v>
      </c>
      <c r="AX142" s="65">
        <f t="shared" ref="AX142:AX154" si="192">ROUND(+T142*1/12*VLOOKUP($D142,LGFPOVO,5,FALSE),2)</f>
        <v>0</v>
      </c>
    </row>
    <row r="143" spans="2:50">
      <c r="B143" s="92"/>
      <c r="C143" s="131"/>
      <c r="D143" s="133" t="s">
        <v>108</v>
      </c>
      <c r="E143" s="133"/>
      <c r="F143" s="133" t="s">
        <v>285</v>
      </c>
      <c r="G143" s="243">
        <f t="shared" si="167"/>
        <v>0</v>
      </c>
      <c r="H143" s="234"/>
      <c r="I143" s="170">
        <v>0</v>
      </c>
      <c r="J143" s="170">
        <f t="shared" ref="J143:T143" si="193">+I143</f>
        <v>0</v>
      </c>
      <c r="K143" s="170">
        <f t="shared" si="193"/>
        <v>0</v>
      </c>
      <c r="L143" s="170">
        <f t="shared" si="193"/>
        <v>0</v>
      </c>
      <c r="M143" s="170">
        <f t="shared" si="193"/>
        <v>0</v>
      </c>
      <c r="N143" s="170">
        <f t="shared" si="193"/>
        <v>0</v>
      </c>
      <c r="O143" s="170">
        <f t="shared" si="193"/>
        <v>0</v>
      </c>
      <c r="P143" s="170">
        <f t="shared" si="193"/>
        <v>0</v>
      </c>
      <c r="Q143" s="170">
        <f t="shared" si="193"/>
        <v>0</v>
      </c>
      <c r="R143" s="170">
        <f t="shared" si="193"/>
        <v>0</v>
      </c>
      <c r="S143" s="170">
        <f t="shared" si="193"/>
        <v>0</v>
      </c>
      <c r="T143" s="170">
        <f t="shared" si="193"/>
        <v>0</v>
      </c>
      <c r="U143" s="136"/>
      <c r="V143" s="97"/>
      <c r="Y143" s="220"/>
      <c r="Z143" s="220">
        <f t="shared" si="169"/>
        <v>0</v>
      </c>
      <c r="AA143" s="220">
        <f t="shared" si="170"/>
        <v>0</v>
      </c>
      <c r="AB143" s="220">
        <f t="shared" si="171"/>
        <v>0</v>
      </c>
      <c r="AC143" s="220">
        <f t="shared" si="172"/>
        <v>0</v>
      </c>
      <c r="AD143" s="220">
        <f t="shared" si="173"/>
        <v>0</v>
      </c>
      <c r="AE143" s="220">
        <f t="shared" si="174"/>
        <v>0</v>
      </c>
      <c r="AF143" s="220">
        <f t="shared" si="175"/>
        <v>0</v>
      </c>
      <c r="AG143" s="220">
        <f t="shared" si="176"/>
        <v>0</v>
      </c>
      <c r="AH143" s="220">
        <f t="shared" si="177"/>
        <v>0</v>
      </c>
      <c r="AI143" s="220">
        <f t="shared" si="178"/>
        <v>0</v>
      </c>
      <c r="AJ143" s="220">
        <f t="shared" si="179"/>
        <v>0</v>
      </c>
      <c r="AK143" s="65">
        <f t="shared" si="180"/>
        <v>0</v>
      </c>
      <c r="AL143" s="220"/>
      <c r="AM143" s="220">
        <f t="shared" si="181"/>
        <v>0</v>
      </c>
      <c r="AN143" s="220">
        <f t="shared" si="182"/>
        <v>0</v>
      </c>
      <c r="AO143" s="220">
        <f t="shared" si="183"/>
        <v>0</v>
      </c>
      <c r="AP143" s="220">
        <f t="shared" si="184"/>
        <v>0</v>
      </c>
      <c r="AQ143" s="220">
        <f t="shared" si="185"/>
        <v>0</v>
      </c>
      <c r="AR143" s="220">
        <f t="shared" si="186"/>
        <v>0</v>
      </c>
      <c r="AS143" s="220">
        <f t="shared" si="187"/>
        <v>0</v>
      </c>
      <c r="AT143" s="220">
        <f t="shared" si="188"/>
        <v>0</v>
      </c>
      <c r="AU143" s="220">
        <f t="shared" si="189"/>
        <v>0</v>
      </c>
      <c r="AV143" s="220">
        <f t="shared" si="190"/>
        <v>0</v>
      </c>
      <c r="AW143" s="220">
        <f t="shared" si="191"/>
        <v>0</v>
      </c>
      <c r="AX143" s="65">
        <f t="shared" si="192"/>
        <v>0</v>
      </c>
    </row>
    <row r="144" spans="2:50">
      <c r="B144" s="92"/>
      <c r="C144" s="131"/>
      <c r="D144" s="133" t="s">
        <v>109</v>
      </c>
      <c r="E144" s="133"/>
      <c r="F144" s="133" t="s">
        <v>285</v>
      </c>
      <c r="G144" s="243">
        <f t="shared" si="167"/>
        <v>0</v>
      </c>
      <c r="H144" s="234"/>
      <c r="I144" s="170">
        <v>0</v>
      </c>
      <c r="J144" s="170">
        <f t="shared" ref="J144:T144" si="194">+I144</f>
        <v>0</v>
      </c>
      <c r="K144" s="170">
        <f t="shared" si="194"/>
        <v>0</v>
      </c>
      <c r="L144" s="170">
        <f t="shared" si="194"/>
        <v>0</v>
      </c>
      <c r="M144" s="170">
        <f t="shared" si="194"/>
        <v>0</v>
      </c>
      <c r="N144" s="170">
        <f t="shared" si="194"/>
        <v>0</v>
      </c>
      <c r="O144" s="170">
        <f t="shared" si="194"/>
        <v>0</v>
      </c>
      <c r="P144" s="170">
        <f t="shared" si="194"/>
        <v>0</v>
      </c>
      <c r="Q144" s="170">
        <f t="shared" si="194"/>
        <v>0</v>
      </c>
      <c r="R144" s="170">
        <f t="shared" si="194"/>
        <v>0</v>
      </c>
      <c r="S144" s="170">
        <f t="shared" si="194"/>
        <v>0</v>
      </c>
      <c r="T144" s="170">
        <f t="shared" si="194"/>
        <v>0</v>
      </c>
      <c r="U144" s="136"/>
      <c r="V144" s="97"/>
      <c r="Y144" s="220"/>
      <c r="Z144" s="220">
        <f t="shared" si="169"/>
        <v>0</v>
      </c>
      <c r="AA144" s="220">
        <f t="shared" si="170"/>
        <v>0</v>
      </c>
      <c r="AB144" s="220">
        <f t="shared" si="171"/>
        <v>0</v>
      </c>
      <c r="AC144" s="220">
        <f t="shared" si="172"/>
        <v>0</v>
      </c>
      <c r="AD144" s="220">
        <f t="shared" si="173"/>
        <v>0</v>
      </c>
      <c r="AE144" s="220">
        <f t="shared" si="174"/>
        <v>0</v>
      </c>
      <c r="AF144" s="220">
        <f t="shared" si="175"/>
        <v>0</v>
      </c>
      <c r="AG144" s="220">
        <f t="shared" si="176"/>
        <v>0</v>
      </c>
      <c r="AH144" s="220">
        <f t="shared" si="177"/>
        <v>0</v>
      </c>
      <c r="AI144" s="220">
        <f t="shared" si="178"/>
        <v>0</v>
      </c>
      <c r="AJ144" s="220">
        <f t="shared" si="179"/>
        <v>0</v>
      </c>
      <c r="AK144" s="65">
        <f t="shared" si="180"/>
        <v>0</v>
      </c>
      <c r="AL144" s="220"/>
      <c r="AM144" s="220">
        <f t="shared" si="181"/>
        <v>0</v>
      </c>
      <c r="AN144" s="220">
        <f t="shared" si="182"/>
        <v>0</v>
      </c>
      <c r="AO144" s="220">
        <f t="shared" si="183"/>
        <v>0</v>
      </c>
      <c r="AP144" s="220">
        <f t="shared" si="184"/>
        <v>0</v>
      </c>
      <c r="AQ144" s="220">
        <f t="shared" si="185"/>
        <v>0</v>
      </c>
      <c r="AR144" s="220">
        <f t="shared" si="186"/>
        <v>0</v>
      </c>
      <c r="AS144" s="220">
        <f t="shared" si="187"/>
        <v>0</v>
      </c>
      <c r="AT144" s="220">
        <f t="shared" si="188"/>
        <v>0</v>
      </c>
      <c r="AU144" s="220">
        <f t="shared" si="189"/>
        <v>0</v>
      </c>
      <c r="AV144" s="220">
        <f t="shared" si="190"/>
        <v>0</v>
      </c>
      <c r="AW144" s="220">
        <f t="shared" si="191"/>
        <v>0</v>
      </c>
      <c r="AX144" s="65">
        <f t="shared" si="192"/>
        <v>0</v>
      </c>
    </row>
    <row r="145" spans="2:50">
      <c r="B145" s="92"/>
      <c r="C145" s="131"/>
      <c r="D145" s="133" t="s">
        <v>110</v>
      </c>
      <c r="E145" s="133"/>
      <c r="F145" s="133" t="s">
        <v>285</v>
      </c>
      <c r="G145" s="243">
        <f t="shared" si="167"/>
        <v>0</v>
      </c>
      <c r="H145" s="234"/>
      <c r="I145" s="170">
        <v>0</v>
      </c>
      <c r="J145" s="170">
        <f t="shared" ref="J145:T145" si="195">+I145</f>
        <v>0</v>
      </c>
      <c r="K145" s="170">
        <f t="shared" si="195"/>
        <v>0</v>
      </c>
      <c r="L145" s="170">
        <f t="shared" si="195"/>
        <v>0</v>
      </c>
      <c r="M145" s="170">
        <f t="shared" si="195"/>
        <v>0</v>
      </c>
      <c r="N145" s="170">
        <f t="shared" si="195"/>
        <v>0</v>
      </c>
      <c r="O145" s="170">
        <f t="shared" si="195"/>
        <v>0</v>
      </c>
      <c r="P145" s="170">
        <f t="shared" si="195"/>
        <v>0</v>
      </c>
      <c r="Q145" s="170">
        <f t="shared" si="195"/>
        <v>0</v>
      </c>
      <c r="R145" s="170">
        <f t="shared" si="195"/>
        <v>0</v>
      </c>
      <c r="S145" s="170">
        <f t="shared" si="195"/>
        <v>0</v>
      </c>
      <c r="T145" s="170">
        <f t="shared" si="195"/>
        <v>0</v>
      </c>
      <c r="U145" s="136"/>
      <c r="V145" s="97"/>
      <c r="Y145" s="220"/>
      <c r="Z145" s="220">
        <f t="shared" si="169"/>
        <v>0</v>
      </c>
      <c r="AA145" s="220">
        <f t="shared" si="170"/>
        <v>0</v>
      </c>
      <c r="AB145" s="220">
        <f t="shared" si="171"/>
        <v>0</v>
      </c>
      <c r="AC145" s="220">
        <f t="shared" si="172"/>
        <v>0</v>
      </c>
      <c r="AD145" s="220">
        <f t="shared" si="173"/>
        <v>0</v>
      </c>
      <c r="AE145" s="220">
        <f t="shared" si="174"/>
        <v>0</v>
      </c>
      <c r="AF145" s="220">
        <f t="shared" si="175"/>
        <v>0</v>
      </c>
      <c r="AG145" s="220">
        <f t="shared" si="176"/>
        <v>0</v>
      </c>
      <c r="AH145" s="220">
        <f t="shared" si="177"/>
        <v>0</v>
      </c>
      <c r="AI145" s="220">
        <f t="shared" si="178"/>
        <v>0</v>
      </c>
      <c r="AJ145" s="220">
        <f t="shared" si="179"/>
        <v>0</v>
      </c>
      <c r="AK145" s="65">
        <f t="shared" si="180"/>
        <v>0</v>
      </c>
      <c r="AL145" s="220"/>
      <c r="AM145" s="220">
        <f t="shared" si="181"/>
        <v>0</v>
      </c>
      <c r="AN145" s="220">
        <f t="shared" si="182"/>
        <v>0</v>
      </c>
      <c r="AO145" s="220">
        <f t="shared" si="183"/>
        <v>0</v>
      </c>
      <c r="AP145" s="220">
        <f t="shared" si="184"/>
        <v>0</v>
      </c>
      <c r="AQ145" s="220">
        <f t="shared" si="185"/>
        <v>0</v>
      </c>
      <c r="AR145" s="220">
        <f t="shared" si="186"/>
        <v>0</v>
      </c>
      <c r="AS145" s="220">
        <f t="shared" si="187"/>
        <v>0</v>
      </c>
      <c r="AT145" s="220">
        <f t="shared" si="188"/>
        <v>0</v>
      </c>
      <c r="AU145" s="220">
        <f t="shared" si="189"/>
        <v>0</v>
      </c>
      <c r="AV145" s="220">
        <f t="shared" si="190"/>
        <v>0</v>
      </c>
      <c r="AW145" s="220">
        <f t="shared" si="191"/>
        <v>0</v>
      </c>
      <c r="AX145" s="65">
        <f t="shared" si="192"/>
        <v>0</v>
      </c>
    </row>
    <row r="146" spans="2:50">
      <c r="B146" s="92"/>
      <c r="C146" s="131"/>
      <c r="D146" s="133" t="s">
        <v>112</v>
      </c>
      <c r="E146" s="133"/>
      <c r="F146" s="133" t="s">
        <v>285</v>
      </c>
      <c r="G146" s="243">
        <f t="shared" si="167"/>
        <v>0</v>
      </c>
      <c r="H146" s="234"/>
      <c r="I146" s="170">
        <v>0</v>
      </c>
      <c r="J146" s="170">
        <f t="shared" ref="J146:T146" si="196">+I146</f>
        <v>0</v>
      </c>
      <c r="K146" s="170">
        <f t="shared" si="196"/>
        <v>0</v>
      </c>
      <c r="L146" s="170">
        <f t="shared" si="196"/>
        <v>0</v>
      </c>
      <c r="M146" s="170">
        <f t="shared" si="196"/>
        <v>0</v>
      </c>
      <c r="N146" s="170">
        <f t="shared" si="196"/>
        <v>0</v>
      </c>
      <c r="O146" s="170">
        <f t="shared" si="196"/>
        <v>0</v>
      </c>
      <c r="P146" s="170">
        <f t="shared" si="196"/>
        <v>0</v>
      </c>
      <c r="Q146" s="170">
        <f t="shared" si="196"/>
        <v>0</v>
      </c>
      <c r="R146" s="170">
        <f t="shared" si="196"/>
        <v>0</v>
      </c>
      <c r="S146" s="170">
        <f t="shared" si="196"/>
        <v>0</v>
      </c>
      <c r="T146" s="170">
        <f t="shared" si="196"/>
        <v>0</v>
      </c>
      <c r="U146" s="136"/>
      <c r="V146" s="97"/>
      <c r="Y146" s="220"/>
      <c r="Z146" s="220">
        <f t="shared" si="169"/>
        <v>0</v>
      </c>
      <c r="AA146" s="220">
        <f t="shared" si="170"/>
        <v>0</v>
      </c>
      <c r="AB146" s="220">
        <f t="shared" si="171"/>
        <v>0</v>
      </c>
      <c r="AC146" s="220">
        <f t="shared" si="172"/>
        <v>0</v>
      </c>
      <c r="AD146" s="220">
        <f t="shared" si="173"/>
        <v>0</v>
      </c>
      <c r="AE146" s="220">
        <f t="shared" si="174"/>
        <v>0</v>
      </c>
      <c r="AF146" s="220">
        <f t="shared" si="175"/>
        <v>0</v>
      </c>
      <c r="AG146" s="220">
        <f t="shared" si="176"/>
        <v>0</v>
      </c>
      <c r="AH146" s="220">
        <f t="shared" si="177"/>
        <v>0</v>
      </c>
      <c r="AI146" s="220">
        <f t="shared" si="178"/>
        <v>0</v>
      </c>
      <c r="AJ146" s="220">
        <f t="shared" si="179"/>
        <v>0</v>
      </c>
      <c r="AK146" s="65">
        <f t="shared" si="180"/>
        <v>0</v>
      </c>
      <c r="AL146" s="220"/>
      <c r="AM146" s="220">
        <f t="shared" si="181"/>
        <v>0</v>
      </c>
      <c r="AN146" s="220">
        <f t="shared" si="182"/>
        <v>0</v>
      </c>
      <c r="AO146" s="220">
        <f t="shared" si="183"/>
        <v>0</v>
      </c>
      <c r="AP146" s="220">
        <f t="shared" si="184"/>
        <v>0</v>
      </c>
      <c r="AQ146" s="220">
        <f t="shared" si="185"/>
        <v>0</v>
      </c>
      <c r="AR146" s="220">
        <f t="shared" si="186"/>
        <v>0</v>
      </c>
      <c r="AS146" s="220">
        <f t="shared" si="187"/>
        <v>0</v>
      </c>
      <c r="AT146" s="220">
        <f t="shared" si="188"/>
        <v>0</v>
      </c>
      <c r="AU146" s="220">
        <f t="shared" si="189"/>
        <v>0</v>
      </c>
      <c r="AV146" s="220">
        <f t="shared" si="190"/>
        <v>0</v>
      </c>
      <c r="AW146" s="220">
        <f t="shared" si="191"/>
        <v>0</v>
      </c>
      <c r="AX146" s="65">
        <f t="shared" si="192"/>
        <v>0</v>
      </c>
    </row>
    <row r="147" spans="2:50">
      <c r="B147" s="92"/>
      <c r="C147" s="131"/>
      <c r="D147" s="133" t="s">
        <v>113</v>
      </c>
      <c r="E147" s="133"/>
      <c r="F147" s="133" t="s">
        <v>285</v>
      </c>
      <c r="G147" s="243">
        <f t="shared" si="167"/>
        <v>0</v>
      </c>
      <c r="H147" s="234"/>
      <c r="I147" s="170">
        <v>0</v>
      </c>
      <c r="J147" s="170">
        <f t="shared" ref="J147:T147" si="197">+I147</f>
        <v>0</v>
      </c>
      <c r="K147" s="170">
        <f t="shared" si="197"/>
        <v>0</v>
      </c>
      <c r="L147" s="170">
        <f t="shared" si="197"/>
        <v>0</v>
      </c>
      <c r="M147" s="170">
        <f t="shared" si="197"/>
        <v>0</v>
      </c>
      <c r="N147" s="170">
        <f t="shared" si="197"/>
        <v>0</v>
      </c>
      <c r="O147" s="170">
        <f t="shared" si="197"/>
        <v>0</v>
      </c>
      <c r="P147" s="170">
        <f t="shared" si="197"/>
        <v>0</v>
      </c>
      <c r="Q147" s="170">
        <f t="shared" si="197"/>
        <v>0</v>
      </c>
      <c r="R147" s="170">
        <f t="shared" si="197"/>
        <v>0</v>
      </c>
      <c r="S147" s="170">
        <f t="shared" si="197"/>
        <v>0</v>
      </c>
      <c r="T147" s="170">
        <f t="shared" si="197"/>
        <v>0</v>
      </c>
      <c r="U147" s="136"/>
      <c r="V147" s="97"/>
      <c r="Y147" s="220"/>
      <c r="Z147" s="220">
        <f t="shared" si="169"/>
        <v>0</v>
      </c>
      <c r="AA147" s="220">
        <f t="shared" si="170"/>
        <v>0</v>
      </c>
      <c r="AB147" s="220">
        <f t="shared" si="171"/>
        <v>0</v>
      </c>
      <c r="AC147" s="220">
        <f t="shared" si="172"/>
        <v>0</v>
      </c>
      <c r="AD147" s="220">
        <f t="shared" si="173"/>
        <v>0</v>
      </c>
      <c r="AE147" s="220">
        <f t="shared" si="174"/>
        <v>0</v>
      </c>
      <c r="AF147" s="220">
        <f t="shared" si="175"/>
        <v>0</v>
      </c>
      <c r="AG147" s="220">
        <f t="shared" si="176"/>
        <v>0</v>
      </c>
      <c r="AH147" s="220">
        <f t="shared" si="177"/>
        <v>0</v>
      </c>
      <c r="AI147" s="220">
        <f t="shared" si="178"/>
        <v>0</v>
      </c>
      <c r="AJ147" s="220">
        <f t="shared" si="179"/>
        <v>0</v>
      </c>
      <c r="AK147" s="65">
        <f t="shared" si="180"/>
        <v>0</v>
      </c>
      <c r="AL147" s="220"/>
      <c r="AM147" s="220">
        <f t="shared" si="181"/>
        <v>0</v>
      </c>
      <c r="AN147" s="220">
        <f t="shared" si="182"/>
        <v>0</v>
      </c>
      <c r="AO147" s="220">
        <f t="shared" si="183"/>
        <v>0</v>
      </c>
      <c r="AP147" s="220">
        <f t="shared" si="184"/>
        <v>0</v>
      </c>
      <c r="AQ147" s="220">
        <f t="shared" si="185"/>
        <v>0</v>
      </c>
      <c r="AR147" s="220">
        <f t="shared" si="186"/>
        <v>0</v>
      </c>
      <c r="AS147" s="220">
        <f t="shared" si="187"/>
        <v>0</v>
      </c>
      <c r="AT147" s="220">
        <f t="shared" si="188"/>
        <v>0</v>
      </c>
      <c r="AU147" s="220">
        <f t="shared" si="189"/>
        <v>0</v>
      </c>
      <c r="AV147" s="220">
        <f t="shared" si="190"/>
        <v>0</v>
      </c>
      <c r="AW147" s="220">
        <f t="shared" si="191"/>
        <v>0</v>
      </c>
      <c r="AX147" s="65">
        <f t="shared" si="192"/>
        <v>0</v>
      </c>
    </row>
    <row r="148" spans="2:50">
      <c r="B148" s="92"/>
      <c r="C148" s="131"/>
      <c r="D148" s="133" t="s">
        <v>111</v>
      </c>
      <c r="E148" s="133"/>
      <c r="F148" s="133" t="s">
        <v>285</v>
      </c>
      <c r="G148" s="243">
        <f t="shared" si="167"/>
        <v>0</v>
      </c>
      <c r="H148" s="234"/>
      <c r="I148" s="170">
        <v>0</v>
      </c>
      <c r="J148" s="170">
        <f t="shared" ref="J148:T148" si="198">+I148</f>
        <v>0</v>
      </c>
      <c r="K148" s="170">
        <f t="shared" si="198"/>
        <v>0</v>
      </c>
      <c r="L148" s="170">
        <f t="shared" si="198"/>
        <v>0</v>
      </c>
      <c r="M148" s="170">
        <f t="shared" si="198"/>
        <v>0</v>
      </c>
      <c r="N148" s="170">
        <f t="shared" si="198"/>
        <v>0</v>
      </c>
      <c r="O148" s="170">
        <f t="shared" si="198"/>
        <v>0</v>
      </c>
      <c r="P148" s="170">
        <f t="shared" si="198"/>
        <v>0</v>
      </c>
      <c r="Q148" s="170">
        <f t="shared" si="198"/>
        <v>0</v>
      </c>
      <c r="R148" s="170">
        <f t="shared" si="198"/>
        <v>0</v>
      </c>
      <c r="S148" s="170">
        <f t="shared" si="198"/>
        <v>0</v>
      </c>
      <c r="T148" s="170">
        <f t="shared" si="198"/>
        <v>0</v>
      </c>
      <c r="U148" s="136"/>
      <c r="V148" s="97"/>
      <c r="Y148" s="220"/>
      <c r="Z148" s="220">
        <f t="shared" si="169"/>
        <v>0</v>
      </c>
      <c r="AA148" s="220">
        <f t="shared" si="170"/>
        <v>0</v>
      </c>
      <c r="AB148" s="220">
        <f t="shared" si="171"/>
        <v>0</v>
      </c>
      <c r="AC148" s="220">
        <f t="shared" si="172"/>
        <v>0</v>
      </c>
      <c r="AD148" s="220">
        <f t="shared" si="173"/>
        <v>0</v>
      </c>
      <c r="AE148" s="220">
        <f t="shared" si="174"/>
        <v>0</v>
      </c>
      <c r="AF148" s="220">
        <f t="shared" si="175"/>
        <v>0</v>
      </c>
      <c r="AG148" s="220">
        <f t="shared" si="176"/>
        <v>0</v>
      </c>
      <c r="AH148" s="220">
        <f t="shared" si="177"/>
        <v>0</v>
      </c>
      <c r="AI148" s="220">
        <f t="shared" si="178"/>
        <v>0</v>
      </c>
      <c r="AJ148" s="220">
        <f t="shared" si="179"/>
        <v>0</v>
      </c>
      <c r="AK148" s="65">
        <f t="shared" si="180"/>
        <v>0</v>
      </c>
      <c r="AL148" s="220"/>
      <c r="AM148" s="220">
        <f t="shared" si="181"/>
        <v>0</v>
      </c>
      <c r="AN148" s="220">
        <f t="shared" si="182"/>
        <v>0</v>
      </c>
      <c r="AO148" s="220">
        <f t="shared" si="183"/>
        <v>0</v>
      </c>
      <c r="AP148" s="220">
        <f t="shared" si="184"/>
        <v>0</v>
      </c>
      <c r="AQ148" s="220">
        <f t="shared" si="185"/>
        <v>0</v>
      </c>
      <c r="AR148" s="220">
        <f t="shared" si="186"/>
        <v>0</v>
      </c>
      <c r="AS148" s="220">
        <f t="shared" si="187"/>
        <v>0</v>
      </c>
      <c r="AT148" s="220">
        <f t="shared" si="188"/>
        <v>0</v>
      </c>
      <c r="AU148" s="220">
        <f t="shared" si="189"/>
        <v>0</v>
      </c>
      <c r="AV148" s="220">
        <f t="shared" si="190"/>
        <v>0</v>
      </c>
      <c r="AW148" s="220">
        <f t="shared" si="191"/>
        <v>0</v>
      </c>
      <c r="AX148" s="65">
        <f t="shared" si="192"/>
        <v>0</v>
      </c>
    </row>
    <row r="149" spans="2:50">
      <c r="B149" s="92"/>
      <c r="C149" s="131"/>
      <c r="D149" s="133" t="s">
        <v>114</v>
      </c>
      <c r="E149" s="133"/>
      <c r="F149" s="133" t="s">
        <v>285</v>
      </c>
      <c r="G149" s="243">
        <f t="shared" si="167"/>
        <v>0</v>
      </c>
      <c r="H149" s="234"/>
      <c r="I149" s="170">
        <v>0</v>
      </c>
      <c r="J149" s="170">
        <f t="shared" ref="J149:T149" si="199">+I149</f>
        <v>0</v>
      </c>
      <c r="K149" s="170">
        <f t="shared" si="199"/>
        <v>0</v>
      </c>
      <c r="L149" s="170">
        <f t="shared" si="199"/>
        <v>0</v>
      </c>
      <c r="M149" s="170">
        <f t="shared" si="199"/>
        <v>0</v>
      </c>
      <c r="N149" s="170">
        <f t="shared" si="199"/>
        <v>0</v>
      </c>
      <c r="O149" s="170">
        <f t="shared" si="199"/>
        <v>0</v>
      </c>
      <c r="P149" s="170">
        <f t="shared" si="199"/>
        <v>0</v>
      </c>
      <c r="Q149" s="170">
        <f t="shared" si="199"/>
        <v>0</v>
      </c>
      <c r="R149" s="170">
        <f t="shared" si="199"/>
        <v>0</v>
      </c>
      <c r="S149" s="170">
        <f t="shared" si="199"/>
        <v>0</v>
      </c>
      <c r="T149" s="170">
        <f t="shared" si="199"/>
        <v>0</v>
      </c>
      <c r="U149" s="136"/>
      <c r="V149" s="97"/>
      <c r="Y149" s="220"/>
      <c r="Z149" s="220">
        <f t="shared" si="169"/>
        <v>0</v>
      </c>
      <c r="AA149" s="220">
        <f t="shared" si="170"/>
        <v>0</v>
      </c>
      <c r="AB149" s="220">
        <f t="shared" si="171"/>
        <v>0</v>
      </c>
      <c r="AC149" s="220">
        <f t="shared" si="172"/>
        <v>0</v>
      </c>
      <c r="AD149" s="220">
        <f t="shared" si="173"/>
        <v>0</v>
      </c>
      <c r="AE149" s="220">
        <f t="shared" si="174"/>
        <v>0</v>
      </c>
      <c r="AF149" s="220">
        <f t="shared" si="175"/>
        <v>0</v>
      </c>
      <c r="AG149" s="220">
        <f t="shared" si="176"/>
        <v>0</v>
      </c>
      <c r="AH149" s="220">
        <f t="shared" si="177"/>
        <v>0</v>
      </c>
      <c r="AI149" s="220">
        <f t="shared" si="178"/>
        <v>0</v>
      </c>
      <c r="AJ149" s="220">
        <f t="shared" si="179"/>
        <v>0</v>
      </c>
      <c r="AK149" s="65">
        <f t="shared" si="180"/>
        <v>0</v>
      </c>
      <c r="AL149" s="220"/>
      <c r="AM149" s="220">
        <f t="shared" si="181"/>
        <v>0</v>
      </c>
      <c r="AN149" s="220">
        <f t="shared" si="182"/>
        <v>0</v>
      </c>
      <c r="AO149" s="220">
        <f t="shared" si="183"/>
        <v>0</v>
      </c>
      <c r="AP149" s="220">
        <f t="shared" si="184"/>
        <v>0</v>
      </c>
      <c r="AQ149" s="220">
        <f t="shared" si="185"/>
        <v>0</v>
      </c>
      <c r="AR149" s="220">
        <f t="shared" si="186"/>
        <v>0</v>
      </c>
      <c r="AS149" s="220">
        <f t="shared" si="187"/>
        <v>0</v>
      </c>
      <c r="AT149" s="220">
        <f t="shared" si="188"/>
        <v>0</v>
      </c>
      <c r="AU149" s="220">
        <f t="shared" si="189"/>
        <v>0</v>
      </c>
      <c r="AV149" s="220">
        <f t="shared" si="190"/>
        <v>0</v>
      </c>
      <c r="AW149" s="220">
        <f t="shared" si="191"/>
        <v>0</v>
      </c>
      <c r="AX149" s="65">
        <f t="shared" si="192"/>
        <v>0</v>
      </c>
    </row>
    <row r="150" spans="2:50">
      <c r="B150" s="92"/>
      <c r="C150" s="131"/>
      <c r="D150" s="133" t="s">
        <v>115</v>
      </c>
      <c r="E150" s="133"/>
      <c r="F150" s="133" t="s">
        <v>285</v>
      </c>
      <c r="G150" s="243">
        <f t="shared" si="167"/>
        <v>0</v>
      </c>
      <c r="H150" s="234"/>
      <c r="I150" s="170">
        <v>0</v>
      </c>
      <c r="J150" s="170">
        <f t="shared" ref="J150:T150" si="200">+I150</f>
        <v>0</v>
      </c>
      <c r="K150" s="170">
        <f t="shared" si="200"/>
        <v>0</v>
      </c>
      <c r="L150" s="170">
        <f t="shared" si="200"/>
        <v>0</v>
      </c>
      <c r="M150" s="170">
        <f t="shared" si="200"/>
        <v>0</v>
      </c>
      <c r="N150" s="170">
        <f t="shared" si="200"/>
        <v>0</v>
      </c>
      <c r="O150" s="170">
        <f t="shared" si="200"/>
        <v>0</v>
      </c>
      <c r="P150" s="170">
        <f t="shared" si="200"/>
        <v>0</v>
      </c>
      <c r="Q150" s="170">
        <f t="shared" si="200"/>
        <v>0</v>
      </c>
      <c r="R150" s="170">
        <f t="shared" si="200"/>
        <v>0</v>
      </c>
      <c r="S150" s="170">
        <f t="shared" si="200"/>
        <v>0</v>
      </c>
      <c r="T150" s="170">
        <f t="shared" si="200"/>
        <v>0</v>
      </c>
      <c r="U150" s="136"/>
      <c r="V150" s="97"/>
      <c r="Y150" s="220"/>
      <c r="Z150" s="220">
        <f t="shared" si="169"/>
        <v>0</v>
      </c>
      <c r="AA150" s="220">
        <f t="shared" si="170"/>
        <v>0</v>
      </c>
      <c r="AB150" s="220">
        <f t="shared" si="171"/>
        <v>0</v>
      </c>
      <c r="AC150" s="220">
        <f t="shared" si="172"/>
        <v>0</v>
      </c>
      <c r="AD150" s="220">
        <f t="shared" si="173"/>
        <v>0</v>
      </c>
      <c r="AE150" s="220">
        <f t="shared" si="174"/>
        <v>0</v>
      </c>
      <c r="AF150" s="220">
        <f t="shared" si="175"/>
        <v>0</v>
      </c>
      <c r="AG150" s="220">
        <f t="shared" si="176"/>
        <v>0</v>
      </c>
      <c r="AH150" s="220">
        <f t="shared" si="177"/>
        <v>0</v>
      </c>
      <c r="AI150" s="220">
        <f t="shared" si="178"/>
        <v>0</v>
      </c>
      <c r="AJ150" s="220">
        <f t="shared" si="179"/>
        <v>0</v>
      </c>
      <c r="AK150" s="65">
        <f t="shared" si="180"/>
        <v>0</v>
      </c>
      <c r="AL150" s="220"/>
      <c r="AM150" s="220">
        <f t="shared" si="181"/>
        <v>0</v>
      </c>
      <c r="AN150" s="220">
        <f t="shared" si="182"/>
        <v>0</v>
      </c>
      <c r="AO150" s="220">
        <f t="shared" si="183"/>
        <v>0</v>
      </c>
      <c r="AP150" s="220">
        <f t="shared" si="184"/>
        <v>0</v>
      </c>
      <c r="AQ150" s="220">
        <f t="shared" si="185"/>
        <v>0</v>
      </c>
      <c r="AR150" s="220">
        <f t="shared" si="186"/>
        <v>0</v>
      </c>
      <c r="AS150" s="220">
        <f t="shared" si="187"/>
        <v>0</v>
      </c>
      <c r="AT150" s="220">
        <f t="shared" si="188"/>
        <v>0</v>
      </c>
      <c r="AU150" s="220">
        <f t="shared" si="189"/>
        <v>0</v>
      </c>
      <c r="AV150" s="220">
        <f t="shared" si="190"/>
        <v>0</v>
      </c>
      <c r="AW150" s="220">
        <f t="shared" si="191"/>
        <v>0</v>
      </c>
      <c r="AX150" s="65">
        <f t="shared" si="192"/>
        <v>0</v>
      </c>
    </row>
    <row r="151" spans="2:50">
      <c r="B151" s="92"/>
      <c r="C151" s="131"/>
      <c r="D151" s="133" t="s">
        <v>117</v>
      </c>
      <c r="E151" s="133"/>
      <c r="F151" s="133" t="s">
        <v>285</v>
      </c>
      <c r="G151" s="243">
        <f t="shared" si="167"/>
        <v>0</v>
      </c>
      <c r="H151" s="234"/>
      <c r="I151" s="170">
        <v>0</v>
      </c>
      <c r="J151" s="170">
        <f t="shared" ref="J151:T151" si="201">+I151</f>
        <v>0</v>
      </c>
      <c r="K151" s="170">
        <f t="shared" si="201"/>
        <v>0</v>
      </c>
      <c r="L151" s="170">
        <f t="shared" si="201"/>
        <v>0</v>
      </c>
      <c r="M151" s="170">
        <f t="shared" si="201"/>
        <v>0</v>
      </c>
      <c r="N151" s="170">
        <f t="shared" si="201"/>
        <v>0</v>
      </c>
      <c r="O151" s="170">
        <f t="shared" si="201"/>
        <v>0</v>
      </c>
      <c r="P151" s="170">
        <f t="shared" si="201"/>
        <v>0</v>
      </c>
      <c r="Q151" s="170">
        <f t="shared" si="201"/>
        <v>0</v>
      </c>
      <c r="R151" s="170">
        <f t="shared" si="201"/>
        <v>0</v>
      </c>
      <c r="S151" s="170">
        <f t="shared" si="201"/>
        <v>0</v>
      </c>
      <c r="T151" s="170">
        <f t="shared" si="201"/>
        <v>0</v>
      </c>
      <c r="U151" s="136"/>
      <c r="V151" s="97"/>
      <c r="Y151" s="220"/>
      <c r="Z151" s="220">
        <f t="shared" si="169"/>
        <v>0</v>
      </c>
      <c r="AA151" s="220">
        <f t="shared" si="170"/>
        <v>0</v>
      </c>
      <c r="AB151" s="220">
        <f t="shared" si="171"/>
        <v>0</v>
      </c>
      <c r="AC151" s="220">
        <f t="shared" si="172"/>
        <v>0</v>
      </c>
      <c r="AD151" s="220">
        <f t="shared" si="173"/>
        <v>0</v>
      </c>
      <c r="AE151" s="220">
        <f t="shared" si="174"/>
        <v>0</v>
      </c>
      <c r="AF151" s="220">
        <f t="shared" si="175"/>
        <v>0</v>
      </c>
      <c r="AG151" s="220">
        <f t="shared" si="176"/>
        <v>0</v>
      </c>
      <c r="AH151" s="220">
        <f t="shared" si="177"/>
        <v>0</v>
      </c>
      <c r="AI151" s="220">
        <f t="shared" si="178"/>
        <v>0</v>
      </c>
      <c r="AJ151" s="220">
        <f t="shared" si="179"/>
        <v>0</v>
      </c>
      <c r="AK151" s="65">
        <f t="shared" si="180"/>
        <v>0</v>
      </c>
      <c r="AL151" s="220"/>
      <c r="AM151" s="220">
        <f t="shared" si="181"/>
        <v>0</v>
      </c>
      <c r="AN151" s="220">
        <f t="shared" si="182"/>
        <v>0</v>
      </c>
      <c r="AO151" s="220">
        <f t="shared" si="183"/>
        <v>0</v>
      </c>
      <c r="AP151" s="220">
        <f t="shared" si="184"/>
        <v>0</v>
      </c>
      <c r="AQ151" s="220">
        <f t="shared" si="185"/>
        <v>0</v>
      </c>
      <c r="AR151" s="220">
        <f t="shared" si="186"/>
        <v>0</v>
      </c>
      <c r="AS151" s="220">
        <f t="shared" si="187"/>
        <v>0</v>
      </c>
      <c r="AT151" s="220">
        <f t="shared" si="188"/>
        <v>0</v>
      </c>
      <c r="AU151" s="220">
        <f t="shared" si="189"/>
        <v>0</v>
      </c>
      <c r="AV151" s="220">
        <f t="shared" si="190"/>
        <v>0</v>
      </c>
      <c r="AW151" s="220">
        <f t="shared" si="191"/>
        <v>0</v>
      </c>
      <c r="AX151" s="65">
        <f t="shared" si="192"/>
        <v>0</v>
      </c>
    </row>
    <row r="152" spans="2:50">
      <c r="B152" s="92"/>
      <c r="C152" s="131"/>
      <c r="D152" s="133" t="s">
        <v>118</v>
      </c>
      <c r="E152" s="133"/>
      <c r="F152" s="133" t="s">
        <v>285</v>
      </c>
      <c r="G152" s="243">
        <f t="shared" si="167"/>
        <v>0</v>
      </c>
      <c r="H152" s="234"/>
      <c r="I152" s="170">
        <v>0</v>
      </c>
      <c r="J152" s="170">
        <f t="shared" ref="J152:T152" si="202">+I152</f>
        <v>0</v>
      </c>
      <c r="K152" s="170">
        <f t="shared" si="202"/>
        <v>0</v>
      </c>
      <c r="L152" s="170">
        <f t="shared" si="202"/>
        <v>0</v>
      </c>
      <c r="M152" s="170">
        <f t="shared" si="202"/>
        <v>0</v>
      </c>
      <c r="N152" s="170">
        <f t="shared" si="202"/>
        <v>0</v>
      </c>
      <c r="O152" s="170">
        <f t="shared" si="202"/>
        <v>0</v>
      </c>
      <c r="P152" s="170">
        <f t="shared" si="202"/>
        <v>0</v>
      </c>
      <c r="Q152" s="170">
        <f t="shared" si="202"/>
        <v>0</v>
      </c>
      <c r="R152" s="170">
        <f t="shared" si="202"/>
        <v>0</v>
      </c>
      <c r="S152" s="170">
        <f t="shared" si="202"/>
        <v>0</v>
      </c>
      <c r="T152" s="170">
        <f t="shared" si="202"/>
        <v>0</v>
      </c>
      <c r="U152" s="136"/>
      <c r="V152" s="97"/>
      <c r="Y152" s="220"/>
      <c r="Z152" s="220">
        <f t="shared" si="169"/>
        <v>0</v>
      </c>
      <c r="AA152" s="220">
        <f t="shared" si="170"/>
        <v>0</v>
      </c>
      <c r="AB152" s="220">
        <f t="shared" si="171"/>
        <v>0</v>
      </c>
      <c r="AC152" s="220">
        <f t="shared" si="172"/>
        <v>0</v>
      </c>
      <c r="AD152" s="220">
        <f t="shared" si="173"/>
        <v>0</v>
      </c>
      <c r="AE152" s="220">
        <f t="shared" si="174"/>
        <v>0</v>
      </c>
      <c r="AF152" s="220">
        <f t="shared" si="175"/>
        <v>0</v>
      </c>
      <c r="AG152" s="220">
        <f t="shared" si="176"/>
        <v>0</v>
      </c>
      <c r="AH152" s="220">
        <f t="shared" si="177"/>
        <v>0</v>
      </c>
      <c r="AI152" s="220">
        <f t="shared" si="178"/>
        <v>0</v>
      </c>
      <c r="AJ152" s="220">
        <f t="shared" si="179"/>
        <v>0</v>
      </c>
      <c r="AK152" s="65">
        <f t="shared" si="180"/>
        <v>0</v>
      </c>
      <c r="AL152" s="220"/>
      <c r="AM152" s="220">
        <f t="shared" si="181"/>
        <v>0</v>
      </c>
      <c r="AN152" s="220">
        <f t="shared" si="182"/>
        <v>0</v>
      </c>
      <c r="AO152" s="220">
        <f t="shared" si="183"/>
        <v>0</v>
      </c>
      <c r="AP152" s="220">
        <f t="shared" si="184"/>
        <v>0</v>
      </c>
      <c r="AQ152" s="220">
        <f t="shared" si="185"/>
        <v>0</v>
      </c>
      <c r="AR152" s="220">
        <f t="shared" si="186"/>
        <v>0</v>
      </c>
      <c r="AS152" s="220">
        <f t="shared" si="187"/>
        <v>0</v>
      </c>
      <c r="AT152" s="220">
        <f t="shared" si="188"/>
        <v>0</v>
      </c>
      <c r="AU152" s="220">
        <f t="shared" si="189"/>
        <v>0</v>
      </c>
      <c r="AV152" s="220">
        <f t="shared" si="190"/>
        <v>0</v>
      </c>
      <c r="AW152" s="220">
        <f t="shared" si="191"/>
        <v>0</v>
      </c>
      <c r="AX152" s="65">
        <f t="shared" si="192"/>
        <v>0</v>
      </c>
    </row>
    <row r="153" spans="2:50">
      <c r="B153" s="92"/>
      <c r="C153" s="131"/>
      <c r="D153" s="133" t="s">
        <v>116</v>
      </c>
      <c r="E153" s="133"/>
      <c r="F153" s="133" t="s">
        <v>285</v>
      </c>
      <c r="G153" s="243">
        <f t="shared" si="167"/>
        <v>0</v>
      </c>
      <c r="H153" s="234"/>
      <c r="I153" s="170">
        <v>0</v>
      </c>
      <c r="J153" s="170">
        <f t="shared" ref="J153:T153" si="203">+I153</f>
        <v>0</v>
      </c>
      <c r="K153" s="170">
        <f t="shared" si="203"/>
        <v>0</v>
      </c>
      <c r="L153" s="170">
        <f t="shared" si="203"/>
        <v>0</v>
      </c>
      <c r="M153" s="170">
        <f t="shared" si="203"/>
        <v>0</v>
      </c>
      <c r="N153" s="170">
        <f t="shared" si="203"/>
        <v>0</v>
      </c>
      <c r="O153" s="170">
        <f t="shared" si="203"/>
        <v>0</v>
      </c>
      <c r="P153" s="170">
        <f t="shared" si="203"/>
        <v>0</v>
      </c>
      <c r="Q153" s="170">
        <f t="shared" si="203"/>
        <v>0</v>
      </c>
      <c r="R153" s="170">
        <f t="shared" si="203"/>
        <v>0</v>
      </c>
      <c r="S153" s="170">
        <f t="shared" si="203"/>
        <v>0</v>
      </c>
      <c r="T153" s="170">
        <f t="shared" si="203"/>
        <v>0</v>
      </c>
      <c r="U153" s="136"/>
      <c r="V153" s="97"/>
      <c r="Y153" s="220"/>
      <c r="Z153" s="220">
        <f t="shared" si="169"/>
        <v>0</v>
      </c>
      <c r="AA153" s="220">
        <f t="shared" si="170"/>
        <v>0</v>
      </c>
      <c r="AB153" s="220">
        <f t="shared" si="171"/>
        <v>0</v>
      </c>
      <c r="AC153" s="220">
        <f t="shared" si="172"/>
        <v>0</v>
      </c>
      <c r="AD153" s="220">
        <f t="shared" si="173"/>
        <v>0</v>
      </c>
      <c r="AE153" s="220">
        <f t="shared" si="174"/>
        <v>0</v>
      </c>
      <c r="AF153" s="220">
        <f t="shared" si="175"/>
        <v>0</v>
      </c>
      <c r="AG153" s="220">
        <f t="shared" si="176"/>
        <v>0</v>
      </c>
      <c r="AH153" s="220">
        <f t="shared" si="177"/>
        <v>0</v>
      </c>
      <c r="AI153" s="220">
        <f t="shared" si="178"/>
        <v>0</v>
      </c>
      <c r="AJ153" s="220">
        <f t="shared" si="179"/>
        <v>0</v>
      </c>
      <c r="AK153" s="65">
        <f t="shared" si="180"/>
        <v>0</v>
      </c>
      <c r="AL153" s="220"/>
      <c r="AM153" s="220">
        <f t="shared" si="181"/>
        <v>0</v>
      </c>
      <c r="AN153" s="220">
        <f t="shared" si="182"/>
        <v>0</v>
      </c>
      <c r="AO153" s="220">
        <f t="shared" si="183"/>
        <v>0</v>
      </c>
      <c r="AP153" s="220">
        <f t="shared" si="184"/>
        <v>0</v>
      </c>
      <c r="AQ153" s="220">
        <f t="shared" si="185"/>
        <v>0</v>
      </c>
      <c r="AR153" s="220">
        <f t="shared" si="186"/>
        <v>0</v>
      </c>
      <c r="AS153" s="220">
        <f t="shared" si="187"/>
        <v>0</v>
      </c>
      <c r="AT153" s="220">
        <f t="shared" si="188"/>
        <v>0</v>
      </c>
      <c r="AU153" s="220">
        <f t="shared" si="189"/>
        <v>0</v>
      </c>
      <c r="AV153" s="220">
        <f t="shared" si="190"/>
        <v>0</v>
      </c>
      <c r="AW153" s="220">
        <f t="shared" si="191"/>
        <v>0</v>
      </c>
      <c r="AX153" s="65">
        <f t="shared" si="192"/>
        <v>0</v>
      </c>
    </row>
    <row r="154" spans="2:50">
      <c r="B154" s="92"/>
      <c r="C154" s="131"/>
      <c r="D154" s="133" t="s">
        <v>119</v>
      </c>
      <c r="E154" s="133"/>
      <c r="F154" s="133" t="s">
        <v>285</v>
      </c>
      <c r="G154" s="243">
        <f t="shared" si="167"/>
        <v>0</v>
      </c>
      <c r="H154" s="234"/>
      <c r="I154" s="170">
        <v>0</v>
      </c>
      <c r="J154" s="170">
        <f t="shared" ref="J154:T154" si="204">+I154</f>
        <v>0</v>
      </c>
      <c r="K154" s="170">
        <f t="shared" si="204"/>
        <v>0</v>
      </c>
      <c r="L154" s="170">
        <f t="shared" si="204"/>
        <v>0</v>
      </c>
      <c r="M154" s="170">
        <f t="shared" si="204"/>
        <v>0</v>
      </c>
      <c r="N154" s="170">
        <f t="shared" si="204"/>
        <v>0</v>
      </c>
      <c r="O154" s="170">
        <f t="shared" si="204"/>
        <v>0</v>
      </c>
      <c r="P154" s="170">
        <f t="shared" si="204"/>
        <v>0</v>
      </c>
      <c r="Q154" s="170">
        <f t="shared" si="204"/>
        <v>0</v>
      </c>
      <c r="R154" s="170">
        <f t="shared" si="204"/>
        <v>0</v>
      </c>
      <c r="S154" s="170">
        <f t="shared" si="204"/>
        <v>0</v>
      </c>
      <c r="T154" s="170">
        <f t="shared" si="204"/>
        <v>0</v>
      </c>
      <c r="U154" s="136"/>
      <c r="V154" s="97"/>
      <c r="Y154" s="220"/>
      <c r="Z154" s="220">
        <f t="shared" si="169"/>
        <v>0</v>
      </c>
      <c r="AA154" s="220">
        <f t="shared" si="170"/>
        <v>0</v>
      </c>
      <c r="AB154" s="220">
        <f t="shared" si="171"/>
        <v>0</v>
      </c>
      <c r="AC154" s="220">
        <f t="shared" si="172"/>
        <v>0</v>
      </c>
      <c r="AD154" s="220">
        <f t="shared" si="173"/>
        <v>0</v>
      </c>
      <c r="AE154" s="220">
        <f t="shared" si="174"/>
        <v>0</v>
      </c>
      <c r="AF154" s="220">
        <f t="shared" si="175"/>
        <v>0</v>
      </c>
      <c r="AG154" s="220">
        <f t="shared" si="176"/>
        <v>0</v>
      </c>
      <c r="AH154" s="220">
        <f t="shared" si="177"/>
        <v>0</v>
      </c>
      <c r="AI154" s="220">
        <f t="shared" si="178"/>
        <v>0</v>
      </c>
      <c r="AJ154" s="220">
        <f t="shared" si="179"/>
        <v>0</v>
      </c>
      <c r="AK154" s="65">
        <f t="shared" si="180"/>
        <v>0</v>
      </c>
      <c r="AL154" s="220"/>
      <c r="AM154" s="220">
        <f t="shared" si="181"/>
        <v>0</v>
      </c>
      <c r="AN154" s="220">
        <f t="shared" si="182"/>
        <v>0</v>
      </c>
      <c r="AO154" s="220">
        <f t="shared" si="183"/>
        <v>0</v>
      </c>
      <c r="AP154" s="220">
        <f t="shared" si="184"/>
        <v>0</v>
      </c>
      <c r="AQ154" s="220">
        <f t="shared" si="185"/>
        <v>0</v>
      </c>
      <c r="AR154" s="220">
        <f t="shared" si="186"/>
        <v>0</v>
      </c>
      <c r="AS154" s="220">
        <f t="shared" si="187"/>
        <v>0</v>
      </c>
      <c r="AT154" s="220">
        <f t="shared" si="188"/>
        <v>0</v>
      </c>
      <c r="AU154" s="220">
        <f t="shared" si="189"/>
        <v>0</v>
      </c>
      <c r="AV154" s="220">
        <f t="shared" si="190"/>
        <v>0</v>
      </c>
      <c r="AW154" s="220">
        <f t="shared" si="191"/>
        <v>0</v>
      </c>
      <c r="AX154" s="65">
        <f t="shared" si="192"/>
        <v>0</v>
      </c>
    </row>
    <row r="155" spans="2:50">
      <c r="B155" s="92"/>
      <c r="C155" s="131"/>
      <c r="D155" s="138" t="s">
        <v>273</v>
      </c>
      <c r="E155" s="138"/>
      <c r="F155" s="138"/>
      <c r="G155" s="244">
        <f>SUM(I155:T155)</f>
        <v>0</v>
      </c>
      <c r="H155" s="236"/>
      <c r="I155" s="245">
        <f t="shared" ref="I155:T155" si="205">+Z155</f>
        <v>0</v>
      </c>
      <c r="J155" s="245">
        <f t="shared" si="205"/>
        <v>0</v>
      </c>
      <c r="K155" s="245">
        <f t="shared" si="205"/>
        <v>0</v>
      </c>
      <c r="L155" s="245">
        <f t="shared" si="205"/>
        <v>0</v>
      </c>
      <c r="M155" s="245">
        <f t="shared" si="205"/>
        <v>0</v>
      </c>
      <c r="N155" s="245">
        <f t="shared" si="205"/>
        <v>0</v>
      </c>
      <c r="O155" s="245">
        <f t="shared" si="205"/>
        <v>0</v>
      </c>
      <c r="P155" s="245">
        <f t="shared" si="205"/>
        <v>0</v>
      </c>
      <c r="Q155" s="245">
        <f t="shared" si="205"/>
        <v>0</v>
      </c>
      <c r="R155" s="245">
        <f t="shared" si="205"/>
        <v>0</v>
      </c>
      <c r="S155" s="245">
        <f t="shared" si="205"/>
        <v>0</v>
      </c>
      <c r="T155" s="245">
        <f t="shared" si="205"/>
        <v>0</v>
      </c>
      <c r="U155" s="136"/>
      <c r="V155" s="97"/>
      <c r="Y155" s="219"/>
      <c r="Z155" s="219">
        <f t="shared" ref="Z155:AK155" si="206">SUM(Z142:Z154)</f>
        <v>0</v>
      </c>
      <c r="AA155" s="219">
        <f t="shared" si="206"/>
        <v>0</v>
      </c>
      <c r="AB155" s="219">
        <f t="shared" si="206"/>
        <v>0</v>
      </c>
      <c r="AC155" s="219">
        <f t="shared" si="206"/>
        <v>0</v>
      </c>
      <c r="AD155" s="219">
        <f t="shared" si="206"/>
        <v>0</v>
      </c>
      <c r="AE155" s="219">
        <f t="shared" si="206"/>
        <v>0</v>
      </c>
      <c r="AF155" s="219">
        <f t="shared" si="206"/>
        <v>0</v>
      </c>
      <c r="AG155" s="219">
        <f t="shared" si="206"/>
        <v>0</v>
      </c>
      <c r="AH155" s="219">
        <f t="shared" si="206"/>
        <v>0</v>
      </c>
      <c r="AI155" s="219">
        <f t="shared" si="206"/>
        <v>0</v>
      </c>
      <c r="AJ155" s="219">
        <f t="shared" si="206"/>
        <v>0</v>
      </c>
      <c r="AK155" s="65">
        <f t="shared" si="206"/>
        <v>0</v>
      </c>
    </row>
    <row r="156" spans="2:50">
      <c r="B156" s="92"/>
      <c r="C156" s="131"/>
      <c r="D156" s="138" t="s">
        <v>280</v>
      </c>
      <c r="E156" s="138"/>
      <c r="F156" s="138"/>
      <c r="G156" s="244">
        <f>SUM(I156:T156)</f>
        <v>0</v>
      </c>
      <c r="H156" s="236"/>
      <c r="I156" s="245">
        <f t="shared" ref="I156:T156" si="207">+AM156</f>
        <v>0</v>
      </c>
      <c r="J156" s="245">
        <f t="shared" si="207"/>
        <v>0</v>
      </c>
      <c r="K156" s="245">
        <f t="shared" si="207"/>
        <v>0</v>
      </c>
      <c r="L156" s="245">
        <f t="shared" si="207"/>
        <v>0</v>
      </c>
      <c r="M156" s="245">
        <f t="shared" si="207"/>
        <v>0</v>
      </c>
      <c r="N156" s="245">
        <f t="shared" si="207"/>
        <v>0</v>
      </c>
      <c r="O156" s="245">
        <f t="shared" si="207"/>
        <v>0</v>
      </c>
      <c r="P156" s="245">
        <f t="shared" si="207"/>
        <v>0</v>
      </c>
      <c r="Q156" s="245">
        <f t="shared" si="207"/>
        <v>0</v>
      </c>
      <c r="R156" s="245">
        <f t="shared" si="207"/>
        <v>0</v>
      </c>
      <c r="S156" s="245">
        <f t="shared" si="207"/>
        <v>0</v>
      </c>
      <c r="T156" s="245">
        <f t="shared" si="207"/>
        <v>0</v>
      </c>
      <c r="U156" s="136"/>
      <c r="V156" s="97"/>
      <c r="AL156" s="219"/>
      <c r="AM156" s="219">
        <f t="shared" ref="AM156:AX156" si="208">SUM(AM142:AM154)</f>
        <v>0</v>
      </c>
      <c r="AN156" s="219">
        <f t="shared" si="208"/>
        <v>0</v>
      </c>
      <c r="AO156" s="219">
        <f t="shared" si="208"/>
        <v>0</v>
      </c>
      <c r="AP156" s="219">
        <f t="shared" si="208"/>
        <v>0</v>
      </c>
      <c r="AQ156" s="219">
        <f t="shared" si="208"/>
        <v>0</v>
      </c>
      <c r="AR156" s="219">
        <f t="shared" si="208"/>
        <v>0</v>
      </c>
      <c r="AS156" s="219">
        <f t="shared" si="208"/>
        <v>0</v>
      </c>
      <c r="AT156" s="219">
        <f t="shared" si="208"/>
        <v>0</v>
      </c>
      <c r="AU156" s="219">
        <f t="shared" si="208"/>
        <v>0</v>
      </c>
      <c r="AV156" s="219">
        <f t="shared" si="208"/>
        <v>0</v>
      </c>
      <c r="AW156" s="219">
        <f t="shared" si="208"/>
        <v>0</v>
      </c>
      <c r="AX156" s="65">
        <f t="shared" si="208"/>
        <v>0</v>
      </c>
    </row>
    <row r="157" spans="2:50">
      <c r="B157" s="92"/>
      <c r="C157" s="131"/>
      <c r="D157" s="138"/>
      <c r="E157" s="133"/>
      <c r="F157" s="138" t="s">
        <v>205</v>
      </c>
      <c r="G157" s="244">
        <f>SUM(G155:G156)</f>
        <v>0</v>
      </c>
      <c r="H157" s="236"/>
      <c r="I157" s="135"/>
      <c r="J157" s="135"/>
      <c r="K157" s="238">
        <f>SUM(K142:K154)</f>
        <v>0</v>
      </c>
      <c r="L157" s="135"/>
      <c r="M157" s="135"/>
      <c r="N157" s="135"/>
      <c r="O157" s="135"/>
      <c r="P157" s="135"/>
      <c r="Q157" s="135"/>
      <c r="R157" s="135"/>
      <c r="S157" s="135"/>
      <c r="T157" s="135"/>
      <c r="U157" s="136"/>
      <c r="V157" s="97"/>
    </row>
    <row r="158" spans="2:50">
      <c r="B158" s="92"/>
      <c r="C158" s="133"/>
      <c r="D158" s="138"/>
      <c r="E158" s="133"/>
      <c r="F158" s="133"/>
      <c r="G158" s="135"/>
      <c r="H158" s="133"/>
      <c r="I158" s="135"/>
      <c r="J158" s="135"/>
      <c r="K158" s="135"/>
      <c r="L158" s="135"/>
      <c r="M158" s="135"/>
      <c r="N158" s="135"/>
      <c r="O158" s="135"/>
      <c r="P158" s="135"/>
      <c r="Q158" s="247"/>
      <c r="R158" s="146"/>
      <c r="S158" s="146"/>
      <c r="T158" s="146"/>
      <c r="U158" s="147"/>
      <c r="V158" s="97"/>
    </row>
    <row r="159" spans="2:50">
      <c r="B159" s="92"/>
      <c r="C159" s="133"/>
      <c r="D159" s="138" t="s">
        <v>283</v>
      </c>
      <c r="E159" s="133"/>
      <c r="F159" s="133"/>
      <c r="G159" s="248">
        <f>+G134+G155</f>
        <v>0</v>
      </c>
      <c r="H159" s="133"/>
      <c r="I159" s="135"/>
      <c r="J159" s="135"/>
      <c r="K159" s="135"/>
      <c r="L159" s="135"/>
      <c r="M159" s="135"/>
      <c r="N159" s="135"/>
      <c r="O159" s="135"/>
      <c r="P159" s="135"/>
      <c r="U159" s="68"/>
      <c r="V159" s="97"/>
    </row>
    <row r="160" spans="2:50">
      <c r="B160" s="92"/>
      <c r="C160" s="133"/>
      <c r="D160" s="138" t="s">
        <v>284</v>
      </c>
      <c r="E160" s="133"/>
      <c r="F160" s="133"/>
      <c r="G160" s="248">
        <f>+G135+G156</f>
        <v>0</v>
      </c>
      <c r="H160" s="236"/>
      <c r="I160" s="135"/>
      <c r="J160" s="135"/>
      <c r="K160" s="135"/>
      <c r="L160" s="135"/>
      <c r="M160" s="135"/>
      <c r="N160" s="135"/>
      <c r="O160" s="135"/>
      <c r="P160" s="135"/>
      <c r="U160" s="68"/>
      <c r="V160" s="97"/>
    </row>
    <row r="161" spans="2:50">
      <c r="B161" s="92"/>
      <c r="C161" s="133"/>
      <c r="D161" s="138"/>
      <c r="E161" s="133"/>
      <c r="F161" s="138" t="s">
        <v>205</v>
      </c>
      <c r="G161" s="249">
        <f>SUM(G159:G160)</f>
        <v>0</v>
      </c>
      <c r="H161" s="236"/>
      <c r="I161" s="135"/>
      <c r="J161" s="135"/>
      <c r="K161" s="135"/>
      <c r="L161" s="135"/>
      <c r="M161" s="135"/>
      <c r="N161" s="135"/>
      <c r="O161" s="135"/>
      <c r="P161" s="135"/>
      <c r="U161" s="68"/>
      <c r="V161" s="97"/>
    </row>
    <row r="162" spans="2:50">
      <c r="B162" s="92"/>
      <c r="C162" s="133"/>
      <c r="D162" s="133"/>
      <c r="E162" s="133"/>
      <c r="F162" s="138"/>
      <c r="G162" s="235"/>
      <c r="H162" s="236"/>
      <c r="I162" s="135"/>
      <c r="J162" s="135"/>
      <c r="K162" s="135"/>
      <c r="L162" s="135"/>
      <c r="M162" s="135"/>
      <c r="N162" s="135"/>
      <c r="O162" s="135"/>
      <c r="P162" s="135"/>
      <c r="U162" s="68"/>
      <c r="V162" s="97"/>
    </row>
    <row r="163" spans="2:50">
      <c r="B163" s="92"/>
      <c r="C163" s="93"/>
      <c r="D163" s="93"/>
      <c r="E163" s="93"/>
      <c r="F163" s="93"/>
      <c r="G163" s="95"/>
      <c r="H163" s="93"/>
      <c r="I163" s="95"/>
      <c r="J163" s="95"/>
      <c r="K163" s="95"/>
      <c r="L163" s="95"/>
      <c r="M163" s="95"/>
      <c r="N163" s="95"/>
      <c r="O163" s="95"/>
      <c r="P163" s="95"/>
      <c r="Q163" s="95"/>
      <c r="R163" s="95"/>
      <c r="S163" s="95"/>
      <c r="T163" s="95"/>
      <c r="U163" s="93"/>
      <c r="V163" s="97"/>
    </row>
    <row r="164" spans="2:50" ht="15">
      <c r="B164" s="113"/>
      <c r="C164" s="114"/>
      <c r="D164" s="114"/>
      <c r="E164" s="114"/>
      <c r="F164" s="114"/>
      <c r="G164" s="118"/>
      <c r="H164" s="114"/>
      <c r="I164" s="118"/>
      <c r="J164" s="118"/>
      <c r="K164" s="118"/>
      <c r="L164" s="118"/>
      <c r="M164" s="118"/>
      <c r="N164" s="118"/>
      <c r="O164" s="118"/>
      <c r="P164" s="118"/>
      <c r="Q164" s="118"/>
      <c r="R164" s="118"/>
      <c r="S164" s="118"/>
      <c r="T164" s="118"/>
      <c r="U164" s="119" t="s">
        <v>555</v>
      </c>
      <c r="V164" s="120"/>
    </row>
    <row r="165" spans="2:50">
      <c r="B165" s="87"/>
      <c r="C165" s="88"/>
      <c r="D165" s="88"/>
      <c r="E165" s="88"/>
      <c r="F165" s="88"/>
      <c r="G165" s="90"/>
      <c r="H165" s="88"/>
      <c r="I165" s="90"/>
      <c r="J165" s="90"/>
      <c r="K165" s="90"/>
      <c r="L165" s="90"/>
      <c r="M165" s="90"/>
      <c r="N165" s="90"/>
      <c r="O165" s="90"/>
      <c r="P165" s="90"/>
      <c r="Q165" s="90"/>
      <c r="R165" s="90"/>
      <c r="S165" s="90"/>
      <c r="T165" s="90"/>
      <c r="U165" s="88"/>
      <c r="V165" s="91"/>
    </row>
    <row r="166" spans="2:50">
      <c r="B166" s="92"/>
      <c r="C166" s="93"/>
      <c r="D166" s="93"/>
      <c r="E166" s="93"/>
      <c r="F166" s="93"/>
      <c r="G166" s="95"/>
      <c r="H166" s="93"/>
      <c r="I166" s="95"/>
      <c r="J166" s="95"/>
      <c r="K166" s="95"/>
      <c r="L166" s="95"/>
      <c r="M166" s="95"/>
      <c r="N166" s="95"/>
      <c r="O166" s="95"/>
      <c r="P166" s="95"/>
      <c r="Q166" s="95"/>
      <c r="R166" s="95"/>
      <c r="S166" s="95"/>
      <c r="T166" s="95"/>
      <c r="U166" s="93"/>
      <c r="V166" s="97"/>
    </row>
    <row r="167" spans="2:50" s="73" customFormat="1" ht="18.75">
      <c r="B167" s="98"/>
      <c r="C167" s="168" t="s">
        <v>710</v>
      </c>
      <c r="D167" s="100"/>
      <c r="E167" s="100"/>
      <c r="F167" s="100"/>
      <c r="G167" s="102"/>
      <c r="H167" s="100"/>
      <c r="I167" s="102"/>
      <c r="J167" s="102"/>
      <c r="K167" s="102"/>
      <c r="L167" s="102"/>
      <c r="M167" s="102"/>
      <c r="N167" s="102"/>
      <c r="O167" s="102"/>
      <c r="P167" s="102"/>
      <c r="Q167" s="102"/>
      <c r="R167" s="102"/>
      <c r="S167" s="102"/>
      <c r="T167" s="102"/>
      <c r="U167" s="100"/>
      <c r="V167" s="104"/>
    </row>
    <row r="168" spans="2:50">
      <c r="B168" s="92"/>
      <c r="C168" s="110"/>
      <c r="D168" s="93"/>
      <c r="E168" s="93"/>
      <c r="F168" s="93"/>
      <c r="G168" s="95"/>
      <c r="H168" s="93"/>
      <c r="I168" s="95"/>
      <c r="J168" s="95"/>
      <c r="K168" s="95"/>
      <c r="L168" s="95"/>
      <c r="M168" s="95"/>
      <c r="N168" s="95"/>
      <c r="O168" s="95"/>
      <c r="P168" s="95"/>
      <c r="Q168" s="95"/>
      <c r="R168" s="95"/>
      <c r="S168" s="95"/>
      <c r="T168" s="95"/>
      <c r="U168" s="93"/>
      <c r="V168" s="97"/>
    </row>
    <row r="169" spans="2:50">
      <c r="B169" s="92"/>
      <c r="C169" s="110"/>
      <c r="D169" s="93"/>
      <c r="E169" s="93"/>
      <c r="F169" s="93"/>
      <c r="G169" s="95"/>
      <c r="H169" s="93"/>
      <c r="I169" s="95"/>
      <c r="J169" s="95"/>
      <c r="K169" s="95"/>
      <c r="L169" s="95"/>
      <c r="M169" s="95"/>
      <c r="N169" s="95"/>
      <c r="O169" s="95"/>
      <c r="P169" s="95"/>
      <c r="Q169" s="95"/>
      <c r="R169" s="95"/>
      <c r="S169" s="95"/>
      <c r="T169" s="95"/>
      <c r="U169" s="93"/>
      <c r="V169" s="97"/>
    </row>
    <row r="170" spans="2:50">
      <c r="B170" s="92"/>
      <c r="C170" s="124"/>
      <c r="D170" s="127"/>
      <c r="E170" s="127"/>
      <c r="F170" s="127"/>
      <c r="G170" s="129"/>
      <c r="H170" s="127"/>
      <c r="I170" s="129"/>
      <c r="J170" s="129"/>
      <c r="K170" s="129"/>
      <c r="L170" s="129"/>
      <c r="M170" s="129"/>
      <c r="N170" s="129"/>
      <c r="O170" s="129"/>
      <c r="P170" s="153"/>
      <c r="Q170" s="153"/>
      <c r="R170" s="129"/>
      <c r="S170" s="129"/>
      <c r="T170" s="129"/>
      <c r="U170" s="130"/>
      <c r="V170" s="97"/>
    </row>
    <row r="171" spans="2:50">
      <c r="B171" s="92"/>
      <c r="C171" s="228"/>
      <c r="D171" s="239" t="s">
        <v>693</v>
      </c>
      <c r="E171" s="240"/>
      <c r="F171" s="174" t="str">
        <f>+F66</f>
        <v>VOLTIJDS</v>
      </c>
      <c r="G171" s="241" t="str">
        <f>G119</f>
        <v>2013/14</v>
      </c>
      <c r="H171" s="174"/>
      <c r="I171" s="242" t="s">
        <v>218</v>
      </c>
      <c r="J171" s="242" t="s">
        <v>219</v>
      </c>
      <c r="K171" s="242" t="s">
        <v>220</v>
      </c>
      <c r="L171" s="242" t="s">
        <v>221</v>
      </c>
      <c r="M171" s="242" t="s">
        <v>222</v>
      </c>
      <c r="N171" s="242" t="s">
        <v>216</v>
      </c>
      <c r="O171" s="242" t="s">
        <v>217</v>
      </c>
      <c r="P171" s="242" t="s">
        <v>223</v>
      </c>
      <c r="Q171" s="242" t="s">
        <v>224</v>
      </c>
      <c r="R171" s="242" t="s">
        <v>225</v>
      </c>
      <c r="S171" s="242" t="s">
        <v>226</v>
      </c>
      <c r="T171" s="242" t="s">
        <v>227</v>
      </c>
      <c r="U171" s="231"/>
      <c r="V171" s="97"/>
      <c r="Z171" s="65" t="s">
        <v>218</v>
      </c>
      <c r="AA171" s="65" t="s">
        <v>219</v>
      </c>
      <c r="AB171" s="65" t="s">
        <v>220</v>
      </c>
      <c r="AC171" s="65" t="s">
        <v>221</v>
      </c>
      <c r="AD171" s="65" t="s">
        <v>222</v>
      </c>
      <c r="AE171" s="65" t="s">
        <v>216</v>
      </c>
      <c r="AF171" s="65" t="s">
        <v>217</v>
      </c>
      <c r="AG171" s="65" t="s">
        <v>223</v>
      </c>
      <c r="AH171" s="65" t="s">
        <v>224</v>
      </c>
      <c r="AI171" s="65" t="s">
        <v>225</v>
      </c>
      <c r="AJ171" s="65" t="s">
        <v>226</v>
      </c>
      <c r="AK171" s="65" t="s">
        <v>227</v>
      </c>
      <c r="AM171" s="65" t="s">
        <v>218</v>
      </c>
      <c r="AN171" s="65" t="s">
        <v>219</v>
      </c>
      <c r="AO171" s="65" t="s">
        <v>220</v>
      </c>
      <c r="AP171" s="65" t="s">
        <v>221</v>
      </c>
      <c r="AQ171" s="65" t="s">
        <v>222</v>
      </c>
      <c r="AR171" s="65" t="s">
        <v>216</v>
      </c>
      <c r="AS171" s="65" t="s">
        <v>217</v>
      </c>
      <c r="AT171" s="65" t="s">
        <v>223</v>
      </c>
      <c r="AU171" s="65" t="s">
        <v>224</v>
      </c>
      <c r="AV171" s="65" t="s">
        <v>225</v>
      </c>
      <c r="AW171" s="65" t="s">
        <v>226</v>
      </c>
      <c r="AX171" s="65" t="s">
        <v>227</v>
      </c>
    </row>
    <row r="172" spans="2:50">
      <c r="B172" s="92"/>
      <c r="C172" s="131"/>
      <c r="D172" s="133"/>
      <c r="E172" s="232"/>
      <c r="F172" s="138"/>
      <c r="G172" s="139"/>
      <c r="H172" s="138"/>
      <c r="I172" s="135"/>
      <c r="J172" s="135"/>
      <c r="K172" s="135"/>
      <c r="L172" s="135"/>
      <c r="M172" s="135"/>
      <c r="N172" s="135"/>
      <c r="O172" s="135"/>
      <c r="P172" s="135"/>
      <c r="Q172" s="135"/>
      <c r="R172" s="135"/>
      <c r="S172" s="135"/>
      <c r="T172" s="135"/>
      <c r="U172" s="136"/>
      <c r="V172" s="97"/>
    </row>
    <row r="173" spans="2:50">
      <c r="B173" s="92"/>
      <c r="C173" s="131"/>
      <c r="D173" s="133" t="s">
        <v>107</v>
      </c>
      <c r="E173" s="133"/>
      <c r="F173" s="133" t="s">
        <v>285</v>
      </c>
      <c r="G173" s="243">
        <f>ROUND(SUM(I173:T173)/12,2)</f>
        <v>0</v>
      </c>
      <c r="H173" s="234"/>
      <c r="I173" s="170">
        <v>0</v>
      </c>
      <c r="J173" s="170">
        <f>+I173</f>
        <v>0</v>
      </c>
      <c r="K173" s="170">
        <f t="shared" ref="K173:T173" si="209">+J173</f>
        <v>0</v>
      </c>
      <c r="L173" s="170">
        <f t="shared" si="209"/>
        <v>0</v>
      </c>
      <c r="M173" s="170">
        <f t="shared" si="209"/>
        <v>0</v>
      </c>
      <c r="N173" s="170">
        <f t="shared" si="209"/>
        <v>0</v>
      </c>
      <c r="O173" s="170">
        <f t="shared" si="209"/>
        <v>0</v>
      </c>
      <c r="P173" s="170">
        <f t="shared" si="209"/>
        <v>0</v>
      </c>
      <c r="Q173" s="170">
        <f t="shared" si="209"/>
        <v>0</v>
      </c>
      <c r="R173" s="170">
        <f t="shared" si="209"/>
        <v>0</v>
      </c>
      <c r="S173" s="170">
        <f t="shared" si="209"/>
        <v>0</v>
      </c>
      <c r="T173" s="170">
        <f t="shared" si="209"/>
        <v>0</v>
      </c>
      <c r="U173" s="136"/>
      <c r="V173" s="97"/>
      <c r="Z173" s="65">
        <f>ROUND(+I173*1/12*VLOOKUP($D173,LGFMBO,2,FALSE),2)</f>
        <v>0</v>
      </c>
      <c r="AA173" s="65">
        <f t="shared" ref="AA173:AA185" si="210">ROUND(+J173*1/12*VLOOKUP($D173,LGFMBO,2,FALSE),2)</f>
        <v>0</v>
      </c>
      <c r="AB173" s="65">
        <f t="shared" ref="AB173:AB185" si="211">ROUND(+K173*1/12*VLOOKUP($D173,LGFMBO,2,FALSE),2)</f>
        <v>0</v>
      </c>
      <c r="AC173" s="65">
        <f t="shared" ref="AC173:AC185" si="212">ROUND(+L173*1/12*VLOOKUP($D173,LGFMBO,2,FALSE),2)</f>
        <v>0</v>
      </c>
      <c r="AD173" s="65">
        <f t="shared" ref="AD173:AD185" si="213">ROUND(+M173*1/12*VLOOKUP($D173,LGFMBO,2,FALSE),2)</f>
        <v>0</v>
      </c>
      <c r="AE173" s="65">
        <f t="shared" ref="AE173:AE185" si="214">ROUND(+N173*1/12*VLOOKUP($D173,LGFMBO,2,FALSE),2)</f>
        <v>0</v>
      </c>
      <c r="AF173" s="65">
        <f t="shared" ref="AF173:AF185" si="215">ROUND(+O173*1/12*VLOOKUP($D173,LGFMBO,2,FALSE),2)</f>
        <v>0</v>
      </c>
      <c r="AG173" s="65">
        <f t="shared" ref="AG173:AG185" si="216">ROUND(+P173*1/12*VLOOKUP($D173,LGFMBO,2,FALSE),2)</f>
        <v>0</v>
      </c>
      <c r="AH173" s="65">
        <f t="shared" ref="AH173:AH185" si="217">ROUND(+Q173*1/12*VLOOKUP($D173,LGFMBO,2,FALSE),2)</f>
        <v>0</v>
      </c>
      <c r="AI173" s="65">
        <f t="shared" ref="AI173:AI185" si="218">ROUND(+R173*1/12*VLOOKUP($D173,LGFMBO,2,FALSE),2)</f>
        <v>0</v>
      </c>
      <c r="AJ173" s="65">
        <f t="shared" ref="AJ173:AJ185" si="219">ROUND(+S173*1/12*VLOOKUP($D173,LGFMBO,2,FALSE),2)</f>
        <v>0</v>
      </c>
      <c r="AK173" s="65">
        <f t="shared" ref="AK173:AK185" si="220">ROUND(+T173*1/12*VLOOKUP($D173,LGFMBO,2,FALSE),2)</f>
        <v>0</v>
      </c>
      <c r="AL173" s="220"/>
      <c r="AM173" s="220">
        <f t="shared" ref="AM173:AM185" si="221">ROUND(+I173*1/12*VLOOKUP($D173,LGFMBO,4,FALSE),2)</f>
        <v>0</v>
      </c>
      <c r="AN173" s="220">
        <f t="shared" ref="AN173:AN185" si="222">ROUND(+J173*1/12*VLOOKUP($D173,LGFMBO,4,FALSE),2)</f>
        <v>0</v>
      </c>
      <c r="AO173" s="220">
        <f t="shared" ref="AO173:AO185" si="223">ROUND(+K173*1/12*VLOOKUP($D173,LGFMBO,4,FALSE),2)</f>
        <v>0</v>
      </c>
      <c r="AP173" s="220">
        <f t="shared" ref="AP173:AP185" si="224">ROUND(+L173*1/12*VLOOKUP($D173,LGFMBO,4,FALSE),2)</f>
        <v>0</v>
      </c>
      <c r="AQ173" s="220">
        <f t="shared" ref="AQ173:AQ185" si="225">ROUND(+M173*1/12*VLOOKUP($D173,LGFMBO,4,FALSE),2)</f>
        <v>0</v>
      </c>
      <c r="AR173" s="220">
        <f t="shared" ref="AR173:AR185" si="226">ROUND(+N173*1/12*VLOOKUP($D173,LGFMBO,4,FALSE),2)</f>
        <v>0</v>
      </c>
      <c r="AS173" s="220">
        <f t="shared" ref="AS173:AS185" si="227">ROUND(+O173*1/12*VLOOKUP($D173,LGFMBO,4,FALSE),2)</f>
        <v>0</v>
      </c>
      <c r="AT173" s="220">
        <f t="shared" ref="AT173:AT185" si="228">ROUND(+P173*1/12*VLOOKUP($D173,LGFMBO,4,FALSE),2)</f>
        <v>0</v>
      </c>
      <c r="AU173" s="220">
        <f t="shared" ref="AU173:AU185" si="229">ROUND(+Q173*1/12*VLOOKUP($D173,LGFMBO,4,FALSE),2)</f>
        <v>0</v>
      </c>
      <c r="AV173" s="220">
        <f t="shared" ref="AV173:AV185" si="230">ROUND(+R173*1/12*VLOOKUP($D173,LGFMBO,4,FALSE),2)</f>
        <v>0</v>
      </c>
      <c r="AW173" s="220">
        <f t="shared" ref="AW173:AW185" si="231">ROUND(+S173*1/12*VLOOKUP($D173,LGFMBO,4,FALSE),2)</f>
        <v>0</v>
      </c>
      <c r="AX173" s="65">
        <f t="shared" ref="AX173:AX185" si="232">ROUND(+T173*1/12*VLOOKUP($D173,LGFMBO,4,FALSE),2)</f>
        <v>0</v>
      </c>
    </row>
    <row r="174" spans="2:50">
      <c r="B174" s="92"/>
      <c r="C174" s="131"/>
      <c r="D174" s="133" t="s">
        <v>108</v>
      </c>
      <c r="E174" s="133"/>
      <c r="F174" s="133" t="s">
        <v>285</v>
      </c>
      <c r="G174" s="243">
        <f t="shared" ref="G174:G185" si="233">ROUND(SUM(I174:T174)/12,2)</f>
        <v>0</v>
      </c>
      <c r="H174" s="234"/>
      <c r="I174" s="170">
        <v>0</v>
      </c>
      <c r="J174" s="170">
        <f t="shared" ref="J174:T174" si="234">+I174</f>
        <v>0</v>
      </c>
      <c r="K174" s="170">
        <f t="shared" si="234"/>
        <v>0</v>
      </c>
      <c r="L174" s="170">
        <f t="shared" si="234"/>
        <v>0</v>
      </c>
      <c r="M174" s="170">
        <f t="shared" si="234"/>
        <v>0</v>
      </c>
      <c r="N174" s="170">
        <f t="shared" si="234"/>
        <v>0</v>
      </c>
      <c r="O174" s="170">
        <f t="shared" si="234"/>
        <v>0</v>
      </c>
      <c r="P174" s="170">
        <f t="shared" si="234"/>
        <v>0</v>
      </c>
      <c r="Q174" s="170">
        <f t="shared" si="234"/>
        <v>0</v>
      </c>
      <c r="R174" s="170">
        <f t="shared" si="234"/>
        <v>0</v>
      </c>
      <c r="S174" s="170">
        <f t="shared" si="234"/>
        <v>0</v>
      </c>
      <c r="T174" s="170">
        <f t="shared" si="234"/>
        <v>0</v>
      </c>
      <c r="U174" s="136"/>
      <c r="V174" s="97"/>
      <c r="Z174" s="65">
        <f t="shared" ref="Z174:Z185" si="235">ROUND(+I174*1/12*VLOOKUP($D174,LGFMBO,2,FALSE),2)</f>
        <v>0</v>
      </c>
      <c r="AA174" s="65">
        <f t="shared" si="210"/>
        <v>0</v>
      </c>
      <c r="AB174" s="65">
        <f t="shared" si="211"/>
        <v>0</v>
      </c>
      <c r="AC174" s="65">
        <f t="shared" si="212"/>
        <v>0</v>
      </c>
      <c r="AD174" s="65">
        <f t="shared" si="213"/>
        <v>0</v>
      </c>
      <c r="AE174" s="65">
        <f t="shared" si="214"/>
        <v>0</v>
      </c>
      <c r="AF174" s="65">
        <f t="shared" si="215"/>
        <v>0</v>
      </c>
      <c r="AG174" s="65">
        <f t="shared" si="216"/>
        <v>0</v>
      </c>
      <c r="AH174" s="65">
        <f t="shared" si="217"/>
        <v>0</v>
      </c>
      <c r="AI174" s="65">
        <f t="shared" si="218"/>
        <v>0</v>
      </c>
      <c r="AJ174" s="65">
        <f t="shared" si="219"/>
        <v>0</v>
      </c>
      <c r="AK174" s="65">
        <f t="shared" si="220"/>
        <v>0</v>
      </c>
      <c r="AL174" s="220"/>
      <c r="AM174" s="220">
        <f t="shared" si="221"/>
        <v>0</v>
      </c>
      <c r="AN174" s="220">
        <f t="shared" si="222"/>
        <v>0</v>
      </c>
      <c r="AO174" s="220">
        <f t="shared" si="223"/>
        <v>0</v>
      </c>
      <c r="AP174" s="220">
        <f t="shared" si="224"/>
        <v>0</v>
      </c>
      <c r="AQ174" s="220">
        <f t="shared" si="225"/>
        <v>0</v>
      </c>
      <c r="AR174" s="220">
        <f t="shared" si="226"/>
        <v>0</v>
      </c>
      <c r="AS174" s="220">
        <f t="shared" si="227"/>
        <v>0</v>
      </c>
      <c r="AT174" s="220">
        <f t="shared" si="228"/>
        <v>0</v>
      </c>
      <c r="AU174" s="220">
        <f t="shared" si="229"/>
        <v>0</v>
      </c>
      <c r="AV174" s="220">
        <f t="shared" si="230"/>
        <v>0</v>
      </c>
      <c r="AW174" s="220">
        <f t="shared" si="231"/>
        <v>0</v>
      </c>
      <c r="AX174" s="65">
        <f t="shared" si="232"/>
        <v>0</v>
      </c>
    </row>
    <row r="175" spans="2:50">
      <c r="B175" s="92"/>
      <c r="C175" s="131"/>
      <c r="D175" s="133" t="s">
        <v>109</v>
      </c>
      <c r="E175" s="133"/>
      <c r="F175" s="133" t="s">
        <v>285</v>
      </c>
      <c r="G175" s="243">
        <f t="shared" si="233"/>
        <v>0</v>
      </c>
      <c r="H175" s="234"/>
      <c r="I175" s="170">
        <v>0</v>
      </c>
      <c r="J175" s="170">
        <f t="shared" ref="J175:T175" si="236">+I175</f>
        <v>0</v>
      </c>
      <c r="K175" s="170">
        <f t="shared" si="236"/>
        <v>0</v>
      </c>
      <c r="L175" s="170">
        <f t="shared" si="236"/>
        <v>0</v>
      </c>
      <c r="M175" s="170">
        <f t="shared" si="236"/>
        <v>0</v>
      </c>
      <c r="N175" s="170">
        <f t="shared" si="236"/>
        <v>0</v>
      </c>
      <c r="O175" s="170">
        <f t="shared" si="236"/>
        <v>0</v>
      </c>
      <c r="P175" s="170">
        <f t="shared" si="236"/>
        <v>0</v>
      </c>
      <c r="Q175" s="170">
        <f t="shared" si="236"/>
        <v>0</v>
      </c>
      <c r="R175" s="170">
        <f t="shared" si="236"/>
        <v>0</v>
      </c>
      <c r="S175" s="170">
        <f t="shared" si="236"/>
        <v>0</v>
      </c>
      <c r="T175" s="170">
        <f t="shared" si="236"/>
        <v>0</v>
      </c>
      <c r="U175" s="136"/>
      <c r="V175" s="97"/>
      <c r="Z175" s="65">
        <f t="shared" si="235"/>
        <v>0</v>
      </c>
      <c r="AA175" s="65">
        <f t="shared" si="210"/>
        <v>0</v>
      </c>
      <c r="AB175" s="65">
        <f t="shared" si="211"/>
        <v>0</v>
      </c>
      <c r="AC175" s="65">
        <f t="shared" si="212"/>
        <v>0</v>
      </c>
      <c r="AD175" s="65">
        <f t="shared" si="213"/>
        <v>0</v>
      </c>
      <c r="AE175" s="65">
        <f t="shared" si="214"/>
        <v>0</v>
      </c>
      <c r="AF175" s="65">
        <f t="shared" si="215"/>
        <v>0</v>
      </c>
      <c r="AG175" s="65">
        <f t="shared" si="216"/>
        <v>0</v>
      </c>
      <c r="AH175" s="65">
        <f t="shared" si="217"/>
        <v>0</v>
      </c>
      <c r="AI175" s="65">
        <f t="shared" si="218"/>
        <v>0</v>
      </c>
      <c r="AJ175" s="65">
        <f t="shared" si="219"/>
        <v>0</v>
      </c>
      <c r="AK175" s="65">
        <f t="shared" si="220"/>
        <v>0</v>
      </c>
      <c r="AL175" s="220"/>
      <c r="AM175" s="220">
        <f t="shared" si="221"/>
        <v>0</v>
      </c>
      <c r="AN175" s="220">
        <f t="shared" si="222"/>
        <v>0</v>
      </c>
      <c r="AO175" s="220">
        <f t="shared" si="223"/>
        <v>0</v>
      </c>
      <c r="AP175" s="220">
        <f t="shared" si="224"/>
        <v>0</v>
      </c>
      <c r="AQ175" s="220">
        <f t="shared" si="225"/>
        <v>0</v>
      </c>
      <c r="AR175" s="220">
        <f t="shared" si="226"/>
        <v>0</v>
      </c>
      <c r="AS175" s="220">
        <f t="shared" si="227"/>
        <v>0</v>
      </c>
      <c r="AT175" s="220">
        <f t="shared" si="228"/>
        <v>0</v>
      </c>
      <c r="AU175" s="220">
        <f t="shared" si="229"/>
        <v>0</v>
      </c>
      <c r="AV175" s="220">
        <f t="shared" si="230"/>
        <v>0</v>
      </c>
      <c r="AW175" s="220">
        <f t="shared" si="231"/>
        <v>0</v>
      </c>
      <c r="AX175" s="65">
        <f t="shared" si="232"/>
        <v>0</v>
      </c>
    </row>
    <row r="176" spans="2:50">
      <c r="B176" s="92"/>
      <c r="C176" s="131"/>
      <c r="D176" s="133" t="s">
        <v>110</v>
      </c>
      <c r="E176" s="133"/>
      <c r="F176" s="133" t="s">
        <v>285</v>
      </c>
      <c r="G176" s="243">
        <f t="shared" si="233"/>
        <v>0</v>
      </c>
      <c r="H176" s="234"/>
      <c r="I176" s="170">
        <v>0</v>
      </c>
      <c r="J176" s="170">
        <f t="shared" ref="J176:T176" si="237">+I176</f>
        <v>0</v>
      </c>
      <c r="K176" s="170">
        <f t="shared" si="237"/>
        <v>0</v>
      </c>
      <c r="L176" s="170">
        <f t="shared" si="237"/>
        <v>0</v>
      </c>
      <c r="M176" s="170">
        <f t="shared" si="237"/>
        <v>0</v>
      </c>
      <c r="N176" s="170">
        <f t="shared" si="237"/>
        <v>0</v>
      </c>
      <c r="O176" s="170">
        <f t="shared" si="237"/>
        <v>0</v>
      </c>
      <c r="P176" s="170">
        <f t="shared" si="237"/>
        <v>0</v>
      </c>
      <c r="Q176" s="170">
        <f t="shared" si="237"/>
        <v>0</v>
      </c>
      <c r="R176" s="170">
        <f t="shared" si="237"/>
        <v>0</v>
      </c>
      <c r="S176" s="170">
        <f t="shared" si="237"/>
        <v>0</v>
      </c>
      <c r="T176" s="170">
        <f t="shared" si="237"/>
        <v>0</v>
      </c>
      <c r="U176" s="136"/>
      <c r="V176" s="97"/>
      <c r="Z176" s="65">
        <f t="shared" si="235"/>
        <v>0</v>
      </c>
      <c r="AA176" s="65">
        <f t="shared" si="210"/>
        <v>0</v>
      </c>
      <c r="AB176" s="65">
        <f t="shared" si="211"/>
        <v>0</v>
      </c>
      <c r="AC176" s="65">
        <f t="shared" si="212"/>
        <v>0</v>
      </c>
      <c r="AD176" s="65">
        <f t="shared" si="213"/>
        <v>0</v>
      </c>
      <c r="AE176" s="65">
        <f t="shared" si="214"/>
        <v>0</v>
      </c>
      <c r="AF176" s="65">
        <f t="shared" si="215"/>
        <v>0</v>
      </c>
      <c r="AG176" s="65">
        <f t="shared" si="216"/>
        <v>0</v>
      </c>
      <c r="AH176" s="65">
        <f t="shared" si="217"/>
        <v>0</v>
      </c>
      <c r="AI176" s="65">
        <f t="shared" si="218"/>
        <v>0</v>
      </c>
      <c r="AJ176" s="65">
        <f t="shared" si="219"/>
        <v>0</v>
      </c>
      <c r="AK176" s="65">
        <f t="shared" si="220"/>
        <v>0</v>
      </c>
      <c r="AL176" s="220"/>
      <c r="AM176" s="220">
        <f t="shared" si="221"/>
        <v>0</v>
      </c>
      <c r="AN176" s="220">
        <f t="shared" si="222"/>
        <v>0</v>
      </c>
      <c r="AO176" s="220">
        <f t="shared" si="223"/>
        <v>0</v>
      </c>
      <c r="AP176" s="220">
        <f t="shared" si="224"/>
        <v>0</v>
      </c>
      <c r="AQ176" s="220">
        <f t="shared" si="225"/>
        <v>0</v>
      </c>
      <c r="AR176" s="220">
        <f t="shared" si="226"/>
        <v>0</v>
      </c>
      <c r="AS176" s="220">
        <f t="shared" si="227"/>
        <v>0</v>
      </c>
      <c r="AT176" s="220">
        <f t="shared" si="228"/>
        <v>0</v>
      </c>
      <c r="AU176" s="220">
        <f t="shared" si="229"/>
        <v>0</v>
      </c>
      <c r="AV176" s="220">
        <f t="shared" si="230"/>
        <v>0</v>
      </c>
      <c r="AW176" s="220">
        <f t="shared" si="231"/>
        <v>0</v>
      </c>
      <c r="AX176" s="65">
        <f t="shared" si="232"/>
        <v>0</v>
      </c>
    </row>
    <row r="177" spans="2:50">
      <c r="B177" s="92"/>
      <c r="C177" s="131"/>
      <c r="D177" s="133" t="s">
        <v>112</v>
      </c>
      <c r="E177" s="133"/>
      <c r="F177" s="133" t="s">
        <v>285</v>
      </c>
      <c r="G177" s="243">
        <f t="shared" si="233"/>
        <v>0</v>
      </c>
      <c r="H177" s="234"/>
      <c r="I177" s="170">
        <v>0</v>
      </c>
      <c r="J177" s="170">
        <f t="shared" ref="J177:T177" si="238">+I177</f>
        <v>0</v>
      </c>
      <c r="K177" s="170">
        <f t="shared" si="238"/>
        <v>0</v>
      </c>
      <c r="L177" s="170">
        <f t="shared" si="238"/>
        <v>0</v>
      </c>
      <c r="M177" s="170">
        <f t="shared" si="238"/>
        <v>0</v>
      </c>
      <c r="N177" s="170">
        <f t="shared" si="238"/>
        <v>0</v>
      </c>
      <c r="O177" s="170">
        <f t="shared" si="238"/>
        <v>0</v>
      </c>
      <c r="P177" s="170">
        <f t="shared" si="238"/>
        <v>0</v>
      </c>
      <c r="Q177" s="170">
        <f t="shared" si="238"/>
        <v>0</v>
      </c>
      <c r="R177" s="170">
        <f t="shared" si="238"/>
        <v>0</v>
      </c>
      <c r="S177" s="170">
        <f t="shared" si="238"/>
        <v>0</v>
      </c>
      <c r="T177" s="170">
        <f t="shared" si="238"/>
        <v>0</v>
      </c>
      <c r="U177" s="136"/>
      <c r="V177" s="97"/>
      <c r="Z177" s="65">
        <f t="shared" si="235"/>
        <v>0</v>
      </c>
      <c r="AA177" s="65">
        <f t="shared" si="210"/>
        <v>0</v>
      </c>
      <c r="AB177" s="65">
        <f t="shared" si="211"/>
        <v>0</v>
      </c>
      <c r="AC177" s="65">
        <f t="shared" si="212"/>
        <v>0</v>
      </c>
      <c r="AD177" s="65">
        <f t="shared" si="213"/>
        <v>0</v>
      </c>
      <c r="AE177" s="65">
        <f t="shared" si="214"/>
        <v>0</v>
      </c>
      <c r="AF177" s="65">
        <f t="shared" si="215"/>
        <v>0</v>
      </c>
      <c r="AG177" s="65">
        <f t="shared" si="216"/>
        <v>0</v>
      </c>
      <c r="AH177" s="65">
        <f t="shared" si="217"/>
        <v>0</v>
      </c>
      <c r="AI177" s="65">
        <f t="shared" si="218"/>
        <v>0</v>
      </c>
      <c r="AJ177" s="65">
        <f t="shared" si="219"/>
        <v>0</v>
      </c>
      <c r="AK177" s="65">
        <f t="shared" si="220"/>
        <v>0</v>
      </c>
      <c r="AL177" s="220"/>
      <c r="AM177" s="220">
        <f t="shared" si="221"/>
        <v>0</v>
      </c>
      <c r="AN177" s="220">
        <f t="shared" si="222"/>
        <v>0</v>
      </c>
      <c r="AO177" s="220">
        <f t="shared" si="223"/>
        <v>0</v>
      </c>
      <c r="AP177" s="220">
        <f t="shared" si="224"/>
        <v>0</v>
      </c>
      <c r="AQ177" s="220">
        <f t="shared" si="225"/>
        <v>0</v>
      </c>
      <c r="AR177" s="220">
        <f t="shared" si="226"/>
        <v>0</v>
      </c>
      <c r="AS177" s="220">
        <f t="shared" si="227"/>
        <v>0</v>
      </c>
      <c r="AT177" s="220">
        <f t="shared" si="228"/>
        <v>0</v>
      </c>
      <c r="AU177" s="220">
        <f t="shared" si="229"/>
        <v>0</v>
      </c>
      <c r="AV177" s="220">
        <f t="shared" si="230"/>
        <v>0</v>
      </c>
      <c r="AW177" s="220">
        <f t="shared" si="231"/>
        <v>0</v>
      </c>
      <c r="AX177" s="65">
        <f t="shared" si="232"/>
        <v>0</v>
      </c>
    </row>
    <row r="178" spans="2:50">
      <c r="B178" s="92"/>
      <c r="C178" s="131"/>
      <c r="D178" s="133" t="s">
        <v>113</v>
      </c>
      <c r="E178" s="133"/>
      <c r="F178" s="133" t="s">
        <v>285</v>
      </c>
      <c r="G178" s="243">
        <f t="shared" si="233"/>
        <v>0</v>
      </c>
      <c r="H178" s="234"/>
      <c r="I178" s="170">
        <v>0</v>
      </c>
      <c r="J178" s="170">
        <f t="shared" ref="J178:T178" si="239">+I178</f>
        <v>0</v>
      </c>
      <c r="K178" s="170">
        <f t="shared" si="239"/>
        <v>0</v>
      </c>
      <c r="L178" s="170">
        <f t="shared" si="239"/>
        <v>0</v>
      </c>
      <c r="M178" s="170">
        <f t="shared" si="239"/>
        <v>0</v>
      </c>
      <c r="N178" s="170">
        <f t="shared" si="239"/>
        <v>0</v>
      </c>
      <c r="O178" s="170">
        <f t="shared" si="239"/>
        <v>0</v>
      </c>
      <c r="P178" s="170">
        <f t="shared" si="239"/>
        <v>0</v>
      </c>
      <c r="Q178" s="170">
        <f t="shared" si="239"/>
        <v>0</v>
      </c>
      <c r="R178" s="170">
        <f t="shared" si="239"/>
        <v>0</v>
      </c>
      <c r="S178" s="170">
        <f t="shared" si="239"/>
        <v>0</v>
      </c>
      <c r="T178" s="170">
        <f t="shared" si="239"/>
        <v>0</v>
      </c>
      <c r="U178" s="136"/>
      <c r="V178" s="97"/>
      <c r="Z178" s="65">
        <f t="shared" si="235"/>
        <v>0</v>
      </c>
      <c r="AA178" s="65">
        <f t="shared" si="210"/>
        <v>0</v>
      </c>
      <c r="AB178" s="65">
        <f t="shared" si="211"/>
        <v>0</v>
      </c>
      <c r="AC178" s="65">
        <f t="shared" si="212"/>
        <v>0</v>
      </c>
      <c r="AD178" s="65">
        <f t="shared" si="213"/>
        <v>0</v>
      </c>
      <c r="AE178" s="65">
        <f t="shared" si="214"/>
        <v>0</v>
      </c>
      <c r="AF178" s="65">
        <f t="shared" si="215"/>
        <v>0</v>
      </c>
      <c r="AG178" s="65">
        <f t="shared" si="216"/>
        <v>0</v>
      </c>
      <c r="AH178" s="65">
        <f t="shared" si="217"/>
        <v>0</v>
      </c>
      <c r="AI178" s="65">
        <f t="shared" si="218"/>
        <v>0</v>
      </c>
      <c r="AJ178" s="65">
        <f t="shared" si="219"/>
        <v>0</v>
      </c>
      <c r="AK178" s="65">
        <f t="shared" si="220"/>
        <v>0</v>
      </c>
      <c r="AL178" s="220"/>
      <c r="AM178" s="220">
        <f t="shared" si="221"/>
        <v>0</v>
      </c>
      <c r="AN178" s="220">
        <f t="shared" si="222"/>
        <v>0</v>
      </c>
      <c r="AO178" s="220">
        <f t="shared" si="223"/>
        <v>0</v>
      </c>
      <c r="AP178" s="220">
        <f t="shared" si="224"/>
        <v>0</v>
      </c>
      <c r="AQ178" s="220">
        <f t="shared" si="225"/>
        <v>0</v>
      </c>
      <c r="AR178" s="220">
        <f t="shared" si="226"/>
        <v>0</v>
      </c>
      <c r="AS178" s="220">
        <f t="shared" si="227"/>
        <v>0</v>
      </c>
      <c r="AT178" s="220">
        <f t="shared" si="228"/>
        <v>0</v>
      </c>
      <c r="AU178" s="220">
        <f t="shared" si="229"/>
        <v>0</v>
      </c>
      <c r="AV178" s="220">
        <f t="shared" si="230"/>
        <v>0</v>
      </c>
      <c r="AW178" s="220">
        <f t="shared" si="231"/>
        <v>0</v>
      </c>
      <c r="AX178" s="65">
        <f t="shared" si="232"/>
        <v>0</v>
      </c>
    </row>
    <row r="179" spans="2:50">
      <c r="B179" s="92"/>
      <c r="C179" s="131"/>
      <c r="D179" s="133" t="s">
        <v>111</v>
      </c>
      <c r="E179" s="133"/>
      <c r="F179" s="133" t="s">
        <v>285</v>
      </c>
      <c r="G179" s="243">
        <f t="shared" si="233"/>
        <v>0</v>
      </c>
      <c r="H179" s="234"/>
      <c r="I179" s="170">
        <v>0</v>
      </c>
      <c r="J179" s="170">
        <f t="shared" ref="J179:T179" si="240">+I179</f>
        <v>0</v>
      </c>
      <c r="K179" s="170">
        <f t="shared" si="240"/>
        <v>0</v>
      </c>
      <c r="L179" s="170">
        <f t="shared" si="240"/>
        <v>0</v>
      </c>
      <c r="M179" s="170">
        <f t="shared" si="240"/>
        <v>0</v>
      </c>
      <c r="N179" s="170">
        <f t="shared" si="240"/>
        <v>0</v>
      </c>
      <c r="O179" s="170">
        <f t="shared" si="240"/>
        <v>0</v>
      </c>
      <c r="P179" s="170">
        <f t="shared" si="240"/>
        <v>0</v>
      </c>
      <c r="Q179" s="170">
        <f t="shared" si="240"/>
        <v>0</v>
      </c>
      <c r="R179" s="170">
        <f t="shared" si="240"/>
        <v>0</v>
      </c>
      <c r="S179" s="170">
        <f t="shared" si="240"/>
        <v>0</v>
      </c>
      <c r="T179" s="170">
        <f t="shared" si="240"/>
        <v>0</v>
      </c>
      <c r="U179" s="136"/>
      <c r="V179" s="97"/>
      <c r="Z179" s="65">
        <f t="shared" si="235"/>
        <v>0</v>
      </c>
      <c r="AA179" s="65">
        <f t="shared" si="210"/>
        <v>0</v>
      </c>
      <c r="AB179" s="65">
        <f t="shared" si="211"/>
        <v>0</v>
      </c>
      <c r="AC179" s="65">
        <f t="shared" si="212"/>
        <v>0</v>
      </c>
      <c r="AD179" s="65">
        <f t="shared" si="213"/>
        <v>0</v>
      </c>
      <c r="AE179" s="65">
        <f t="shared" si="214"/>
        <v>0</v>
      </c>
      <c r="AF179" s="65">
        <f t="shared" si="215"/>
        <v>0</v>
      </c>
      <c r="AG179" s="65">
        <f t="shared" si="216"/>
        <v>0</v>
      </c>
      <c r="AH179" s="65">
        <f t="shared" si="217"/>
        <v>0</v>
      </c>
      <c r="AI179" s="65">
        <f t="shared" si="218"/>
        <v>0</v>
      </c>
      <c r="AJ179" s="65">
        <f t="shared" si="219"/>
        <v>0</v>
      </c>
      <c r="AK179" s="65">
        <f t="shared" si="220"/>
        <v>0</v>
      </c>
      <c r="AL179" s="220"/>
      <c r="AM179" s="220">
        <f t="shared" si="221"/>
        <v>0</v>
      </c>
      <c r="AN179" s="220">
        <f t="shared" si="222"/>
        <v>0</v>
      </c>
      <c r="AO179" s="220">
        <f t="shared" si="223"/>
        <v>0</v>
      </c>
      <c r="AP179" s="220">
        <f t="shared" si="224"/>
        <v>0</v>
      </c>
      <c r="AQ179" s="220">
        <f t="shared" si="225"/>
        <v>0</v>
      </c>
      <c r="AR179" s="220">
        <f t="shared" si="226"/>
        <v>0</v>
      </c>
      <c r="AS179" s="220">
        <f t="shared" si="227"/>
        <v>0</v>
      </c>
      <c r="AT179" s="220">
        <f t="shared" si="228"/>
        <v>0</v>
      </c>
      <c r="AU179" s="220">
        <f t="shared" si="229"/>
        <v>0</v>
      </c>
      <c r="AV179" s="220">
        <f t="shared" si="230"/>
        <v>0</v>
      </c>
      <c r="AW179" s="220">
        <f t="shared" si="231"/>
        <v>0</v>
      </c>
      <c r="AX179" s="65">
        <f t="shared" si="232"/>
        <v>0</v>
      </c>
    </row>
    <row r="180" spans="2:50">
      <c r="B180" s="92"/>
      <c r="C180" s="131"/>
      <c r="D180" s="133" t="s">
        <v>114</v>
      </c>
      <c r="E180" s="133"/>
      <c r="F180" s="133" t="s">
        <v>285</v>
      </c>
      <c r="G180" s="243">
        <f t="shared" si="233"/>
        <v>0</v>
      </c>
      <c r="H180" s="234"/>
      <c r="I180" s="170">
        <v>0</v>
      </c>
      <c r="J180" s="170">
        <f t="shared" ref="J180:T180" si="241">+I180</f>
        <v>0</v>
      </c>
      <c r="K180" s="170">
        <f t="shared" si="241"/>
        <v>0</v>
      </c>
      <c r="L180" s="170">
        <f t="shared" si="241"/>
        <v>0</v>
      </c>
      <c r="M180" s="170">
        <f t="shared" si="241"/>
        <v>0</v>
      </c>
      <c r="N180" s="170">
        <f t="shared" si="241"/>
        <v>0</v>
      </c>
      <c r="O180" s="170">
        <f t="shared" si="241"/>
        <v>0</v>
      </c>
      <c r="P180" s="170">
        <f t="shared" si="241"/>
        <v>0</v>
      </c>
      <c r="Q180" s="170">
        <f t="shared" si="241"/>
        <v>0</v>
      </c>
      <c r="R180" s="170">
        <f t="shared" si="241"/>
        <v>0</v>
      </c>
      <c r="S180" s="170">
        <f t="shared" si="241"/>
        <v>0</v>
      </c>
      <c r="T180" s="170">
        <f t="shared" si="241"/>
        <v>0</v>
      </c>
      <c r="U180" s="136"/>
      <c r="V180" s="97"/>
      <c r="Z180" s="65">
        <f t="shared" si="235"/>
        <v>0</v>
      </c>
      <c r="AA180" s="65">
        <f t="shared" si="210"/>
        <v>0</v>
      </c>
      <c r="AB180" s="65">
        <f t="shared" si="211"/>
        <v>0</v>
      </c>
      <c r="AC180" s="65">
        <f t="shared" si="212"/>
        <v>0</v>
      </c>
      <c r="AD180" s="65">
        <f t="shared" si="213"/>
        <v>0</v>
      </c>
      <c r="AE180" s="65">
        <f t="shared" si="214"/>
        <v>0</v>
      </c>
      <c r="AF180" s="65">
        <f t="shared" si="215"/>
        <v>0</v>
      </c>
      <c r="AG180" s="65">
        <f t="shared" si="216"/>
        <v>0</v>
      </c>
      <c r="AH180" s="65">
        <f t="shared" si="217"/>
        <v>0</v>
      </c>
      <c r="AI180" s="65">
        <f t="shared" si="218"/>
        <v>0</v>
      </c>
      <c r="AJ180" s="65">
        <f t="shared" si="219"/>
        <v>0</v>
      </c>
      <c r="AK180" s="65">
        <f t="shared" si="220"/>
        <v>0</v>
      </c>
      <c r="AL180" s="220"/>
      <c r="AM180" s="220">
        <f t="shared" si="221"/>
        <v>0</v>
      </c>
      <c r="AN180" s="220">
        <f t="shared" si="222"/>
        <v>0</v>
      </c>
      <c r="AO180" s="220">
        <f t="shared" si="223"/>
        <v>0</v>
      </c>
      <c r="AP180" s="220">
        <f t="shared" si="224"/>
        <v>0</v>
      </c>
      <c r="AQ180" s="220">
        <f t="shared" si="225"/>
        <v>0</v>
      </c>
      <c r="AR180" s="220">
        <f t="shared" si="226"/>
        <v>0</v>
      </c>
      <c r="AS180" s="220">
        <f t="shared" si="227"/>
        <v>0</v>
      </c>
      <c r="AT180" s="220">
        <f t="shared" si="228"/>
        <v>0</v>
      </c>
      <c r="AU180" s="220">
        <f t="shared" si="229"/>
        <v>0</v>
      </c>
      <c r="AV180" s="220">
        <f t="shared" si="230"/>
        <v>0</v>
      </c>
      <c r="AW180" s="220">
        <f t="shared" si="231"/>
        <v>0</v>
      </c>
      <c r="AX180" s="65">
        <f t="shared" si="232"/>
        <v>0</v>
      </c>
    </row>
    <row r="181" spans="2:50">
      <c r="B181" s="92"/>
      <c r="C181" s="131"/>
      <c r="D181" s="133" t="s">
        <v>115</v>
      </c>
      <c r="E181" s="133"/>
      <c r="F181" s="133" t="s">
        <v>285</v>
      </c>
      <c r="G181" s="243">
        <f t="shared" si="233"/>
        <v>0</v>
      </c>
      <c r="H181" s="234"/>
      <c r="I181" s="170">
        <v>0</v>
      </c>
      <c r="J181" s="170">
        <f t="shared" ref="J181:T181" si="242">+I181</f>
        <v>0</v>
      </c>
      <c r="K181" s="170">
        <f t="shared" si="242"/>
        <v>0</v>
      </c>
      <c r="L181" s="170">
        <f t="shared" si="242"/>
        <v>0</v>
      </c>
      <c r="M181" s="170">
        <f t="shared" si="242"/>
        <v>0</v>
      </c>
      <c r="N181" s="170">
        <f t="shared" si="242"/>
        <v>0</v>
      </c>
      <c r="O181" s="170">
        <f t="shared" si="242"/>
        <v>0</v>
      </c>
      <c r="P181" s="170">
        <f t="shared" si="242"/>
        <v>0</v>
      </c>
      <c r="Q181" s="170">
        <f t="shared" si="242"/>
        <v>0</v>
      </c>
      <c r="R181" s="170">
        <f t="shared" si="242"/>
        <v>0</v>
      </c>
      <c r="S181" s="170">
        <f t="shared" si="242"/>
        <v>0</v>
      </c>
      <c r="T181" s="170">
        <f t="shared" si="242"/>
        <v>0</v>
      </c>
      <c r="U181" s="136"/>
      <c r="V181" s="97"/>
      <c r="Z181" s="65">
        <f t="shared" si="235"/>
        <v>0</v>
      </c>
      <c r="AA181" s="65">
        <f t="shared" si="210"/>
        <v>0</v>
      </c>
      <c r="AB181" s="65">
        <f t="shared" si="211"/>
        <v>0</v>
      </c>
      <c r="AC181" s="65">
        <f t="shared" si="212"/>
        <v>0</v>
      </c>
      <c r="AD181" s="65">
        <f t="shared" si="213"/>
        <v>0</v>
      </c>
      <c r="AE181" s="65">
        <f t="shared" si="214"/>
        <v>0</v>
      </c>
      <c r="AF181" s="65">
        <f t="shared" si="215"/>
        <v>0</v>
      </c>
      <c r="AG181" s="65">
        <f t="shared" si="216"/>
        <v>0</v>
      </c>
      <c r="AH181" s="65">
        <f t="shared" si="217"/>
        <v>0</v>
      </c>
      <c r="AI181" s="65">
        <f t="shared" si="218"/>
        <v>0</v>
      </c>
      <c r="AJ181" s="65">
        <f t="shared" si="219"/>
        <v>0</v>
      </c>
      <c r="AK181" s="65">
        <f t="shared" si="220"/>
        <v>0</v>
      </c>
      <c r="AL181" s="220"/>
      <c r="AM181" s="220">
        <f t="shared" si="221"/>
        <v>0</v>
      </c>
      <c r="AN181" s="220">
        <f t="shared" si="222"/>
        <v>0</v>
      </c>
      <c r="AO181" s="220">
        <f t="shared" si="223"/>
        <v>0</v>
      </c>
      <c r="AP181" s="220">
        <f t="shared" si="224"/>
        <v>0</v>
      </c>
      <c r="AQ181" s="220">
        <f t="shared" si="225"/>
        <v>0</v>
      </c>
      <c r="AR181" s="220">
        <f t="shared" si="226"/>
        <v>0</v>
      </c>
      <c r="AS181" s="220">
        <f t="shared" si="227"/>
        <v>0</v>
      </c>
      <c r="AT181" s="220">
        <f t="shared" si="228"/>
        <v>0</v>
      </c>
      <c r="AU181" s="220">
        <f t="shared" si="229"/>
        <v>0</v>
      </c>
      <c r="AV181" s="220">
        <f t="shared" si="230"/>
        <v>0</v>
      </c>
      <c r="AW181" s="220">
        <f t="shared" si="231"/>
        <v>0</v>
      </c>
      <c r="AX181" s="65">
        <f t="shared" si="232"/>
        <v>0</v>
      </c>
    </row>
    <row r="182" spans="2:50">
      <c r="B182" s="92"/>
      <c r="C182" s="131"/>
      <c r="D182" s="133" t="s">
        <v>117</v>
      </c>
      <c r="E182" s="133"/>
      <c r="F182" s="133" t="s">
        <v>285</v>
      </c>
      <c r="G182" s="243">
        <f t="shared" si="233"/>
        <v>0</v>
      </c>
      <c r="H182" s="234"/>
      <c r="I182" s="170">
        <v>0</v>
      </c>
      <c r="J182" s="170">
        <f t="shared" ref="J182:T182" si="243">+I182</f>
        <v>0</v>
      </c>
      <c r="K182" s="170">
        <f t="shared" si="243"/>
        <v>0</v>
      </c>
      <c r="L182" s="170">
        <f t="shared" si="243"/>
        <v>0</v>
      </c>
      <c r="M182" s="170">
        <f t="shared" si="243"/>
        <v>0</v>
      </c>
      <c r="N182" s="170">
        <f t="shared" si="243"/>
        <v>0</v>
      </c>
      <c r="O182" s="170">
        <f t="shared" si="243"/>
        <v>0</v>
      </c>
      <c r="P182" s="170">
        <f t="shared" si="243"/>
        <v>0</v>
      </c>
      <c r="Q182" s="170">
        <f t="shared" si="243"/>
        <v>0</v>
      </c>
      <c r="R182" s="170">
        <f t="shared" si="243"/>
        <v>0</v>
      </c>
      <c r="S182" s="170">
        <f t="shared" si="243"/>
        <v>0</v>
      </c>
      <c r="T182" s="170">
        <f t="shared" si="243"/>
        <v>0</v>
      </c>
      <c r="U182" s="136"/>
      <c r="V182" s="97"/>
      <c r="Z182" s="65">
        <f t="shared" si="235"/>
        <v>0</v>
      </c>
      <c r="AA182" s="65">
        <f t="shared" si="210"/>
        <v>0</v>
      </c>
      <c r="AB182" s="65">
        <f t="shared" si="211"/>
        <v>0</v>
      </c>
      <c r="AC182" s="65">
        <f t="shared" si="212"/>
        <v>0</v>
      </c>
      <c r="AD182" s="65">
        <f t="shared" si="213"/>
        <v>0</v>
      </c>
      <c r="AE182" s="65">
        <f t="shared" si="214"/>
        <v>0</v>
      </c>
      <c r="AF182" s="65">
        <f t="shared" si="215"/>
        <v>0</v>
      </c>
      <c r="AG182" s="65">
        <f t="shared" si="216"/>
        <v>0</v>
      </c>
      <c r="AH182" s="65">
        <f t="shared" si="217"/>
        <v>0</v>
      </c>
      <c r="AI182" s="65">
        <f t="shared" si="218"/>
        <v>0</v>
      </c>
      <c r="AJ182" s="65">
        <f t="shared" si="219"/>
        <v>0</v>
      </c>
      <c r="AK182" s="65">
        <f t="shared" si="220"/>
        <v>0</v>
      </c>
      <c r="AL182" s="220"/>
      <c r="AM182" s="220">
        <f t="shared" si="221"/>
        <v>0</v>
      </c>
      <c r="AN182" s="220">
        <f t="shared" si="222"/>
        <v>0</v>
      </c>
      <c r="AO182" s="220">
        <f t="shared" si="223"/>
        <v>0</v>
      </c>
      <c r="AP182" s="220">
        <f t="shared" si="224"/>
        <v>0</v>
      </c>
      <c r="AQ182" s="220">
        <f t="shared" si="225"/>
        <v>0</v>
      </c>
      <c r="AR182" s="220">
        <f t="shared" si="226"/>
        <v>0</v>
      </c>
      <c r="AS182" s="220">
        <f t="shared" si="227"/>
        <v>0</v>
      </c>
      <c r="AT182" s="220">
        <f t="shared" si="228"/>
        <v>0</v>
      </c>
      <c r="AU182" s="220">
        <f t="shared" si="229"/>
        <v>0</v>
      </c>
      <c r="AV182" s="220">
        <f t="shared" si="230"/>
        <v>0</v>
      </c>
      <c r="AW182" s="220">
        <f t="shared" si="231"/>
        <v>0</v>
      </c>
      <c r="AX182" s="65">
        <f t="shared" si="232"/>
        <v>0</v>
      </c>
    </row>
    <row r="183" spans="2:50">
      <c r="B183" s="92"/>
      <c r="C183" s="131"/>
      <c r="D183" s="133" t="s">
        <v>118</v>
      </c>
      <c r="E183" s="133"/>
      <c r="F183" s="133" t="s">
        <v>285</v>
      </c>
      <c r="G183" s="243">
        <f t="shared" si="233"/>
        <v>0</v>
      </c>
      <c r="H183" s="234"/>
      <c r="I183" s="170">
        <v>0</v>
      </c>
      <c r="J183" s="170">
        <f t="shared" ref="J183:T183" si="244">+I183</f>
        <v>0</v>
      </c>
      <c r="K183" s="170">
        <f t="shared" si="244"/>
        <v>0</v>
      </c>
      <c r="L183" s="170">
        <f t="shared" si="244"/>
        <v>0</v>
      </c>
      <c r="M183" s="170">
        <f t="shared" si="244"/>
        <v>0</v>
      </c>
      <c r="N183" s="170">
        <f t="shared" si="244"/>
        <v>0</v>
      </c>
      <c r="O183" s="170">
        <f t="shared" si="244"/>
        <v>0</v>
      </c>
      <c r="P183" s="170">
        <f t="shared" si="244"/>
        <v>0</v>
      </c>
      <c r="Q183" s="170">
        <f t="shared" si="244"/>
        <v>0</v>
      </c>
      <c r="R183" s="170">
        <f t="shared" si="244"/>
        <v>0</v>
      </c>
      <c r="S183" s="170">
        <f t="shared" si="244"/>
        <v>0</v>
      </c>
      <c r="T183" s="170">
        <f t="shared" si="244"/>
        <v>0</v>
      </c>
      <c r="U183" s="136"/>
      <c r="V183" s="97"/>
      <c r="Z183" s="65">
        <f t="shared" si="235"/>
        <v>0</v>
      </c>
      <c r="AA183" s="65">
        <f t="shared" si="210"/>
        <v>0</v>
      </c>
      <c r="AB183" s="65">
        <f t="shared" si="211"/>
        <v>0</v>
      </c>
      <c r="AC183" s="65">
        <f t="shared" si="212"/>
        <v>0</v>
      </c>
      <c r="AD183" s="65">
        <f t="shared" si="213"/>
        <v>0</v>
      </c>
      <c r="AE183" s="65">
        <f t="shared" si="214"/>
        <v>0</v>
      </c>
      <c r="AF183" s="65">
        <f t="shared" si="215"/>
        <v>0</v>
      </c>
      <c r="AG183" s="65">
        <f t="shared" si="216"/>
        <v>0</v>
      </c>
      <c r="AH183" s="65">
        <f t="shared" si="217"/>
        <v>0</v>
      </c>
      <c r="AI183" s="65">
        <f t="shared" si="218"/>
        <v>0</v>
      </c>
      <c r="AJ183" s="65">
        <f t="shared" si="219"/>
        <v>0</v>
      </c>
      <c r="AK183" s="65">
        <f t="shared" si="220"/>
        <v>0</v>
      </c>
      <c r="AL183" s="220"/>
      <c r="AM183" s="220">
        <f t="shared" si="221"/>
        <v>0</v>
      </c>
      <c r="AN183" s="220">
        <f t="shared" si="222"/>
        <v>0</v>
      </c>
      <c r="AO183" s="220">
        <f t="shared" si="223"/>
        <v>0</v>
      </c>
      <c r="AP183" s="220">
        <f t="shared" si="224"/>
        <v>0</v>
      </c>
      <c r="AQ183" s="220">
        <f t="shared" si="225"/>
        <v>0</v>
      </c>
      <c r="AR183" s="220">
        <f t="shared" si="226"/>
        <v>0</v>
      </c>
      <c r="AS183" s="220">
        <f t="shared" si="227"/>
        <v>0</v>
      </c>
      <c r="AT183" s="220">
        <f t="shared" si="228"/>
        <v>0</v>
      </c>
      <c r="AU183" s="220">
        <f t="shared" si="229"/>
        <v>0</v>
      </c>
      <c r="AV183" s="220">
        <f t="shared" si="230"/>
        <v>0</v>
      </c>
      <c r="AW183" s="220">
        <f t="shared" si="231"/>
        <v>0</v>
      </c>
      <c r="AX183" s="65">
        <f t="shared" si="232"/>
        <v>0</v>
      </c>
    </row>
    <row r="184" spans="2:50">
      <c r="B184" s="92"/>
      <c r="C184" s="131"/>
      <c r="D184" s="133" t="s">
        <v>116</v>
      </c>
      <c r="E184" s="133"/>
      <c r="F184" s="133" t="s">
        <v>285</v>
      </c>
      <c r="G184" s="243">
        <f t="shared" si="233"/>
        <v>0</v>
      </c>
      <c r="H184" s="234"/>
      <c r="I184" s="170">
        <v>0</v>
      </c>
      <c r="J184" s="170">
        <f t="shared" ref="J184:T184" si="245">+I184</f>
        <v>0</v>
      </c>
      <c r="K184" s="170">
        <f t="shared" si="245"/>
        <v>0</v>
      </c>
      <c r="L184" s="170">
        <f t="shared" si="245"/>
        <v>0</v>
      </c>
      <c r="M184" s="170">
        <f t="shared" si="245"/>
        <v>0</v>
      </c>
      <c r="N184" s="170">
        <f t="shared" si="245"/>
        <v>0</v>
      </c>
      <c r="O184" s="170">
        <f t="shared" si="245"/>
        <v>0</v>
      </c>
      <c r="P184" s="170">
        <f t="shared" si="245"/>
        <v>0</v>
      </c>
      <c r="Q184" s="170">
        <f t="shared" si="245"/>
        <v>0</v>
      </c>
      <c r="R184" s="170">
        <f t="shared" si="245"/>
        <v>0</v>
      </c>
      <c r="S184" s="170">
        <f t="shared" si="245"/>
        <v>0</v>
      </c>
      <c r="T184" s="170">
        <f t="shared" si="245"/>
        <v>0</v>
      </c>
      <c r="U184" s="136"/>
      <c r="V184" s="97"/>
      <c r="Z184" s="65">
        <f t="shared" si="235"/>
        <v>0</v>
      </c>
      <c r="AA184" s="65">
        <f t="shared" si="210"/>
        <v>0</v>
      </c>
      <c r="AB184" s="65">
        <f t="shared" si="211"/>
        <v>0</v>
      </c>
      <c r="AC184" s="65">
        <f t="shared" si="212"/>
        <v>0</v>
      </c>
      <c r="AD184" s="65">
        <f t="shared" si="213"/>
        <v>0</v>
      </c>
      <c r="AE184" s="65">
        <f t="shared" si="214"/>
        <v>0</v>
      </c>
      <c r="AF184" s="65">
        <f t="shared" si="215"/>
        <v>0</v>
      </c>
      <c r="AG184" s="65">
        <f t="shared" si="216"/>
        <v>0</v>
      </c>
      <c r="AH184" s="65">
        <f t="shared" si="217"/>
        <v>0</v>
      </c>
      <c r="AI184" s="65">
        <f t="shared" si="218"/>
        <v>0</v>
      </c>
      <c r="AJ184" s="65">
        <f t="shared" si="219"/>
        <v>0</v>
      </c>
      <c r="AK184" s="65">
        <f t="shared" si="220"/>
        <v>0</v>
      </c>
      <c r="AL184" s="220"/>
      <c r="AM184" s="220">
        <f t="shared" si="221"/>
        <v>0</v>
      </c>
      <c r="AN184" s="220">
        <f t="shared" si="222"/>
        <v>0</v>
      </c>
      <c r="AO184" s="220">
        <f t="shared" si="223"/>
        <v>0</v>
      </c>
      <c r="AP184" s="220">
        <f t="shared" si="224"/>
        <v>0</v>
      </c>
      <c r="AQ184" s="220">
        <f t="shared" si="225"/>
        <v>0</v>
      </c>
      <c r="AR184" s="220">
        <f t="shared" si="226"/>
        <v>0</v>
      </c>
      <c r="AS184" s="220">
        <f t="shared" si="227"/>
        <v>0</v>
      </c>
      <c r="AT184" s="220">
        <f t="shared" si="228"/>
        <v>0</v>
      </c>
      <c r="AU184" s="220">
        <f t="shared" si="229"/>
        <v>0</v>
      </c>
      <c r="AV184" s="220">
        <f t="shared" si="230"/>
        <v>0</v>
      </c>
      <c r="AW184" s="220">
        <f t="shared" si="231"/>
        <v>0</v>
      </c>
      <c r="AX184" s="65">
        <f t="shared" si="232"/>
        <v>0</v>
      </c>
    </row>
    <row r="185" spans="2:50">
      <c r="B185" s="92"/>
      <c r="C185" s="131"/>
      <c r="D185" s="133" t="s">
        <v>119</v>
      </c>
      <c r="E185" s="133"/>
      <c r="F185" s="133" t="s">
        <v>285</v>
      </c>
      <c r="G185" s="243">
        <f t="shared" si="233"/>
        <v>0</v>
      </c>
      <c r="H185" s="234"/>
      <c r="I185" s="170">
        <v>0</v>
      </c>
      <c r="J185" s="170">
        <f t="shared" ref="J185:T185" si="246">+I185</f>
        <v>0</v>
      </c>
      <c r="K185" s="170">
        <f t="shared" si="246"/>
        <v>0</v>
      </c>
      <c r="L185" s="170">
        <f t="shared" si="246"/>
        <v>0</v>
      </c>
      <c r="M185" s="170">
        <f t="shared" si="246"/>
        <v>0</v>
      </c>
      <c r="N185" s="170">
        <f t="shared" si="246"/>
        <v>0</v>
      </c>
      <c r="O185" s="170">
        <f t="shared" si="246"/>
        <v>0</v>
      </c>
      <c r="P185" s="170">
        <f t="shared" si="246"/>
        <v>0</v>
      </c>
      <c r="Q185" s="170">
        <f t="shared" si="246"/>
        <v>0</v>
      </c>
      <c r="R185" s="170">
        <f t="shared" si="246"/>
        <v>0</v>
      </c>
      <c r="S185" s="170">
        <f t="shared" si="246"/>
        <v>0</v>
      </c>
      <c r="T185" s="170">
        <f t="shared" si="246"/>
        <v>0</v>
      </c>
      <c r="U185" s="136"/>
      <c r="V185" s="97"/>
      <c r="Z185" s="65">
        <f t="shared" si="235"/>
        <v>0</v>
      </c>
      <c r="AA185" s="65">
        <f t="shared" si="210"/>
        <v>0</v>
      </c>
      <c r="AB185" s="65">
        <f t="shared" si="211"/>
        <v>0</v>
      </c>
      <c r="AC185" s="65">
        <f t="shared" si="212"/>
        <v>0</v>
      </c>
      <c r="AD185" s="65">
        <f t="shared" si="213"/>
        <v>0</v>
      </c>
      <c r="AE185" s="65">
        <f t="shared" si="214"/>
        <v>0</v>
      </c>
      <c r="AF185" s="65">
        <f t="shared" si="215"/>
        <v>0</v>
      </c>
      <c r="AG185" s="65">
        <f t="shared" si="216"/>
        <v>0</v>
      </c>
      <c r="AH185" s="65">
        <f t="shared" si="217"/>
        <v>0</v>
      </c>
      <c r="AI185" s="65">
        <f t="shared" si="218"/>
        <v>0</v>
      </c>
      <c r="AJ185" s="65">
        <f t="shared" si="219"/>
        <v>0</v>
      </c>
      <c r="AK185" s="65">
        <f t="shared" si="220"/>
        <v>0</v>
      </c>
      <c r="AL185" s="220"/>
      <c r="AM185" s="220">
        <f t="shared" si="221"/>
        <v>0</v>
      </c>
      <c r="AN185" s="220">
        <f t="shared" si="222"/>
        <v>0</v>
      </c>
      <c r="AO185" s="220">
        <f t="shared" si="223"/>
        <v>0</v>
      </c>
      <c r="AP185" s="220">
        <f t="shared" si="224"/>
        <v>0</v>
      </c>
      <c r="AQ185" s="220">
        <f t="shared" si="225"/>
        <v>0</v>
      </c>
      <c r="AR185" s="220">
        <f t="shared" si="226"/>
        <v>0</v>
      </c>
      <c r="AS185" s="220">
        <f t="shared" si="227"/>
        <v>0</v>
      </c>
      <c r="AT185" s="220">
        <f t="shared" si="228"/>
        <v>0</v>
      </c>
      <c r="AU185" s="220">
        <f t="shared" si="229"/>
        <v>0</v>
      </c>
      <c r="AV185" s="220">
        <f t="shared" si="230"/>
        <v>0</v>
      </c>
      <c r="AW185" s="220">
        <f t="shared" si="231"/>
        <v>0</v>
      </c>
      <c r="AX185" s="65">
        <f t="shared" si="232"/>
        <v>0</v>
      </c>
    </row>
    <row r="186" spans="2:50">
      <c r="B186" s="92"/>
      <c r="C186" s="131"/>
      <c r="D186" s="138" t="s">
        <v>273</v>
      </c>
      <c r="E186" s="138"/>
      <c r="F186" s="138"/>
      <c r="G186" s="244">
        <f>SUM(I186:T186)</f>
        <v>0</v>
      </c>
      <c r="H186" s="236"/>
      <c r="I186" s="245">
        <f t="shared" ref="I186:T186" si="247">+Z186</f>
        <v>0</v>
      </c>
      <c r="J186" s="245">
        <f t="shared" si="247"/>
        <v>0</v>
      </c>
      <c r="K186" s="245">
        <f t="shared" si="247"/>
        <v>0</v>
      </c>
      <c r="L186" s="245">
        <f t="shared" si="247"/>
        <v>0</v>
      </c>
      <c r="M186" s="245">
        <f t="shared" si="247"/>
        <v>0</v>
      </c>
      <c r="N186" s="245">
        <f t="shared" si="247"/>
        <v>0</v>
      </c>
      <c r="O186" s="245">
        <f t="shared" si="247"/>
        <v>0</v>
      </c>
      <c r="P186" s="245">
        <f t="shared" si="247"/>
        <v>0</v>
      </c>
      <c r="Q186" s="245">
        <f t="shared" si="247"/>
        <v>0</v>
      </c>
      <c r="R186" s="245">
        <f t="shared" si="247"/>
        <v>0</v>
      </c>
      <c r="S186" s="245">
        <f t="shared" si="247"/>
        <v>0</v>
      </c>
      <c r="T186" s="245">
        <f t="shared" si="247"/>
        <v>0</v>
      </c>
      <c r="U186" s="136"/>
      <c r="V186" s="97"/>
      <c r="Z186" s="65">
        <f t="shared" ref="Z186:AK186" si="248">SUM(Z173:Z185)</f>
        <v>0</v>
      </c>
      <c r="AA186" s="65">
        <f t="shared" si="248"/>
        <v>0</v>
      </c>
      <c r="AB186" s="65">
        <f t="shared" si="248"/>
        <v>0</v>
      </c>
      <c r="AC186" s="65">
        <f t="shared" si="248"/>
        <v>0</v>
      </c>
      <c r="AD186" s="65">
        <f t="shared" si="248"/>
        <v>0</v>
      </c>
      <c r="AE186" s="65">
        <f t="shared" si="248"/>
        <v>0</v>
      </c>
      <c r="AF186" s="65">
        <f t="shared" si="248"/>
        <v>0</v>
      </c>
      <c r="AG186" s="65">
        <f t="shared" si="248"/>
        <v>0</v>
      </c>
      <c r="AH186" s="65">
        <f t="shared" si="248"/>
        <v>0</v>
      </c>
      <c r="AI186" s="65">
        <f t="shared" si="248"/>
        <v>0</v>
      </c>
      <c r="AJ186" s="65">
        <f t="shared" si="248"/>
        <v>0</v>
      </c>
      <c r="AK186" s="65">
        <f t="shared" si="248"/>
        <v>0</v>
      </c>
      <c r="AL186" s="220"/>
      <c r="AM186" s="220"/>
      <c r="AN186" s="220"/>
      <c r="AO186" s="220"/>
      <c r="AP186" s="220"/>
      <c r="AQ186" s="220"/>
      <c r="AR186" s="220"/>
      <c r="AS186" s="220"/>
      <c r="AT186" s="220"/>
      <c r="AU186" s="220"/>
      <c r="AV186" s="220"/>
      <c r="AW186" s="220"/>
    </row>
    <row r="187" spans="2:50">
      <c r="B187" s="92"/>
      <c r="C187" s="131"/>
      <c r="D187" s="138" t="s">
        <v>280</v>
      </c>
      <c r="E187" s="138"/>
      <c r="F187" s="138"/>
      <c r="G187" s="244">
        <f>SUM(I187:T187)</f>
        <v>0</v>
      </c>
      <c r="H187" s="236"/>
      <c r="I187" s="245">
        <f>AM187</f>
        <v>0</v>
      </c>
      <c r="J187" s="245">
        <f t="shared" ref="J187:T187" si="249">AN187</f>
        <v>0</v>
      </c>
      <c r="K187" s="245">
        <f t="shared" si="249"/>
        <v>0</v>
      </c>
      <c r="L187" s="245">
        <f t="shared" si="249"/>
        <v>0</v>
      </c>
      <c r="M187" s="245">
        <f t="shared" si="249"/>
        <v>0</v>
      </c>
      <c r="N187" s="245">
        <f t="shared" si="249"/>
        <v>0</v>
      </c>
      <c r="O187" s="245">
        <f t="shared" si="249"/>
        <v>0</v>
      </c>
      <c r="P187" s="245">
        <f t="shared" si="249"/>
        <v>0</v>
      </c>
      <c r="Q187" s="245">
        <f t="shared" si="249"/>
        <v>0</v>
      </c>
      <c r="R187" s="245">
        <f t="shared" si="249"/>
        <v>0</v>
      </c>
      <c r="S187" s="245">
        <f t="shared" si="249"/>
        <v>0</v>
      </c>
      <c r="T187" s="245">
        <f t="shared" si="249"/>
        <v>0</v>
      </c>
      <c r="U187" s="136"/>
      <c r="V187" s="97"/>
      <c r="AL187" s="220"/>
      <c r="AM187" s="220">
        <f>SUM(AM173:AM185)</f>
        <v>0</v>
      </c>
      <c r="AN187" s="220">
        <f t="shared" ref="AN187:AX187" si="250">SUM(AN173:AN185)</f>
        <v>0</v>
      </c>
      <c r="AO187" s="220">
        <f t="shared" si="250"/>
        <v>0</v>
      </c>
      <c r="AP187" s="220">
        <f t="shared" si="250"/>
        <v>0</v>
      </c>
      <c r="AQ187" s="220">
        <f t="shared" si="250"/>
        <v>0</v>
      </c>
      <c r="AR187" s="220">
        <f t="shared" si="250"/>
        <v>0</v>
      </c>
      <c r="AS187" s="220">
        <f t="shared" si="250"/>
        <v>0</v>
      </c>
      <c r="AT187" s="220">
        <f t="shared" si="250"/>
        <v>0</v>
      </c>
      <c r="AU187" s="220">
        <f t="shared" si="250"/>
        <v>0</v>
      </c>
      <c r="AV187" s="220">
        <f t="shared" si="250"/>
        <v>0</v>
      </c>
      <c r="AW187" s="220">
        <f t="shared" si="250"/>
        <v>0</v>
      </c>
      <c r="AX187" s="65">
        <f t="shared" si="250"/>
        <v>0</v>
      </c>
    </row>
    <row r="188" spans="2:50">
      <c r="B188" s="92"/>
      <c r="C188" s="131"/>
      <c r="D188" s="138"/>
      <c r="E188" s="133"/>
      <c r="F188" s="138" t="s">
        <v>205</v>
      </c>
      <c r="G188" s="244">
        <f>SUM(G186:G187)</f>
        <v>0</v>
      </c>
      <c r="H188" s="236"/>
      <c r="I188" s="135"/>
      <c r="J188" s="135"/>
      <c r="K188" s="238">
        <f>SUM(K173:K185)</f>
        <v>0</v>
      </c>
      <c r="L188" s="135"/>
      <c r="M188" s="135"/>
      <c r="N188" s="135"/>
      <c r="O188" s="135"/>
      <c r="P188" s="135"/>
      <c r="Q188" s="135"/>
      <c r="R188" s="135"/>
      <c r="S188" s="135"/>
      <c r="T188" s="135"/>
      <c r="U188" s="136"/>
      <c r="V188" s="97"/>
    </row>
    <row r="189" spans="2:50">
      <c r="B189" s="92"/>
      <c r="C189" s="141"/>
      <c r="D189" s="142"/>
      <c r="E189" s="144"/>
      <c r="F189" s="144"/>
      <c r="G189" s="146"/>
      <c r="H189" s="144"/>
      <c r="I189" s="146"/>
      <c r="J189" s="146"/>
      <c r="K189" s="146"/>
      <c r="L189" s="146"/>
      <c r="M189" s="146"/>
      <c r="N189" s="146"/>
      <c r="O189" s="146"/>
      <c r="P189" s="146"/>
      <c r="Q189" s="146"/>
      <c r="R189" s="146"/>
      <c r="S189" s="146"/>
      <c r="T189" s="146"/>
      <c r="U189" s="147"/>
      <c r="V189" s="97"/>
    </row>
    <row r="190" spans="2:50">
      <c r="B190" s="92"/>
      <c r="C190" s="93"/>
      <c r="D190" s="93"/>
      <c r="E190" s="93"/>
      <c r="F190" s="93"/>
      <c r="G190" s="95"/>
      <c r="H190" s="93"/>
      <c r="I190" s="95"/>
      <c r="J190" s="95"/>
      <c r="K190" s="95"/>
      <c r="L190" s="95"/>
      <c r="M190" s="95"/>
      <c r="N190" s="95"/>
      <c r="O190" s="95"/>
      <c r="P190" s="95"/>
      <c r="Q190" s="95"/>
      <c r="R190" s="95"/>
      <c r="S190" s="95"/>
      <c r="T190" s="95"/>
      <c r="U190" s="93"/>
      <c r="V190" s="97"/>
    </row>
    <row r="191" spans="2:50">
      <c r="B191" s="92"/>
      <c r="C191" s="124"/>
      <c r="D191" s="127"/>
      <c r="E191" s="127"/>
      <c r="F191" s="127"/>
      <c r="G191" s="129"/>
      <c r="H191" s="127"/>
      <c r="I191" s="129"/>
      <c r="J191" s="129"/>
      <c r="K191" s="129"/>
      <c r="L191" s="129"/>
      <c r="M191" s="129"/>
      <c r="N191" s="129"/>
      <c r="O191" s="129"/>
      <c r="P191" s="153"/>
      <c r="Q191" s="153"/>
      <c r="R191" s="129"/>
      <c r="S191" s="129"/>
      <c r="T191" s="129"/>
      <c r="U191" s="130"/>
      <c r="V191" s="97"/>
    </row>
    <row r="192" spans="2:50">
      <c r="B192" s="92"/>
      <c r="C192" s="228"/>
      <c r="D192" s="239" t="s">
        <v>692</v>
      </c>
      <c r="E192" s="240"/>
      <c r="F192" s="174" t="str">
        <f>+F88</f>
        <v>DEELTIJDS</v>
      </c>
      <c r="G192" s="241" t="str">
        <f>G119</f>
        <v>2013/14</v>
      </c>
      <c r="H192" s="174"/>
      <c r="I192" s="242" t="s">
        <v>218</v>
      </c>
      <c r="J192" s="242" t="s">
        <v>219</v>
      </c>
      <c r="K192" s="242" t="s">
        <v>220</v>
      </c>
      <c r="L192" s="242" t="s">
        <v>221</v>
      </c>
      <c r="M192" s="242" t="s">
        <v>222</v>
      </c>
      <c r="N192" s="242" t="s">
        <v>216</v>
      </c>
      <c r="O192" s="242" t="s">
        <v>217</v>
      </c>
      <c r="P192" s="242" t="s">
        <v>223</v>
      </c>
      <c r="Q192" s="242" t="s">
        <v>224</v>
      </c>
      <c r="R192" s="242" t="s">
        <v>225</v>
      </c>
      <c r="S192" s="242" t="s">
        <v>226</v>
      </c>
      <c r="T192" s="242" t="s">
        <v>227</v>
      </c>
      <c r="U192" s="231"/>
      <c r="V192" s="97"/>
      <c r="Z192" s="65" t="s">
        <v>218</v>
      </c>
      <c r="AA192" s="65" t="s">
        <v>219</v>
      </c>
      <c r="AB192" s="65" t="s">
        <v>220</v>
      </c>
      <c r="AC192" s="65" t="s">
        <v>221</v>
      </c>
      <c r="AD192" s="65" t="s">
        <v>222</v>
      </c>
      <c r="AE192" s="65" t="s">
        <v>216</v>
      </c>
      <c r="AF192" s="65" t="s">
        <v>217</v>
      </c>
      <c r="AG192" s="65" t="s">
        <v>223</v>
      </c>
      <c r="AH192" s="65" t="s">
        <v>224</v>
      </c>
      <c r="AI192" s="65" t="s">
        <v>225</v>
      </c>
      <c r="AJ192" s="65" t="s">
        <v>226</v>
      </c>
      <c r="AK192" s="65" t="s">
        <v>227</v>
      </c>
      <c r="AM192" s="65" t="s">
        <v>218</v>
      </c>
      <c r="AN192" s="65" t="s">
        <v>219</v>
      </c>
      <c r="AO192" s="65" t="s">
        <v>220</v>
      </c>
      <c r="AP192" s="65" t="s">
        <v>221</v>
      </c>
      <c r="AQ192" s="65" t="s">
        <v>222</v>
      </c>
      <c r="AR192" s="65" t="s">
        <v>216</v>
      </c>
      <c r="AS192" s="65" t="s">
        <v>217</v>
      </c>
      <c r="AT192" s="65" t="s">
        <v>223</v>
      </c>
      <c r="AU192" s="65" t="s">
        <v>224</v>
      </c>
      <c r="AV192" s="65" t="s">
        <v>225</v>
      </c>
      <c r="AW192" s="65" t="s">
        <v>226</v>
      </c>
      <c r="AX192" s="65" t="s">
        <v>227</v>
      </c>
    </row>
    <row r="193" spans="2:50">
      <c r="B193" s="92"/>
      <c r="C193" s="131"/>
      <c r="D193" s="133"/>
      <c r="E193" s="232"/>
      <c r="F193" s="138"/>
      <c r="G193" s="139"/>
      <c r="H193" s="138"/>
      <c r="I193" s="135"/>
      <c r="J193" s="135"/>
      <c r="K193" s="135"/>
      <c r="L193" s="135"/>
      <c r="M193" s="135"/>
      <c r="N193" s="135"/>
      <c r="O193" s="135"/>
      <c r="P193" s="135"/>
      <c r="Q193" s="135"/>
      <c r="R193" s="135"/>
      <c r="S193" s="135"/>
      <c r="T193" s="135"/>
      <c r="U193" s="136"/>
      <c r="V193" s="97"/>
    </row>
    <row r="194" spans="2:50">
      <c r="B194" s="92"/>
      <c r="C194" s="131"/>
      <c r="D194" s="133" t="s">
        <v>107</v>
      </c>
      <c r="E194" s="133"/>
      <c r="F194" s="133" t="s">
        <v>285</v>
      </c>
      <c r="G194" s="243">
        <f t="shared" ref="G194:G206" si="251">ROUND(SUM(I194:T194)/12,2)</f>
        <v>0</v>
      </c>
      <c r="H194" s="234"/>
      <c r="I194" s="170">
        <v>0</v>
      </c>
      <c r="J194" s="170">
        <f>+I194</f>
        <v>0</v>
      </c>
      <c r="K194" s="170">
        <f t="shared" ref="K194:T194" si="252">+J194</f>
        <v>0</v>
      </c>
      <c r="L194" s="170">
        <f t="shared" si="252"/>
        <v>0</v>
      </c>
      <c r="M194" s="170">
        <f t="shared" si="252"/>
        <v>0</v>
      </c>
      <c r="N194" s="170">
        <f t="shared" si="252"/>
        <v>0</v>
      </c>
      <c r="O194" s="170">
        <f t="shared" si="252"/>
        <v>0</v>
      </c>
      <c r="P194" s="170">
        <f t="shared" si="252"/>
        <v>0</v>
      </c>
      <c r="Q194" s="170">
        <f t="shared" si="252"/>
        <v>0</v>
      </c>
      <c r="R194" s="170">
        <f t="shared" si="252"/>
        <v>0</v>
      </c>
      <c r="S194" s="170">
        <f t="shared" si="252"/>
        <v>0</v>
      </c>
      <c r="T194" s="170">
        <f t="shared" si="252"/>
        <v>0</v>
      </c>
      <c r="U194" s="136"/>
      <c r="V194" s="97"/>
      <c r="Z194" s="65">
        <f>ROUND(+I194*1/12*VLOOKUP($D194,LGFMBO,3,FALSE),2)</f>
        <v>0</v>
      </c>
      <c r="AA194" s="65">
        <f t="shared" ref="AA194:AA206" si="253">ROUND(+J194*1/12*VLOOKUP($D194,LGFMBO,3,FALSE),2)</f>
        <v>0</v>
      </c>
      <c r="AB194" s="65">
        <f t="shared" ref="AB194:AB206" si="254">ROUND(+K194*1/12*VLOOKUP($D194,LGFMBO,3,FALSE),2)</f>
        <v>0</v>
      </c>
      <c r="AC194" s="65">
        <f t="shared" ref="AC194:AC206" si="255">ROUND(+L194*1/12*VLOOKUP($D194,LGFMBO,3,FALSE),2)</f>
        <v>0</v>
      </c>
      <c r="AD194" s="65">
        <f t="shared" ref="AD194:AD206" si="256">ROUND(+M194*1/12*VLOOKUP($D194,LGFMBO,3,FALSE),2)</f>
        <v>0</v>
      </c>
      <c r="AE194" s="65">
        <f t="shared" ref="AE194:AE206" si="257">ROUND(+N194*1/12*VLOOKUP($D194,LGFMBO,3,FALSE),2)</f>
        <v>0</v>
      </c>
      <c r="AF194" s="65">
        <f t="shared" ref="AF194:AF206" si="258">ROUND(+O194*1/12*VLOOKUP($D194,LGFMBO,3,FALSE),2)</f>
        <v>0</v>
      </c>
      <c r="AG194" s="65">
        <f t="shared" ref="AG194:AG206" si="259">ROUND(+P194*1/12*VLOOKUP($D194,LGFMBO,3,FALSE),2)</f>
        <v>0</v>
      </c>
      <c r="AH194" s="65">
        <f t="shared" ref="AH194:AH206" si="260">ROUND(+Q194*1/12*VLOOKUP($D194,LGFMBO,3,FALSE),2)</f>
        <v>0</v>
      </c>
      <c r="AI194" s="65">
        <f t="shared" ref="AI194:AI206" si="261">ROUND(+R194*1/12*VLOOKUP($D194,LGFMBO,3,FALSE),2)</f>
        <v>0</v>
      </c>
      <c r="AJ194" s="65">
        <f t="shared" ref="AJ194:AJ206" si="262">ROUND(+S194*1/12*VLOOKUP($D194,LGFMBO,3,FALSE),2)</f>
        <v>0</v>
      </c>
      <c r="AK194" s="65">
        <f t="shared" ref="AK194:AK206" si="263">ROUND(+T194*1/12*VLOOKUP($D194,LGFMBO,3,FALSE),2)</f>
        <v>0</v>
      </c>
      <c r="AL194" s="220"/>
      <c r="AM194" s="220">
        <f t="shared" ref="AM194:AM206" si="264">ROUND(+I194*1/12*VLOOKUP($D194,LGFMBO,5,FALSE),2)</f>
        <v>0</v>
      </c>
      <c r="AN194" s="220">
        <f t="shared" ref="AN194:AN206" si="265">ROUND(+J194*1/12*VLOOKUP($D194,LGFMBO,5,FALSE),2)</f>
        <v>0</v>
      </c>
      <c r="AO194" s="220">
        <f t="shared" ref="AO194:AO206" si="266">ROUND(+K194*1/12*VLOOKUP($D194,LGFMBO,5,FALSE),2)</f>
        <v>0</v>
      </c>
      <c r="AP194" s="220">
        <f t="shared" ref="AP194:AP206" si="267">ROUND(+L194*1/12*VLOOKUP($D194,LGFMBO,5,FALSE),2)</f>
        <v>0</v>
      </c>
      <c r="AQ194" s="220">
        <f t="shared" ref="AQ194:AQ206" si="268">ROUND(+M194*1/12*VLOOKUP($D194,LGFMBO,5,FALSE),2)</f>
        <v>0</v>
      </c>
      <c r="AR194" s="220">
        <f t="shared" ref="AR194:AR206" si="269">ROUND(+N194*1/12*VLOOKUP($D194,LGFMBO,5,FALSE),2)</f>
        <v>0</v>
      </c>
      <c r="AS194" s="220">
        <f t="shared" ref="AS194:AS206" si="270">ROUND(+O194*1/12*VLOOKUP($D194,LGFMBO,5,FALSE),2)</f>
        <v>0</v>
      </c>
      <c r="AT194" s="220">
        <f t="shared" ref="AT194:AT206" si="271">ROUND(+P194*1/12*VLOOKUP($D194,LGFMBO,5,FALSE),2)</f>
        <v>0</v>
      </c>
      <c r="AU194" s="220">
        <f t="shared" ref="AU194:AU206" si="272">ROUND(+Q194*1/12*VLOOKUP($D194,LGFMBO,5,FALSE),2)</f>
        <v>0</v>
      </c>
      <c r="AV194" s="220">
        <f t="shared" ref="AV194:AV206" si="273">ROUND(+R194*1/12*VLOOKUP($D194,LGFMBO,5,FALSE),2)</f>
        <v>0</v>
      </c>
      <c r="AW194" s="220">
        <f t="shared" ref="AW194:AW206" si="274">ROUND(+S194*1/12*VLOOKUP($D194,LGFMBO,5,FALSE),2)</f>
        <v>0</v>
      </c>
      <c r="AX194" s="65">
        <f t="shared" ref="AX194:AX206" si="275">ROUND(+T194*1/12*VLOOKUP($D194,LGFMBO,5,FALSE),2)</f>
        <v>0</v>
      </c>
    </row>
    <row r="195" spans="2:50">
      <c r="B195" s="92"/>
      <c r="C195" s="131"/>
      <c r="D195" s="133" t="s">
        <v>108</v>
      </c>
      <c r="E195" s="133"/>
      <c r="F195" s="133" t="s">
        <v>285</v>
      </c>
      <c r="G195" s="243">
        <f t="shared" si="251"/>
        <v>0</v>
      </c>
      <c r="H195" s="234"/>
      <c r="I195" s="170">
        <v>0</v>
      </c>
      <c r="J195" s="170">
        <f t="shared" ref="J195:T195" si="276">+I195</f>
        <v>0</v>
      </c>
      <c r="K195" s="170">
        <f t="shared" si="276"/>
        <v>0</v>
      </c>
      <c r="L195" s="170">
        <f t="shared" si="276"/>
        <v>0</v>
      </c>
      <c r="M195" s="170">
        <f t="shared" si="276"/>
        <v>0</v>
      </c>
      <c r="N195" s="170">
        <f t="shared" si="276"/>
        <v>0</v>
      </c>
      <c r="O195" s="170">
        <f t="shared" si="276"/>
        <v>0</v>
      </c>
      <c r="P195" s="170">
        <f t="shared" si="276"/>
        <v>0</v>
      </c>
      <c r="Q195" s="170">
        <f t="shared" si="276"/>
        <v>0</v>
      </c>
      <c r="R195" s="170">
        <f t="shared" si="276"/>
        <v>0</v>
      </c>
      <c r="S195" s="170">
        <f t="shared" si="276"/>
        <v>0</v>
      </c>
      <c r="T195" s="170">
        <f t="shared" si="276"/>
        <v>0</v>
      </c>
      <c r="U195" s="136"/>
      <c r="V195" s="97"/>
      <c r="Z195" s="65">
        <f t="shared" ref="Z195:Z206" si="277">ROUND(+I195*1/12*VLOOKUP($D195,LGFMBO,3,FALSE),2)</f>
        <v>0</v>
      </c>
      <c r="AA195" s="65">
        <f t="shared" si="253"/>
        <v>0</v>
      </c>
      <c r="AB195" s="65">
        <f t="shared" si="254"/>
        <v>0</v>
      </c>
      <c r="AC195" s="65">
        <f t="shared" si="255"/>
        <v>0</v>
      </c>
      <c r="AD195" s="65">
        <f t="shared" si="256"/>
        <v>0</v>
      </c>
      <c r="AE195" s="65">
        <f t="shared" si="257"/>
        <v>0</v>
      </c>
      <c r="AF195" s="65">
        <f t="shared" si="258"/>
        <v>0</v>
      </c>
      <c r="AG195" s="65">
        <f t="shared" si="259"/>
        <v>0</v>
      </c>
      <c r="AH195" s="65">
        <f t="shared" si="260"/>
        <v>0</v>
      </c>
      <c r="AI195" s="65">
        <f t="shared" si="261"/>
        <v>0</v>
      </c>
      <c r="AJ195" s="65">
        <f t="shared" si="262"/>
        <v>0</v>
      </c>
      <c r="AK195" s="65">
        <f t="shared" si="263"/>
        <v>0</v>
      </c>
      <c r="AL195" s="220"/>
      <c r="AM195" s="220">
        <f t="shared" si="264"/>
        <v>0</v>
      </c>
      <c r="AN195" s="220">
        <f t="shared" si="265"/>
        <v>0</v>
      </c>
      <c r="AO195" s="220">
        <f t="shared" si="266"/>
        <v>0</v>
      </c>
      <c r="AP195" s="220">
        <f t="shared" si="267"/>
        <v>0</v>
      </c>
      <c r="AQ195" s="220">
        <f t="shared" si="268"/>
        <v>0</v>
      </c>
      <c r="AR195" s="220">
        <f t="shared" si="269"/>
        <v>0</v>
      </c>
      <c r="AS195" s="220">
        <f t="shared" si="270"/>
        <v>0</v>
      </c>
      <c r="AT195" s="220">
        <f t="shared" si="271"/>
        <v>0</v>
      </c>
      <c r="AU195" s="220">
        <f t="shared" si="272"/>
        <v>0</v>
      </c>
      <c r="AV195" s="220">
        <f t="shared" si="273"/>
        <v>0</v>
      </c>
      <c r="AW195" s="220">
        <f t="shared" si="274"/>
        <v>0</v>
      </c>
      <c r="AX195" s="65">
        <f t="shared" si="275"/>
        <v>0</v>
      </c>
    </row>
    <row r="196" spans="2:50">
      <c r="B196" s="92"/>
      <c r="C196" s="131"/>
      <c r="D196" s="133" t="s">
        <v>109</v>
      </c>
      <c r="E196" s="133"/>
      <c r="F196" s="133" t="s">
        <v>285</v>
      </c>
      <c r="G196" s="243">
        <f t="shared" si="251"/>
        <v>0</v>
      </c>
      <c r="H196" s="234"/>
      <c r="I196" s="170">
        <v>0</v>
      </c>
      <c r="J196" s="170">
        <f t="shared" ref="J196:T196" si="278">+I196</f>
        <v>0</v>
      </c>
      <c r="K196" s="170">
        <f t="shared" si="278"/>
        <v>0</v>
      </c>
      <c r="L196" s="170">
        <f t="shared" si="278"/>
        <v>0</v>
      </c>
      <c r="M196" s="170">
        <f t="shared" si="278"/>
        <v>0</v>
      </c>
      <c r="N196" s="170">
        <f t="shared" si="278"/>
        <v>0</v>
      </c>
      <c r="O196" s="170">
        <f t="shared" si="278"/>
        <v>0</v>
      </c>
      <c r="P196" s="170">
        <f t="shared" si="278"/>
        <v>0</v>
      </c>
      <c r="Q196" s="170">
        <f t="shared" si="278"/>
        <v>0</v>
      </c>
      <c r="R196" s="170">
        <f t="shared" si="278"/>
        <v>0</v>
      </c>
      <c r="S196" s="170">
        <f t="shared" si="278"/>
        <v>0</v>
      </c>
      <c r="T196" s="170">
        <f t="shared" si="278"/>
        <v>0</v>
      </c>
      <c r="U196" s="136"/>
      <c r="V196" s="97"/>
      <c r="Z196" s="65">
        <f t="shared" si="277"/>
        <v>0</v>
      </c>
      <c r="AA196" s="65">
        <f t="shared" si="253"/>
        <v>0</v>
      </c>
      <c r="AB196" s="65">
        <f t="shared" si="254"/>
        <v>0</v>
      </c>
      <c r="AC196" s="65">
        <f t="shared" si="255"/>
        <v>0</v>
      </c>
      <c r="AD196" s="65">
        <f t="shared" si="256"/>
        <v>0</v>
      </c>
      <c r="AE196" s="65">
        <f t="shared" si="257"/>
        <v>0</v>
      </c>
      <c r="AF196" s="65">
        <f t="shared" si="258"/>
        <v>0</v>
      </c>
      <c r="AG196" s="65">
        <f t="shared" si="259"/>
        <v>0</v>
      </c>
      <c r="AH196" s="65">
        <f t="shared" si="260"/>
        <v>0</v>
      </c>
      <c r="AI196" s="65">
        <f t="shared" si="261"/>
        <v>0</v>
      </c>
      <c r="AJ196" s="65">
        <f t="shared" si="262"/>
        <v>0</v>
      </c>
      <c r="AK196" s="65">
        <f t="shared" si="263"/>
        <v>0</v>
      </c>
      <c r="AL196" s="220"/>
      <c r="AM196" s="220">
        <f t="shared" si="264"/>
        <v>0</v>
      </c>
      <c r="AN196" s="220">
        <f t="shared" si="265"/>
        <v>0</v>
      </c>
      <c r="AO196" s="220">
        <f t="shared" si="266"/>
        <v>0</v>
      </c>
      <c r="AP196" s="220">
        <f t="shared" si="267"/>
        <v>0</v>
      </c>
      <c r="AQ196" s="220">
        <f t="shared" si="268"/>
        <v>0</v>
      </c>
      <c r="AR196" s="220">
        <f t="shared" si="269"/>
        <v>0</v>
      </c>
      <c r="AS196" s="220">
        <f t="shared" si="270"/>
        <v>0</v>
      </c>
      <c r="AT196" s="220">
        <f t="shared" si="271"/>
        <v>0</v>
      </c>
      <c r="AU196" s="220">
        <f t="shared" si="272"/>
        <v>0</v>
      </c>
      <c r="AV196" s="220">
        <f t="shared" si="273"/>
        <v>0</v>
      </c>
      <c r="AW196" s="220">
        <f t="shared" si="274"/>
        <v>0</v>
      </c>
      <c r="AX196" s="65">
        <f t="shared" si="275"/>
        <v>0</v>
      </c>
    </row>
    <row r="197" spans="2:50">
      <c r="B197" s="92"/>
      <c r="C197" s="131"/>
      <c r="D197" s="133" t="s">
        <v>110</v>
      </c>
      <c r="E197" s="133"/>
      <c r="F197" s="133" t="s">
        <v>285</v>
      </c>
      <c r="G197" s="243">
        <f t="shared" si="251"/>
        <v>0</v>
      </c>
      <c r="H197" s="234"/>
      <c r="I197" s="170">
        <v>0</v>
      </c>
      <c r="J197" s="170">
        <f t="shared" ref="J197:T197" si="279">+I197</f>
        <v>0</v>
      </c>
      <c r="K197" s="170">
        <f t="shared" si="279"/>
        <v>0</v>
      </c>
      <c r="L197" s="170">
        <f t="shared" si="279"/>
        <v>0</v>
      </c>
      <c r="M197" s="170">
        <f t="shared" si="279"/>
        <v>0</v>
      </c>
      <c r="N197" s="170">
        <f t="shared" si="279"/>
        <v>0</v>
      </c>
      <c r="O197" s="170">
        <f t="shared" si="279"/>
        <v>0</v>
      </c>
      <c r="P197" s="170">
        <f t="shared" si="279"/>
        <v>0</v>
      </c>
      <c r="Q197" s="170">
        <f t="shared" si="279"/>
        <v>0</v>
      </c>
      <c r="R197" s="170">
        <f t="shared" si="279"/>
        <v>0</v>
      </c>
      <c r="S197" s="170">
        <f t="shared" si="279"/>
        <v>0</v>
      </c>
      <c r="T197" s="170">
        <f t="shared" si="279"/>
        <v>0</v>
      </c>
      <c r="U197" s="136"/>
      <c r="V197" s="97"/>
      <c r="Z197" s="65">
        <f t="shared" si="277"/>
        <v>0</v>
      </c>
      <c r="AA197" s="65">
        <f t="shared" si="253"/>
        <v>0</v>
      </c>
      <c r="AB197" s="65">
        <f t="shared" si="254"/>
        <v>0</v>
      </c>
      <c r="AC197" s="65">
        <f t="shared" si="255"/>
        <v>0</v>
      </c>
      <c r="AD197" s="65">
        <f t="shared" si="256"/>
        <v>0</v>
      </c>
      <c r="AE197" s="65">
        <f t="shared" si="257"/>
        <v>0</v>
      </c>
      <c r="AF197" s="65">
        <f t="shared" si="258"/>
        <v>0</v>
      </c>
      <c r="AG197" s="65">
        <f t="shared" si="259"/>
        <v>0</v>
      </c>
      <c r="AH197" s="65">
        <f t="shared" si="260"/>
        <v>0</v>
      </c>
      <c r="AI197" s="65">
        <f t="shared" si="261"/>
        <v>0</v>
      </c>
      <c r="AJ197" s="65">
        <f t="shared" si="262"/>
        <v>0</v>
      </c>
      <c r="AK197" s="65">
        <f t="shared" si="263"/>
        <v>0</v>
      </c>
      <c r="AL197" s="220"/>
      <c r="AM197" s="220">
        <f t="shared" si="264"/>
        <v>0</v>
      </c>
      <c r="AN197" s="220">
        <f t="shared" si="265"/>
        <v>0</v>
      </c>
      <c r="AO197" s="220">
        <f t="shared" si="266"/>
        <v>0</v>
      </c>
      <c r="AP197" s="220">
        <f t="shared" si="267"/>
        <v>0</v>
      </c>
      <c r="AQ197" s="220">
        <f t="shared" si="268"/>
        <v>0</v>
      </c>
      <c r="AR197" s="220">
        <f t="shared" si="269"/>
        <v>0</v>
      </c>
      <c r="AS197" s="220">
        <f t="shared" si="270"/>
        <v>0</v>
      </c>
      <c r="AT197" s="220">
        <f t="shared" si="271"/>
        <v>0</v>
      </c>
      <c r="AU197" s="220">
        <f t="shared" si="272"/>
        <v>0</v>
      </c>
      <c r="AV197" s="220">
        <f t="shared" si="273"/>
        <v>0</v>
      </c>
      <c r="AW197" s="220">
        <f t="shared" si="274"/>
        <v>0</v>
      </c>
      <c r="AX197" s="65">
        <f t="shared" si="275"/>
        <v>0</v>
      </c>
    </row>
    <row r="198" spans="2:50">
      <c r="B198" s="92"/>
      <c r="C198" s="131"/>
      <c r="D198" s="133" t="s">
        <v>112</v>
      </c>
      <c r="E198" s="133"/>
      <c r="F198" s="133" t="s">
        <v>285</v>
      </c>
      <c r="G198" s="243">
        <f t="shared" si="251"/>
        <v>0</v>
      </c>
      <c r="H198" s="234"/>
      <c r="I198" s="170">
        <v>0</v>
      </c>
      <c r="J198" s="170">
        <f t="shared" ref="J198:T198" si="280">+I198</f>
        <v>0</v>
      </c>
      <c r="K198" s="170">
        <f t="shared" si="280"/>
        <v>0</v>
      </c>
      <c r="L198" s="170">
        <f t="shared" si="280"/>
        <v>0</v>
      </c>
      <c r="M198" s="170">
        <f t="shared" si="280"/>
        <v>0</v>
      </c>
      <c r="N198" s="170">
        <f t="shared" si="280"/>
        <v>0</v>
      </c>
      <c r="O198" s="170">
        <f t="shared" si="280"/>
        <v>0</v>
      </c>
      <c r="P198" s="170">
        <f t="shared" si="280"/>
        <v>0</v>
      </c>
      <c r="Q198" s="170">
        <f t="shared" si="280"/>
        <v>0</v>
      </c>
      <c r="R198" s="170">
        <f t="shared" si="280"/>
        <v>0</v>
      </c>
      <c r="S198" s="170">
        <f t="shared" si="280"/>
        <v>0</v>
      </c>
      <c r="T198" s="170">
        <f t="shared" si="280"/>
        <v>0</v>
      </c>
      <c r="U198" s="136"/>
      <c r="V198" s="97"/>
      <c r="Z198" s="65">
        <f t="shared" si="277"/>
        <v>0</v>
      </c>
      <c r="AA198" s="65">
        <f t="shared" si="253"/>
        <v>0</v>
      </c>
      <c r="AB198" s="65">
        <f t="shared" si="254"/>
        <v>0</v>
      </c>
      <c r="AC198" s="65">
        <f t="shared" si="255"/>
        <v>0</v>
      </c>
      <c r="AD198" s="65">
        <f t="shared" si="256"/>
        <v>0</v>
      </c>
      <c r="AE198" s="65">
        <f t="shared" si="257"/>
        <v>0</v>
      </c>
      <c r="AF198" s="65">
        <f t="shared" si="258"/>
        <v>0</v>
      </c>
      <c r="AG198" s="65">
        <f t="shared" si="259"/>
        <v>0</v>
      </c>
      <c r="AH198" s="65">
        <f t="shared" si="260"/>
        <v>0</v>
      </c>
      <c r="AI198" s="65">
        <f t="shared" si="261"/>
        <v>0</v>
      </c>
      <c r="AJ198" s="65">
        <f t="shared" si="262"/>
        <v>0</v>
      </c>
      <c r="AK198" s="65">
        <f t="shared" si="263"/>
        <v>0</v>
      </c>
      <c r="AL198" s="220"/>
      <c r="AM198" s="220">
        <f t="shared" si="264"/>
        <v>0</v>
      </c>
      <c r="AN198" s="220">
        <f t="shared" si="265"/>
        <v>0</v>
      </c>
      <c r="AO198" s="220">
        <f t="shared" si="266"/>
        <v>0</v>
      </c>
      <c r="AP198" s="220">
        <f t="shared" si="267"/>
        <v>0</v>
      </c>
      <c r="AQ198" s="220">
        <f t="shared" si="268"/>
        <v>0</v>
      </c>
      <c r="AR198" s="220">
        <f t="shared" si="269"/>
        <v>0</v>
      </c>
      <c r="AS198" s="220">
        <f t="shared" si="270"/>
        <v>0</v>
      </c>
      <c r="AT198" s="220">
        <f t="shared" si="271"/>
        <v>0</v>
      </c>
      <c r="AU198" s="220">
        <f t="shared" si="272"/>
        <v>0</v>
      </c>
      <c r="AV198" s="220">
        <f t="shared" si="273"/>
        <v>0</v>
      </c>
      <c r="AW198" s="220">
        <f t="shared" si="274"/>
        <v>0</v>
      </c>
      <c r="AX198" s="65">
        <f t="shared" si="275"/>
        <v>0</v>
      </c>
    </row>
    <row r="199" spans="2:50">
      <c r="B199" s="92"/>
      <c r="C199" s="131"/>
      <c r="D199" s="133" t="s">
        <v>113</v>
      </c>
      <c r="E199" s="133"/>
      <c r="F199" s="133" t="s">
        <v>285</v>
      </c>
      <c r="G199" s="243">
        <f t="shared" si="251"/>
        <v>0</v>
      </c>
      <c r="H199" s="234"/>
      <c r="I199" s="170">
        <v>0</v>
      </c>
      <c r="J199" s="170">
        <f t="shared" ref="J199:T199" si="281">+I199</f>
        <v>0</v>
      </c>
      <c r="K199" s="170">
        <f t="shared" si="281"/>
        <v>0</v>
      </c>
      <c r="L199" s="170">
        <f t="shared" si="281"/>
        <v>0</v>
      </c>
      <c r="M199" s="170">
        <f t="shared" si="281"/>
        <v>0</v>
      </c>
      <c r="N199" s="170">
        <f t="shared" si="281"/>
        <v>0</v>
      </c>
      <c r="O199" s="170">
        <f t="shared" si="281"/>
        <v>0</v>
      </c>
      <c r="P199" s="170">
        <f t="shared" si="281"/>
        <v>0</v>
      </c>
      <c r="Q199" s="170">
        <f t="shared" si="281"/>
        <v>0</v>
      </c>
      <c r="R199" s="170">
        <f t="shared" si="281"/>
        <v>0</v>
      </c>
      <c r="S199" s="170">
        <f t="shared" si="281"/>
        <v>0</v>
      </c>
      <c r="T199" s="170">
        <f t="shared" si="281"/>
        <v>0</v>
      </c>
      <c r="U199" s="136"/>
      <c r="V199" s="97"/>
      <c r="Z199" s="65">
        <f t="shared" si="277"/>
        <v>0</v>
      </c>
      <c r="AA199" s="65">
        <f t="shared" si="253"/>
        <v>0</v>
      </c>
      <c r="AB199" s="65">
        <f t="shared" si="254"/>
        <v>0</v>
      </c>
      <c r="AC199" s="65">
        <f t="shared" si="255"/>
        <v>0</v>
      </c>
      <c r="AD199" s="65">
        <f t="shared" si="256"/>
        <v>0</v>
      </c>
      <c r="AE199" s="65">
        <f t="shared" si="257"/>
        <v>0</v>
      </c>
      <c r="AF199" s="65">
        <f t="shared" si="258"/>
        <v>0</v>
      </c>
      <c r="AG199" s="65">
        <f t="shared" si="259"/>
        <v>0</v>
      </c>
      <c r="AH199" s="65">
        <f t="shared" si="260"/>
        <v>0</v>
      </c>
      <c r="AI199" s="65">
        <f t="shared" si="261"/>
        <v>0</v>
      </c>
      <c r="AJ199" s="65">
        <f t="shared" si="262"/>
        <v>0</v>
      </c>
      <c r="AK199" s="65">
        <f t="shared" si="263"/>
        <v>0</v>
      </c>
      <c r="AL199" s="220"/>
      <c r="AM199" s="220">
        <f t="shared" si="264"/>
        <v>0</v>
      </c>
      <c r="AN199" s="220">
        <f t="shared" si="265"/>
        <v>0</v>
      </c>
      <c r="AO199" s="220">
        <f t="shared" si="266"/>
        <v>0</v>
      </c>
      <c r="AP199" s="220">
        <f t="shared" si="267"/>
        <v>0</v>
      </c>
      <c r="AQ199" s="220">
        <f t="shared" si="268"/>
        <v>0</v>
      </c>
      <c r="AR199" s="220">
        <f t="shared" si="269"/>
        <v>0</v>
      </c>
      <c r="AS199" s="220">
        <f t="shared" si="270"/>
        <v>0</v>
      </c>
      <c r="AT199" s="220">
        <f t="shared" si="271"/>
        <v>0</v>
      </c>
      <c r="AU199" s="220">
        <f t="shared" si="272"/>
        <v>0</v>
      </c>
      <c r="AV199" s="220">
        <f t="shared" si="273"/>
        <v>0</v>
      </c>
      <c r="AW199" s="220">
        <f t="shared" si="274"/>
        <v>0</v>
      </c>
      <c r="AX199" s="65">
        <f t="shared" si="275"/>
        <v>0</v>
      </c>
    </row>
    <row r="200" spans="2:50">
      <c r="B200" s="92"/>
      <c r="C200" s="131"/>
      <c r="D200" s="133" t="s">
        <v>111</v>
      </c>
      <c r="E200" s="133"/>
      <c r="F200" s="133" t="s">
        <v>285</v>
      </c>
      <c r="G200" s="243">
        <f t="shared" si="251"/>
        <v>0</v>
      </c>
      <c r="H200" s="234"/>
      <c r="I200" s="170">
        <v>0</v>
      </c>
      <c r="J200" s="170">
        <f t="shared" ref="J200:T200" si="282">+I200</f>
        <v>0</v>
      </c>
      <c r="K200" s="170">
        <f t="shared" si="282"/>
        <v>0</v>
      </c>
      <c r="L200" s="170">
        <f t="shared" si="282"/>
        <v>0</v>
      </c>
      <c r="M200" s="170">
        <f t="shared" si="282"/>
        <v>0</v>
      </c>
      <c r="N200" s="170">
        <f t="shared" si="282"/>
        <v>0</v>
      </c>
      <c r="O200" s="170">
        <f t="shared" si="282"/>
        <v>0</v>
      </c>
      <c r="P200" s="170">
        <f t="shared" si="282"/>
        <v>0</v>
      </c>
      <c r="Q200" s="170">
        <f t="shared" si="282"/>
        <v>0</v>
      </c>
      <c r="R200" s="170">
        <f t="shared" si="282"/>
        <v>0</v>
      </c>
      <c r="S200" s="170">
        <f t="shared" si="282"/>
        <v>0</v>
      </c>
      <c r="T200" s="170">
        <f t="shared" si="282"/>
        <v>0</v>
      </c>
      <c r="U200" s="136"/>
      <c r="V200" s="97"/>
      <c r="Z200" s="65">
        <f t="shared" si="277"/>
        <v>0</v>
      </c>
      <c r="AA200" s="65">
        <f t="shared" si="253"/>
        <v>0</v>
      </c>
      <c r="AB200" s="65">
        <f t="shared" si="254"/>
        <v>0</v>
      </c>
      <c r="AC200" s="65">
        <f t="shared" si="255"/>
        <v>0</v>
      </c>
      <c r="AD200" s="65">
        <f t="shared" si="256"/>
        <v>0</v>
      </c>
      <c r="AE200" s="65">
        <f t="shared" si="257"/>
        <v>0</v>
      </c>
      <c r="AF200" s="65">
        <f t="shared" si="258"/>
        <v>0</v>
      </c>
      <c r="AG200" s="65">
        <f t="shared" si="259"/>
        <v>0</v>
      </c>
      <c r="AH200" s="65">
        <f t="shared" si="260"/>
        <v>0</v>
      </c>
      <c r="AI200" s="65">
        <f t="shared" si="261"/>
        <v>0</v>
      </c>
      <c r="AJ200" s="65">
        <f t="shared" si="262"/>
        <v>0</v>
      </c>
      <c r="AK200" s="65">
        <f t="shared" si="263"/>
        <v>0</v>
      </c>
      <c r="AL200" s="220"/>
      <c r="AM200" s="220">
        <f t="shared" si="264"/>
        <v>0</v>
      </c>
      <c r="AN200" s="220">
        <f t="shared" si="265"/>
        <v>0</v>
      </c>
      <c r="AO200" s="220">
        <f t="shared" si="266"/>
        <v>0</v>
      </c>
      <c r="AP200" s="220">
        <f t="shared" si="267"/>
        <v>0</v>
      </c>
      <c r="AQ200" s="220">
        <f t="shared" si="268"/>
        <v>0</v>
      </c>
      <c r="AR200" s="220">
        <f t="shared" si="269"/>
        <v>0</v>
      </c>
      <c r="AS200" s="220">
        <f t="shared" si="270"/>
        <v>0</v>
      </c>
      <c r="AT200" s="220">
        <f t="shared" si="271"/>
        <v>0</v>
      </c>
      <c r="AU200" s="220">
        <f t="shared" si="272"/>
        <v>0</v>
      </c>
      <c r="AV200" s="220">
        <f t="shared" si="273"/>
        <v>0</v>
      </c>
      <c r="AW200" s="220">
        <f t="shared" si="274"/>
        <v>0</v>
      </c>
      <c r="AX200" s="65">
        <f t="shared" si="275"/>
        <v>0</v>
      </c>
    </row>
    <row r="201" spans="2:50">
      <c r="B201" s="92"/>
      <c r="C201" s="131"/>
      <c r="D201" s="133" t="s">
        <v>114</v>
      </c>
      <c r="E201" s="133"/>
      <c r="F201" s="133" t="s">
        <v>285</v>
      </c>
      <c r="G201" s="243">
        <f t="shared" si="251"/>
        <v>0</v>
      </c>
      <c r="H201" s="234"/>
      <c r="I201" s="170">
        <v>0</v>
      </c>
      <c r="J201" s="170">
        <f t="shared" ref="J201:T201" si="283">+I201</f>
        <v>0</v>
      </c>
      <c r="K201" s="170">
        <f t="shared" si="283"/>
        <v>0</v>
      </c>
      <c r="L201" s="170">
        <f t="shared" si="283"/>
        <v>0</v>
      </c>
      <c r="M201" s="170">
        <f t="shared" si="283"/>
        <v>0</v>
      </c>
      <c r="N201" s="170">
        <f t="shared" si="283"/>
        <v>0</v>
      </c>
      <c r="O201" s="170">
        <f t="shared" si="283"/>
        <v>0</v>
      </c>
      <c r="P201" s="170">
        <f t="shared" si="283"/>
        <v>0</v>
      </c>
      <c r="Q201" s="170">
        <f t="shared" si="283"/>
        <v>0</v>
      </c>
      <c r="R201" s="170">
        <f t="shared" si="283"/>
        <v>0</v>
      </c>
      <c r="S201" s="170">
        <f t="shared" si="283"/>
        <v>0</v>
      </c>
      <c r="T201" s="170">
        <f t="shared" si="283"/>
        <v>0</v>
      </c>
      <c r="U201" s="136"/>
      <c r="V201" s="97"/>
      <c r="Z201" s="65">
        <f t="shared" si="277"/>
        <v>0</v>
      </c>
      <c r="AA201" s="65">
        <f t="shared" si="253"/>
        <v>0</v>
      </c>
      <c r="AB201" s="65">
        <f t="shared" si="254"/>
        <v>0</v>
      </c>
      <c r="AC201" s="65">
        <f t="shared" si="255"/>
        <v>0</v>
      </c>
      <c r="AD201" s="65">
        <f t="shared" si="256"/>
        <v>0</v>
      </c>
      <c r="AE201" s="65">
        <f t="shared" si="257"/>
        <v>0</v>
      </c>
      <c r="AF201" s="65">
        <f t="shared" si="258"/>
        <v>0</v>
      </c>
      <c r="AG201" s="65">
        <f t="shared" si="259"/>
        <v>0</v>
      </c>
      <c r="AH201" s="65">
        <f t="shared" si="260"/>
        <v>0</v>
      </c>
      <c r="AI201" s="65">
        <f t="shared" si="261"/>
        <v>0</v>
      </c>
      <c r="AJ201" s="65">
        <f t="shared" si="262"/>
        <v>0</v>
      </c>
      <c r="AK201" s="65">
        <f t="shared" si="263"/>
        <v>0</v>
      </c>
      <c r="AL201" s="220"/>
      <c r="AM201" s="220">
        <f t="shared" si="264"/>
        <v>0</v>
      </c>
      <c r="AN201" s="220">
        <f t="shared" si="265"/>
        <v>0</v>
      </c>
      <c r="AO201" s="220">
        <f t="shared" si="266"/>
        <v>0</v>
      </c>
      <c r="AP201" s="220">
        <f t="shared" si="267"/>
        <v>0</v>
      </c>
      <c r="AQ201" s="220">
        <f t="shared" si="268"/>
        <v>0</v>
      </c>
      <c r="AR201" s="220">
        <f t="shared" si="269"/>
        <v>0</v>
      </c>
      <c r="AS201" s="220">
        <f t="shared" si="270"/>
        <v>0</v>
      </c>
      <c r="AT201" s="220">
        <f t="shared" si="271"/>
        <v>0</v>
      </c>
      <c r="AU201" s="220">
        <f t="shared" si="272"/>
        <v>0</v>
      </c>
      <c r="AV201" s="220">
        <f t="shared" si="273"/>
        <v>0</v>
      </c>
      <c r="AW201" s="220">
        <f t="shared" si="274"/>
        <v>0</v>
      </c>
      <c r="AX201" s="65">
        <f t="shared" si="275"/>
        <v>0</v>
      </c>
    </row>
    <row r="202" spans="2:50">
      <c r="B202" s="92"/>
      <c r="C202" s="131"/>
      <c r="D202" s="133" t="s">
        <v>115</v>
      </c>
      <c r="E202" s="133"/>
      <c r="F202" s="133" t="s">
        <v>285</v>
      </c>
      <c r="G202" s="243">
        <f t="shared" si="251"/>
        <v>0</v>
      </c>
      <c r="H202" s="234"/>
      <c r="I202" s="170">
        <v>0</v>
      </c>
      <c r="J202" s="170">
        <f t="shared" ref="J202:T202" si="284">+I202</f>
        <v>0</v>
      </c>
      <c r="K202" s="170">
        <f t="shared" si="284"/>
        <v>0</v>
      </c>
      <c r="L202" s="170">
        <f t="shared" si="284"/>
        <v>0</v>
      </c>
      <c r="M202" s="170">
        <f t="shared" si="284"/>
        <v>0</v>
      </c>
      <c r="N202" s="170">
        <f t="shared" si="284"/>
        <v>0</v>
      </c>
      <c r="O202" s="170">
        <f t="shared" si="284"/>
        <v>0</v>
      </c>
      <c r="P202" s="170">
        <f t="shared" si="284"/>
        <v>0</v>
      </c>
      <c r="Q202" s="170">
        <f t="shared" si="284"/>
        <v>0</v>
      </c>
      <c r="R202" s="170">
        <f t="shared" si="284"/>
        <v>0</v>
      </c>
      <c r="S202" s="170">
        <f t="shared" si="284"/>
        <v>0</v>
      </c>
      <c r="T202" s="170">
        <f t="shared" si="284"/>
        <v>0</v>
      </c>
      <c r="U202" s="136"/>
      <c r="V202" s="97"/>
      <c r="Z202" s="65">
        <f t="shared" si="277"/>
        <v>0</v>
      </c>
      <c r="AA202" s="65">
        <f t="shared" si="253"/>
        <v>0</v>
      </c>
      <c r="AB202" s="65">
        <f t="shared" si="254"/>
        <v>0</v>
      </c>
      <c r="AC202" s="65">
        <f t="shared" si="255"/>
        <v>0</v>
      </c>
      <c r="AD202" s="65">
        <f t="shared" si="256"/>
        <v>0</v>
      </c>
      <c r="AE202" s="65">
        <f t="shared" si="257"/>
        <v>0</v>
      </c>
      <c r="AF202" s="65">
        <f t="shared" si="258"/>
        <v>0</v>
      </c>
      <c r="AG202" s="65">
        <f t="shared" si="259"/>
        <v>0</v>
      </c>
      <c r="AH202" s="65">
        <f t="shared" si="260"/>
        <v>0</v>
      </c>
      <c r="AI202" s="65">
        <f t="shared" si="261"/>
        <v>0</v>
      </c>
      <c r="AJ202" s="65">
        <f t="shared" si="262"/>
        <v>0</v>
      </c>
      <c r="AK202" s="65">
        <f t="shared" si="263"/>
        <v>0</v>
      </c>
      <c r="AL202" s="220"/>
      <c r="AM202" s="220">
        <f t="shared" si="264"/>
        <v>0</v>
      </c>
      <c r="AN202" s="220">
        <f t="shared" si="265"/>
        <v>0</v>
      </c>
      <c r="AO202" s="220">
        <f t="shared" si="266"/>
        <v>0</v>
      </c>
      <c r="AP202" s="220">
        <f t="shared" si="267"/>
        <v>0</v>
      </c>
      <c r="AQ202" s="220">
        <f t="shared" si="268"/>
        <v>0</v>
      </c>
      <c r="AR202" s="220">
        <f t="shared" si="269"/>
        <v>0</v>
      </c>
      <c r="AS202" s="220">
        <f t="shared" si="270"/>
        <v>0</v>
      </c>
      <c r="AT202" s="220">
        <f t="shared" si="271"/>
        <v>0</v>
      </c>
      <c r="AU202" s="220">
        <f t="shared" si="272"/>
        <v>0</v>
      </c>
      <c r="AV202" s="220">
        <f t="shared" si="273"/>
        <v>0</v>
      </c>
      <c r="AW202" s="220">
        <f t="shared" si="274"/>
        <v>0</v>
      </c>
      <c r="AX202" s="65">
        <f t="shared" si="275"/>
        <v>0</v>
      </c>
    </row>
    <row r="203" spans="2:50">
      <c r="B203" s="92"/>
      <c r="C203" s="131"/>
      <c r="D203" s="133" t="s">
        <v>117</v>
      </c>
      <c r="E203" s="133"/>
      <c r="F203" s="133" t="s">
        <v>285</v>
      </c>
      <c r="G203" s="243">
        <f t="shared" si="251"/>
        <v>0</v>
      </c>
      <c r="H203" s="234"/>
      <c r="I203" s="170">
        <v>0</v>
      </c>
      <c r="J203" s="170">
        <f t="shared" ref="J203:T203" si="285">+I203</f>
        <v>0</v>
      </c>
      <c r="K203" s="170">
        <f t="shared" si="285"/>
        <v>0</v>
      </c>
      <c r="L203" s="170">
        <f t="shared" si="285"/>
        <v>0</v>
      </c>
      <c r="M203" s="170">
        <f t="shared" si="285"/>
        <v>0</v>
      </c>
      <c r="N203" s="170">
        <f t="shared" si="285"/>
        <v>0</v>
      </c>
      <c r="O203" s="170">
        <f t="shared" si="285"/>
        <v>0</v>
      </c>
      <c r="P203" s="170">
        <f t="shared" si="285"/>
        <v>0</v>
      </c>
      <c r="Q203" s="170">
        <f t="shared" si="285"/>
        <v>0</v>
      </c>
      <c r="R203" s="170">
        <f t="shared" si="285"/>
        <v>0</v>
      </c>
      <c r="S203" s="170">
        <f t="shared" si="285"/>
        <v>0</v>
      </c>
      <c r="T203" s="170">
        <f t="shared" si="285"/>
        <v>0</v>
      </c>
      <c r="U203" s="136"/>
      <c r="V203" s="97"/>
      <c r="Z203" s="65">
        <f t="shared" si="277"/>
        <v>0</v>
      </c>
      <c r="AA203" s="65">
        <f t="shared" si="253"/>
        <v>0</v>
      </c>
      <c r="AB203" s="65">
        <f t="shared" si="254"/>
        <v>0</v>
      </c>
      <c r="AC203" s="65">
        <f t="shared" si="255"/>
        <v>0</v>
      </c>
      <c r="AD203" s="65">
        <f t="shared" si="256"/>
        <v>0</v>
      </c>
      <c r="AE203" s="65">
        <f t="shared" si="257"/>
        <v>0</v>
      </c>
      <c r="AF203" s="65">
        <f t="shared" si="258"/>
        <v>0</v>
      </c>
      <c r="AG203" s="65">
        <f t="shared" si="259"/>
        <v>0</v>
      </c>
      <c r="AH203" s="65">
        <f t="shared" si="260"/>
        <v>0</v>
      </c>
      <c r="AI203" s="65">
        <f t="shared" si="261"/>
        <v>0</v>
      </c>
      <c r="AJ203" s="65">
        <f t="shared" si="262"/>
        <v>0</v>
      </c>
      <c r="AK203" s="65">
        <f t="shared" si="263"/>
        <v>0</v>
      </c>
      <c r="AL203" s="220"/>
      <c r="AM203" s="220">
        <f t="shared" si="264"/>
        <v>0</v>
      </c>
      <c r="AN203" s="220">
        <f t="shared" si="265"/>
        <v>0</v>
      </c>
      <c r="AO203" s="220">
        <f t="shared" si="266"/>
        <v>0</v>
      </c>
      <c r="AP203" s="220">
        <f t="shared" si="267"/>
        <v>0</v>
      </c>
      <c r="AQ203" s="220">
        <f t="shared" si="268"/>
        <v>0</v>
      </c>
      <c r="AR203" s="220">
        <f t="shared" si="269"/>
        <v>0</v>
      </c>
      <c r="AS203" s="220">
        <f t="shared" si="270"/>
        <v>0</v>
      </c>
      <c r="AT203" s="220">
        <f t="shared" si="271"/>
        <v>0</v>
      </c>
      <c r="AU203" s="220">
        <f t="shared" si="272"/>
        <v>0</v>
      </c>
      <c r="AV203" s="220">
        <f t="shared" si="273"/>
        <v>0</v>
      </c>
      <c r="AW203" s="220">
        <f t="shared" si="274"/>
        <v>0</v>
      </c>
      <c r="AX203" s="65">
        <f t="shared" si="275"/>
        <v>0</v>
      </c>
    </row>
    <row r="204" spans="2:50">
      <c r="B204" s="92"/>
      <c r="C204" s="131"/>
      <c r="D204" s="133" t="s">
        <v>118</v>
      </c>
      <c r="E204" s="133"/>
      <c r="F204" s="133" t="s">
        <v>285</v>
      </c>
      <c r="G204" s="243">
        <f t="shared" si="251"/>
        <v>0</v>
      </c>
      <c r="H204" s="234"/>
      <c r="I204" s="170">
        <v>0</v>
      </c>
      <c r="J204" s="170">
        <f t="shared" ref="J204:T204" si="286">+I204</f>
        <v>0</v>
      </c>
      <c r="K204" s="170">
        <f t="shared" si="286"/>
        <v>0</v>
      </c>
      <c r="L204" s="170">
        <f t="shared" si="286"/>
        <v>0</v>
      </c>
      <c r="M204" s="170">
        <f t="shared" si="286"/>
        <v>0</v>
      </c>
      <c r="N204" s="170">
        <f t="shared" si="286"/>
        <v>0</v>
      </c>
      <c r="O204" s="170">
        <f t="shared" si="286"/>
        <v>0</v>
      </c>
      <c r="P204" s="170">
        <f t="shared" si="286"/>
        <v>0</v>
      </c>
      <c r="Q204" s="170">
        <f t="shared" si="286"/>
        <v>0</v>
      </c>
      <c r="R204" s="170">
        <f t="shared" si="286"/>
        <v>0</v>
      </c>
      <c r="S204" s="170">
        <f t="shared" si="286"/>
        <v>0</v>
      </c>
      <c r="T204" s="170">
        <f t="shared" si="286"/>
        <v>0</v>
      </c>
      <c r="U204" s="136"/>
      <c r="V204" s="97"/>
      <c r="Z204" s="65">
        <f t="shared" si="277"/>
        <v>0</v>
      </c>
      <c r="AA204" s="65">
        <f t="shared" si="253"/>
        <v>0</v>
      </c>
      <c r="AB204" s="65">
        <f t="shared" si="254"/>
        <v>0</v>
      </c>
      <c r="AC204" s="65">
        <f t="shared" si="255"/>
        <v>0</v>
      </c>
      <c r="AD204" s="65">
        <f t="shared" si="256"/>
        <v>0</v>
      </c>
      <c r="AE204" s="65">
        <f t="shared" si="257"/>
        <v>0</v>
      </c>
      <c r="AF204" s="65">
        <f t="shared" si="258"/>
        <v>0</v>
      </c>
      <c r="AG204" s="65">
        <f t="shared" si="259"/>
        <v>0</v>
      </c>
      <c r="AH204" s="65">
        <f t="shared" si="260"/>
        <v>0</v>
      </c>
      <c r="AI204" s="65">
        <f t="shared" si="261"/>
        <v>0</v>
      </c>
      <c r="AJ204" s="65">
        <f t="shared" si="262"/>
        <v>0</v>
      </c>
      <c r="AK204" s="65">
        <f t="shared" si="263"/>
        <v>0</v>
      </c>
      <c r="AL204" s="220"/>
      <c r="AM204" s="220">
        <f t="shared" si="264"/>
        <v>0</v>
      </c>
      <c r="AN204" s="220">
        <f t="shared" si="265"/>
        <v>0</v>
      </c>
      <c r="AO204" s="220">
        <f t="shared" si="266"/>
        <v>0</v>
      </c>
      <c r="AP204" s="220">
        <f t="shared" si="267"/>
        <v>0</v>
      </c>
      <c r="AQ204" s="220">
        <f t="shared" si="268"/>
        <v>0</v>
      </c>
      <c r="AR204" s="220">
        <f t="shared" si="269"/>
        <v>0</v>
      </c>
      <c r="AS204" s="220">
        <f t="shared" si="270"/>
        <v>0</v>
      </c>
      <c r="AT204" s="220">
        <f t="shared" si="271"/>
        <v>0</v>
      </c>
      <c r="AU204" s="220">
        <f t="shared" si="272"/>
        <v>0</v>
      </c>
      <c r="AV204" s="220">
        <f t="shared" si="273"/>
        <v>0</v>
      </c>
      <c r="AW204" s="220">
        <f t="shared" si="274"/>
        <v>0</v>
      </c>
      <c r="AX204" s="65">
        <f t="shared" si="275"/>
        <v>0</v>
      </c>
    </row>
    <row r="205" spans="2:50">
      <c r="B205" s="92"/>
      <c r="C205" s="131"/>
      <c r="D205" s="133" t="s">
        <v>116</v>
      </c>
      <c r="E205" s="133"/>
      <c r="F205" s="133" t="s">
        <v>285</v>
      </c>
      <c r="G205" s="243">
        <f t="shared" si="251"/>
        <v>0</v>
      </c>
      <c r="H205" s="234"/>
      <c r="I205" s="170">
        <v>0</v>
      </c>
      <c r="J205" s="170">
        <f t="shared" ref="J205:T205" si="287">+I205</f>
        <v>0</v>
      </c>
      <c r="K205" s="170">
        <f t="shared" si="287"/>
        <v>0</v>
      </c>
      <c r="L205" s="170">
        <f t="shared" si="287"/>
        <v>0</v>
      </c>
      <c r="M205" s="170">
        <f t="shared" si="287"/>
        <v>0</v>
      </c>
      <c r="N205" s="170">
        <f t="shared" si="287"/>
        <v>0</v>
      </c>
      <c r="O205" s="170">
        <f t="shared" si="287"/>
        <v>0</v>
      </c>
      <c r="P205" s="170">
        <f t="shared" si="287"/>
        <v>0</v>
      </c>
      <c r="Q205" s="170">
        <f t="shared" si="287"/>
        <v>0</v>
      </c>
      <c r="R205" s="170">
        <f t="shared" si="287"/>
        <v>0</v>
      </c>
      <c r="S205" s="170">
        <f t="shared" si="287"/>
        <v>0</v>
      </c>
      <c r="T205" s="170">
        <f t="shared" si="287"/>
        <v>0</v>
      </c>
      <c r="U205" s="136"/>
      <c r="V205" s="97"/>
      <c r="Z205" s="65">
        <f t="shared" si="277"/>
        <v>0</v>
      </c>
      <c r="AA205" s="65">
        <f t="shared" si="253"/>
        <v>0</v>
      </c>
      <c r="AB205" s="65">
        <f t="shared" si="254"/>
        <v>0</v>
      </c>
      <c r="AC205" s="65">
        <f t="shared" si="255"/>
        <v>0</v>
      </c>
      <c r="AD205" s="65">
        <f t="shared" si="256"/>
        <v>0</v>
      </c>
      <c r="AE205" s="65">
        <f t="shared" si="257"/>
        <v>0</v>
      </c>
      <c r="AF205" s="65">
        <f t="shared" si="258"/>
        <v>0</v>
      </c>
      <c r="AG205" s="65">
        <f t="shared" si="259"/>
        <v>0</v>
      </c>
      <c r="AH205" s="65">
        <f t="shared" si="260"/>
        <v>0</v>
      </c>
      <c r="AI205" s="65">
        <f t="shared" si="261"/>
        <v>0</v>
      </c>
      <c r="AJ205" s="65">
        <f t="shared" si="262"/>
        <v>0</v>
      </c>
      <c r="AK205" s="65">
        <f t="shared" si="263"/>
        <v>0</v>
      </c>
      <c r="AL205" s="220"/>
      <c r="AM205" s="220">
        <f t="shared" si="264"/>
        <v>0</v>
      </c>
      <c r="AN205" s="220">
        <f t="shared" si="265"/>
        <v>0</v>
      </c>
      <c r="AO205" s="220">
        <f t="shared" si="266"/>
        <v>0</v>
      </c>
      <c r="AP205" s="220">
        <f t="shared" si="267"/>
        <v>0</v>
      </c>
      <c r="AQ205" s="220">
        <f t="shared" si="268"/>
        <v>0</v>
      </c>
      <c r="AR205" s="220">
        <f t="shared" si="269"/>
        <v>0</v>
      </c>
      <c r="AS205" s="220">
        <f t="shared" si="270"/>
        <v>0</v>
      </c>
      <c r="AT205" s="220">
        <f t="shared" si="271"/>
        <v>0</v>
      </c>
      <c r="AU205" s="220">
        <f t="shared" si="272"/>
        <v>0</v>
      </c>
      <c r="AV205" s="220">
        <f t="shared" si="273"/>
        <v>0</v>
      </c>
      <c r="AW205" s="220">
        <f t="shared" si="274"/>
        <v>0</v>
      </c>
      <c r="AX205" s="65">
        <f t="shared" si="275"/>
        <v>0</v>
      </c>
    </row>
    <row r="206" spans="2:50">
      <c r="B206" s="92"/>
      <c r="C206" s="131"/>
      <c r="D206" s="133" t="s">
        <v>119</v>
      </c>
      <c r="E206" s="133"/>
      <c r="F206" s="133" t="s">
        <v>285</v>
      </c>
      <c r="G206" s="243">
        <f t="shared" si="251"/>
        <v>0</v>
      </c>
      <c r="H206" s="234"/>
      <c r="I206" s="170">
        <v>0</v>
      </c>
      <c r="J206" s="170">
        <f t="shared" ref="J206:T206" si="288">+I206</f>
        <v>0</v>
      </c>
      <c r="K206" s="170">
        <f t="shared" si="288"/>
        <v>0</v>
      </c>
      <c r="L206" s="170">
        <f t="shared" si="288"/>
        <v>0</v>
      </c>
      <c r="M206" s="170">
        <f t="shared" si="288"/>
        <v>0</v>
      </c>
      <c r="N206" s="170">
        <f t="shared" si="288"/>
        <v>0</v>
      </c>
      <c r="O206" s="170">
        <f t="shared" si="288"/>
        <v>0</v>
      </c>
      <c r="P206" s="170">
        <f t="shared" si="288"/>
        <v>0</v>
      </c>
      <c r="Q206" s="170">
        <f t="shared" si="288"/>
        <v>0</v>
      </c>
      <c r="R206" s="170">
        <f t="shared" si="288"/>
        <v>0</v>
      </c>
      <c r="S206" s="170">
        <f t="shared" si="288"/>
        <v>0</v>
      </c>
      <c r="T206" s="170">
        <f t="shared" si="288"/>
        <v>0</v>
      </c>
      <c r="U206" s="136"/>
      <c r="V206" s="97"/>
      <c r="Z206" s="65">
        <f t="shared" si="277"/>
        <v>0</v>
      </c>
      <c r="AA206" s="65">
        <f t="shared" si="253"/>
        <v>0</v>
      </c>
      <c r="AB206" s="65">
        <f t="shared" si="254"/>
        <v>0</v>
      </c>
      <c r="AC206" s="65">
        <f t="shared" si="255"/>
        <v>0</v>
      </c>
      <c r="AD206" s="65">
        <f t="shared" si="256"/>
        <v>0</v>
      </c>
      <c r="AE206" s="65">
        <f t="shared" si="257"/>
        <v>0</v>
      </c>
      <c r="AF206" s="65">
        <f t="shared" si="258"/>
        <v>0</v>
      </c>
      <c r="AG206" s="65">
        <f t="shared" si="259"/>
        <v>0</v>
      </c>
      <c r="AH206" s="65">
        <f t="shared" si="260"/>
        <v>0</v>
      </c>
      <c r="AI206" s="65">
        <f t="shared" si="261"/>
        <v>0</v>
      </c>
      <c r="AJ206" s="65">
        <f t="shared" si="262"/>
        <v>0</v>
      </c>
      <c r="AK206" s="65">
        <f t="shared" si="263"/>
        <v>0</v>
      </c>
      <c r="AL206" s="220"/>
      <c r="AM206" s="220">
        <f t="shared" si="264"/>
        <v>0</v>
      </c>
      <c r="AN206" s="220">
        <f t="shared" si="265"/>
        <v>0</v>
      </c>
      <c r="AO206" s="220">
        <f t="shared" si="266"/>
        <v>0</v>
      </c>
      <c r="AP206" s="220">
        <f t="shared" si="267"/>
        <v>0</v>
      </c>
      <c r="AQ206" s="220">
        <f t="shared" si="268"/>
        <v>0</v>
      </c>
      <c r="AR206" s="220">
        <f t="shared" si="269"/>
        <v>0</v>
      </c>
      <c r="AS206" s="220">
        <f t="shared" si="270"/>
        <v>0</v>
      </c>
      <c r="AT206" s="220">
        <f t="shared" si="271"/>
        <v>0</v>
      </c>
      <c r="AU206" s="220">
        <f t="shared" si="272"/>
        <v>0</v>
      </c>
      <c r="AV206" s="220">
        <f t="shared" si="273"/>
        <v>0</v>
      </c>
      <c r="AW206" s="220">
        <f t="shared" si="274"/>
        <v>0</v>
      </c>
      <c r="AX206" s="65">
        <f t="shared" si="275"/>
        <v>0</v>
      </c>
    </row>
    <row r="207" spans="2:50">
      <c r="B207" s="92"/>
      <c r="C207" s="131"/>
      <c r="D207" s="138" t="s">
        <v>273</v>
      </c>
      <c r="E207" s="138"/>
      <c r="F207" s="138"/>
      <c r="G207" s="244">
        <f>SUM(I207:T207)</f>
        <v>0</v>
      </c>
      <c r="H207" s="236"/>
      <c r="I207" s="245">
        <f t="shared" ref="I207:T207" si="289">+Z207</f>
        <v>0</v>
      </c>
      <c r="J207" s="245">
        <f t="shared" si="289"/>
        <v>0</v>
      </c>
      <c r="K207" s="245">
        <f t="shared" si="289"/>
        <v>0</v>
      </c>
      <c r="L207" s="245">
        <f t="shared" si="289"/>
        <v>0</v>
      </c>
      <c r="M207" s="245">
        <f t="shared" si="289"/>
        <v>0</v>
      </c>
      <c r="N207" s="245">
        <f t="shared" si="289"/>
        <v>0</v>
      </c>
      <c r="O207" s="245">
        <f t="shared" si="289"/>
        <v>0</v>
      </c>
      <c r="P207" s="245">
        <f t="shared" si="289"/>
        <v>0</v>
      </c>
      <c r="Q207" s="245">
        <f t="shared" si="289"/>
        <v>0</v>
      </c>
      <c r="R207" s="245">
        <f t="shared" si="289"/>
        <v>0</v>
      </c>
      <c r="S207" s="245">
        <f t="shared" si="289"/>
        <v>0</v>
      </c>
      <c r="T207" s="245">
        <f t="shared" si="289"/>
        <v>0</v>
      </c>
      <c r="U207" s="136"/>
      <c r="V207" s="97"/>
      <c r="Z207" s="65">
        <f t="shared" ref="Z207:AK207" si="290">SUM(Z194:Z206)</f>
        <v>0</v>
      </c>
      <c r="AA207" s="65">
        <f t="shared" si="290"/>
        <v>0</v>
      </c>
      <c r="AB207" s="65">
        <f t="shared" si="290"/>
        <v>0</v>
      </c>
      <c r="AC207" s="65">
        <f t="shared" si="290"/>
        <v>0</v>
      </c>
      <c r="AD207" s="65">
        <f t="shared" si="290"/>
        <v>0</v>
      </c>
      <c r="AE207" s="65">
        <f t="shared" si="290"/>
        <v>0</v>
      </c>
      <c r="AF207" s="65">
        <f t="shared" si="290"/>
        <v>0</v>
      </c>
      <c r="AG207" s="65">
        <f t="shared" si="290"/>
        <v>0</v>
      </c>
      <c r="AH207" s="65">
        <f t="shared" si="290"/>
        <v>0</v>
      </c>
      <c r="AI207" s="65">
        <f t="shared" si="290"/>
        <v>0</v>
      </c>
      <c r="AJ207" s="65">
        <f t="shared" si="290"/>
        <v>0</v>
      </c>
      <c r="AK207" s="65">
        <f t="shared" si="290"/>
        <v>0</v>
      </c>
      <c r="AL207" s="220"/>
      <c r="AM207" s="220"/>
      <c r="AN207" s="220"/>
      <c r="AO207" s="220"/>
      <c r="AP207" s="220"/>
      <c r="AQ207" s="220"/>
      <c r="AR207" s="220"/>
      <c r="AS207" s="220"/>
      <c r="AT207" s="220"/>
      <c r="AU207" s="220"/>
      <c r="AV207" s="220"/>
      <c r="AW207" s="220"/>
    </row>
    <row r="208" spans="2:50">
      <c r="B208" s="92"/>
      <c r="C208" s="131"/>
      <c r="D208" s="138" t="s">
        <v>280</v>
      </c>
      <c r="E208" s="138"/>
      <c r="F208" s="138"/>
      <c r="G208" s="244">
        <f>SUM(I208:T208)</f>
        <v>0</v>
      </c>
      <c r="H208" s="236"/>
      <c r="I208" s="245">
        <f>AM208</f>
        <v>0</v>
      </c>
      <c r="J208" s="245">
        <f t="shared" ref="J208:T208" si="291">AN208</f>
        <v>0</v>
      </c>
      <c r="K208" s="245">
        <f t="shared" si="291"/>
        <v>0</v>
      </c>
      <c r="L208" s="245">
        <f t="shared" si="291"/>
        <v>0</v>
      </c>
      <c r="M208" s="245">
        <f t="shared" si="291"/>
        <v>0</v>
      </c>
      <c r="N208" s="245">
        <f t="shared" si="291"/>
        <v>0</v>
      </c>
      <c r="O208" s="245">
        <f t="shared" si="291"/>
        <v>0</v>
      </c>
      <c r="P208" s="245">
        <f t="shared" si="291"/>
        <v>0</v>
      </c>
      <c r="Q208" s="245">
        <f t="shared" si="291"/>
        <v>0</v>
      </c>
      <c r="R208" s="245">
        <f t="shared" si="291"/>
        <v>0</v>
      </c>
      <c r="S208" s="245">
        <f t="shared" si="291"/>
        <v>0</v>
      </c>
      <c r="T208" s="245">
        <f t="shared" si="291"/>
        <v>0</v>
      </c>
      <c r="U208" s="136"/>
      <c r="V208" s="97"/>
      <c r="AL208" s="220"/>
      <c r="AM208" s="220">
        <f>SUM(AM194:AM207)</f>
        <v>0</v>
      </c>
      <c r="AN208" s="220">
        <f t="shared" ref="AN208:AX208" si="292">SUM(AN194:AN207)</f>
        <v>0</v>
      </c>
      <c r="AO208" s="220">
        <f t="shared" si="292"/>
        <v>0</v>
      </c>
      <c r="AP208" s="220">
        <f t="shared" si="292"/>
        <v>0</v>
      </c>
      <c r="AQ208" s="220">
        <f t="shared" si="292"/>
        <v>0</v>
      </c>
      <c r="AR208" s="220">
        <f t="shared" si="292"/>
        <v>0</v>
      </c>
      <c r="AS208" s="220">
        <f t="shared" si="292"/>
        <v>0</v>
      </c>
      <c r="AT208" s="220">
        <f t="shared" si="292"/>
        <v>0</v>
      </c>
      <c r="AU208" s="220">
        <f t="shared" si="292"/>
        <v>0</v>
      </c>
      <c r="AV208" s="220">
        <f t="shared" si="292"/>
        <v>0</v>
      </c>
      <c r="AW208" s="220">
        <f t="shared" si="292"/>
        <v>0</v>
      </c>
      <c r="AX208" s="65">
        <f t="shared" si="292"/>
        <v>0</v>
      </c>
    </row>
    <row r="209" spans="2:22">
      <c r="B209" s="92"/>
      <c r="C209" s="131"/>
      <c r="D209" s="138"/>
      <c r="E209" s="133"/>
      <c r="F209" s="138" t="s">
        <v>205</v>
      </c>
      <c r="G209" s="244">
        <f>SUM(G207:G208)</f>
        <v>0</v>
      </c>
      <c r="H209" s="236"/>
      <c r="I209" s="135"/>
      <c r="J209" s="135"/>
      <c r="K209" s="238">
        <f>SUM(K194:K206)</f>
        <v>0</v>
      </c>
      <c r="L209" s="135"/>
      <c r="M209" s="135"/>
      <c r="N209" s="135"/>
      <c r="O209" s="135"/>
      <c r="P209" s="135"/>
      <c r="Q209" s="135"/>
      <c r="R209" s="135"/>
      <c r="S209" s="135"/>
      <c r="T209" s="135"/>
      <c r="U209" s="136"/>
      <c r="V209" s="97"/>
    </row>
    <row r="210" spans="2:22">
      <c r="B210" s="92"/>
      <c r="C210" s="133"/>
      <c r="D210" s="138"/>
      <c r="E210" s="133"/>
      <c r="F210" s="133"/>
      <c r="G210" s="135"/>
      <c r="H210" s="133"/>
      <c r="I210" s="135"/>
      <c r="J210" s="135"/>
      <c r="K210" s="135"/>
      <c r="L210" s="135"/>
      <c r="M210" s="135"/>
      <c r="N210" s="135"/>
      <c r="O210" s="135"/>
      <c r="P210" s="135"/>
      <c r="Q210" s="247"/>
      <c r="R210" s="146"/>
      <c r="S210" s="146"/>
      <c r="T210" s="146"/>
      <c r="U210" s="147"/>
      <c r="V210" s="97"/>
    </row>
    <row r="211" spans="2:22">
      <c r="B211" s="92"/>
      <c r="C211" s="133"/>
      <c r="D211" s="138" t="s">
        <v>283</v>
      </c>
      <c r="E211" s="133"/>
      <c r="F211" s="133"/>
      <c r="G211" s="248">
        <f>+G186+G207</f>
        <v>0</v>
      </c>
      <c r="H211" s="133"/>
      <c r="I211" s="135"/>
      <c r="J211" s="135"/>
      <c r="K211" s="135"/>
      <c r="L211" s="135"/>
      <c r="M211" s="135"/>
      <c r="N211" s="135"/>
      <c r="O211" s="135"/>
      <c r="P211" s="135"/>
      <c r="U211" s="68"/>
      <c r="V211" s="97"/>
    </row>
    <row r="212" spans="2:22">
      <c r="B212" s="92"/>
      <c r="C212" s="133"/>
      <c r="D212" s="138" t="s">
        <v>284</v>
      </c>
      <c r="E212" s="133"/>
      <c r="F212" s="133"/>
      <c r="G212" s="248">
        <f>+G187+G208</f>
        <v>0</v>
      </c>
      <c r="H212" s="236"/>
      <c r="I212" s="135"/>
      <c r="J212" s="135"/>
      <c r="K212" s="135"/>
      <c r="L212" s="135"/>
      <c r="M212" s="135"/>
      <c r="N212" s="135"/>
      <c r="O212" s="135"/>
      <c r="P212" s="135"/>
      <c r="U212" s="68"/>
      <c r="V212" s="97"/>
    </row>
    <row r="213" spans="2:22">
      <c r="B213" s="92"/>
      <c r="C213" s="133"/>
      <c r="D213" s="138"/>
      <c r="E213" s="133"/>
      <c r="F213" s="138" t="s">
        <v>205</v>
      </c>
      <c r="G213" s="249">
        <f>SUM(G211:G212)</f>
        <v>0</v>
      </c>
      <c r="H213" s="236"/>
      <c r="I213" s="135"/>
      <c r="J213" s="135"/>
      <c r="K213" s="135"/>
      <c r="L213" s="135"/>
      <c r="M213" s="135"/>
      <c r="N213" s="135"/>
      <c r="O213" s="135"/>
      <c r="P213" s="135"/>
      <c r="U213" s="68"/>
      <c r="V213" s="97"/>
    </row>
    <row r="214" spans="2:22">
      <c r="B214" s="92"/>
      <c r="C214" s="133"/>
      <c r="D214" s="133"/>
      <c r="E214" s="133"/>
      <c r="F214" s="138"/>
      <c r="G214" s="235"/>
      <c r="H214" s="236"/>
      <c r="I214" s="135"/>
      <c r="J214" s="135"/>
      <c r="K214" s="135"/>
      <c r="L214" s="135"/>
      <c r="M214" s="135"/>
      <c r="N214" s="135"/>
      <c r="O214" s="135"/>
      <c r="P214" s="135"/>
      <c r="U214" s="68"/>
      <c r="V214" s="97"/>
    </row>
    <row r="215" spans="2:22">
      <c r="B215" s="92"/>
      <c r="C215" s="93"/>
      <c r="D215" s="93"/>
      <c r="E215" s="93"/>
      <c r="F215" s="93"/>
      <c r="G215" s="95"/>
      <c r="H215" s="93"/>
      <c r="I215" s="95"/>
      <c r="J215" s="95"/>
      <c r="K215" s="95"/>
      <c r="L215" s="95"/>
      <c r="M215" s="95"/>
      <c r="N215" s="95"/>
      <c r="O215" s="95"/>
      <c r="P215" s="95"/>
      <c r="Q215" s="95"/>
      <c r="R215" s="95"/>
      <c r="S215" s="95"/>
      <c r="T215" s="95"/>
      <c r="U215" s="93"/>
      <c r="V215" s="97"/>
    </row>
    <row r="216" spans="2:22" ht="15">
      <c r="B216" s="113"/>
      <c r="C216" s="114"/>
      <c r="D216" s="114"/>
      <c r="E216" s="114"/>
      <c r="F216" s="114"/>
      <c r="G216" s="118"/>
      <c r="H216" s="114"/>
      <c r="I216" s="118"/>
      <c r="J216" s="118"/>
      <c r="K216" s="118"/>
      <c r="L216" s="118"/>
      <c r="M216" s="118"/>
      <c r="N216" s="118"/>
      <c r="O216" s="118"/>
      <c r="P216" s="118"/>
      <c r="Q216" s="118"/>
      <c r="R216" s="118"/>
      <c r="S216" s="118"/>
      <c r="T216" s="118"/>
      <c r="U216" s="119" t="s">
        <v>555</v>
      </c>
      <c r="V216" s="120"/>
    </row>
    <row r="222" spans="2:22">
      <c r="D222" s="76"/>
      <c r="J222" s="69"/>
    </row>
    <row r="223" spans="2:22">
      <c r="D223" s="68"/>
    </row>
    <row r="224" spans="2:22">
      <c r="D224" s="68"/>
      <c r="J224" s="222"/>
    </row>
    <row r="225" spans="4:10">
      <c r="D225" s="68"/>
      <c r="J225" s="222"/>
    </row>
    <row r="226" spans="4:10">
      <c r="D226" s="68"/>
      <c r="J226" s="222"/>
    </row>
    <row r="227" spans="4:10">
      <c r="D227" s="68"/>
      <c r="J227" s="222"/>
    </row>
    <row r="228" spans="4:10">
      <c r="D228" s="217"/>
      <c r="J228" s="223"/>
    </row>
    <row r="229" spans="4:10">
      <c r="J229" s="224"/>
    </row>
    <row r="230" spans="4:10">
      <c r="D230" s="68"/>
    </row>
  </sheetData>
  <sheetProtection password="DFB1" sheet="1" objects="1" scenarios="1"/>
  <phoneticPr fontId="0" type="noConversion"/>
  <pageMargins left="0.75" right="0.75" top="1" bottom="1" header="0.5" footer="0.5"/>
  <pageSetup paperSize="9" scale="60" orientation="landscape" r:id="rId1"/>
  <headerFooter alignWithMargins="0">
    <oddHeader>&amp;L&amp;"Arial,Vet"&amp;F&amp;R&amp;"Arial,Vet"&amp;A</oddHeader>
    <oddFooter>&amp;L&amp;"Arial,Vet"keizer / goedhart&amp;C&amp;"Arial,Vet"&amp;D&amp;R&amp;"Arial,Vet"pagina &amp;P</oddFooter>
  </headerFooter>
  <rowBreaks count="1" manualBreakCount="1">
    <brk id="57" min="1" max="21" man="1"/>
  </rowBreaks>
  <drawing r:id="rId2"/>
  <legacyDrawing r:id="rId3"/>
</worksheet>
</file>

<file path=xl/worksheets/sheet4.xml><?xml version="1.0" encoding="utf-8"?>
<worksheet xmlns="http://schemas.openxmlformats.org/spreadsheetml/2006/main" xmlns:r="http://schemas.openxmlformats.org/officeDocument/2006/relationships">
  <dimension ref="B1:AC276"/>
  <sheetViews>
    <sheetView zoomScale="85" zoomScaleNormal="85" zoomScaleSheetLayoutView="85" workbookViewId="0">
      <pane ySplit="10" topLeftCell="A11" activePane="bottomLeft" state="frozen"/>
      <selection activeCell="B2" sqref="B2"/>
      <selection pane="bottomLeft" activeCell="B2" sqref="B2"/>
    </sheetView>
  </sheetViews>
  <sheetFormatPr defaultRowHeight="12.75"/>
  <cols>
    <col min="1" max="1" width="3.7109375" style="65" customWidth="1"/>
    <col min="2" max="3" width="2.7109375" style="65" customWidth="1"/>
    <col min="4" max="4" width="2.7109375" style="250" customWidth="1"/>
    <col min="5" max="6" width="16.85546875" style="65" customWidth="1"/>
    <col min="7" max="7" width="14.7109375" style="75" customWidth="1"/>
    <col min="8" max="8" width="3.28515625" style="65" customWidth="1"/>
    <col min="9" max="13" width="12.85546875" style="65" customWidth="1"/>
    <col min="14" max="14" width="2.7109375" style="65" customWidth="1"/>
    <col min="15" max="15" width="2.85546875" style="65" customWidth="1"/>
    <col min="16" max="24" width="10.5703125" style="65" customWidth="1"/>
    <col min="25" max="25" width="9.140625" style="65"/>
    <col min="26" max="26" width="17.28515625" style="210" customWidth="1"/>
    <col min="27" max="27" width="16.85546875" style="193" customWidth="1"/>
    <col min="28" max="16384" width="9.140625" style="65"/>
  </cols>
  <sheetData>
    <row r="1" spans="2:27" ht="12.75" customHeight="1"/>
    <row r="2" spans="2:27">
      <c r="B2" s="87"/>
      <c r="C2" s="88"/>
      <c r="D2" s="257"/>
      <c r="E2" s="88"/>
      <c r="F2" s="88"/>
      <c r="G2" s="90"/>
      <c r="H2" s="88"/>
      <c r="I2" s="88"/>
      <c r="J2" s="88"/>
      <c r="K2" s="88"/>
      <c r="L2" s="88"/>
      <c r="M2" s="88"/>
      <c r="N2" s="88"/>
      <c r="O2" s="91"/>
    </row>
    <row r="3" spans="2:27">
      <c r="B3" s="92"/>
      <c r="C3" s="93"/>
      <c r="D3" s="258"/>
      <c r="E3" s="93"/>
      <c r="F3" s="93"/>
      <c r="G3" s="95"/>
      <c r="H3" s="93"/>
      <c r="I3" s="93"/>
      <c r="J3" s="93"/>
      <c r="K3" s="93"/>
      <c r="L3" s="93"/>
      <c r="M3" s="93"/>
      <c r="N3" s="93"/>
      <c r="O3" s="97"/>
    </row>
    <row r="4" spans="2:27" s="73" customFormat="1" ht="18.75">
      <c r="B4" s="98"/>
      <c r="C4" s="304" t="s">
        <v>695</v>
      </c>
      <c r="D4" s="100"/>
      <c r="E4" s="100"/>
      <c r="F4" s="100"/>
      <c r="G4" s="102"/>
      <c r="H4" s="100"/>
      <c r="I4" s="100"/>
      <c r="J4" s="100"/>
      <c r="K4" s="100"/>
      <c r="L4" s="100"/>
      <c r="M4" s="100"/>
      <c r="N4" s="100"/>
      <c r="O4" s="104"/>
      <c r="Z4" s="210"/>
      <c r="AA4" s="193"/>
    </row>
    <row r="5" spans="2:27" s="73" customFormat="1" ht="18.75">
      <c r="B5" s="98"/>
      <c r="C5" s="260" t="str">
        <f>geg!I12</f>
        <v>De speciale school</v>
      </c>
      <c r="D5" s="100"/>
      <c r="E5" s="100"/>
      <c r="F5" s="100"/>
      <c r="G5" s="102"/>
      <c r="H5" s="100"/>
      <c r="I5" s="100"/>
      <c r="J5" s="100"/>
      <c r="K5" s="100"/>
      <c r="L5" s="100"/>
      <c r="M5" s="100"/>
      <c r="N5" s="100"/>
      <c r="O5" s="104"/>
      <c r="Z5" s="210"/>
      <c r="AA5" s="193"/>
    </row>
    <row r="6" spans="2:27">
      <c r="B6" s="92"/>
      <c r="C6" s="93"/>
      <c r="D6" s="258"/>
      <c r="E6" s="93"/>
      <c r="F6" s="93"/>
      <c r="G6" s="95"/>
      <c r="H6" s="93"/>
      <c r="I6" s="93"/>
      <c r="J6" s="93"/>
      <c r="K6" s="93"/>
      <c r="L6" s="93"/>
      <c r="M6" s="93"/>
      <c r="N6" s="93"/>
      <c r="O6" s="97"/>
      <c r="Z6" s="284" t="s">
        <v>605</v>
      </c>
    </row>
    <row r="7" spans="2:27">
      <c r="B7" s="92"/>
      <c r="C7" s="93"/>
      <c r="D7" s="258"/>
      <c r="E7" s="93"/>
      <c r="F7" s="93"/>
      <c r="G7" s="95"/>
      <c r="H7" s="93"/>
      <c r="I7" s="93"/>
      <c r="J7" s="93"/>
      <c r="K7" s="93"/>
      <c r="L7" s="93"/>
      <c r="M7" s="93"/>
      <c r="N7" s="93"/>
      <c r="O7" s="97"/>
      <c r="Z7" s="284"/>
    </row>
    <row r="8" spans="2:27">
      <c r="B8" s="92"/>
      <c r="C8" s="93"/>
      <c r="D8" s="261"/>
      <c r="E8" s="93"/>
      <c r="F8" s="93"/>
      <c r="G8" s="95"/>
      <c r="H8" s="93"/>
      <c r="I8" s="305" t="str">
        <f>tab!D2</f>
        <v>2012/13</v>
      </c>
      <c r="J8" s="305" t="str">
        <f>tab!E2</f>
        <v>2013/14</v>
      </c>
      <c r="K8" s="305" t="str">
        <f>tab!F2</f>
        <v>2014/15</v>
      </c>
      <c r="L8" s="1067" t="str">
        <f>tab!G2</f>
        <v>2015/16</v>
      </c>
      <c r="M8" s="1067" t="str">
        <f>tab!H2</f>
        <v>2016/17</v>
      </c>
      <c r="N8" s="93"/>
      <c r="O8" s="97"/>
      <c r="Z8" s="1042" t="str">
        <f>I8</f>
        <v>2012/13</v>
      </c>
      <c r="AA8" s="1042" t="str">
        <f>J8</f>
        <v>2013/14</v>
      </c>
    </row>
    <row r="9" spans="2:27">
      <c r="B9" s="92"/>
      <c r="C9" s="93"/>
      <c r="D9" s="261"/>
      <c r="E9" s="93"/>
      <c r="F9" s="93"/>
      <c r="G9" s="95"/>
      <c r="H9" s="93"/>
      <c r="I9" s="306">
        <f>tab!D3</f>
        <v>40817</v>
      </c>
      <c r="J9" s="306">
        <f>tab!E3</f>
        <v>41183</v>
      </c>
      <c r="K9" s="306">
        <f>tab!F3</f>
        <v>41548</v>
      </c>
      <c r="L9" s="306">
        <f>tab!G3</f>
        <v>41913</v>
      </c>
      <c r="M9" s="306">
        <f>tab!H3</f>
        <v>42278</v>
      </c>
      <c r="N9" s="93"/>
      <c r="O9" s="97"/>
      <c r="Z9" s="973"/>
      <c r="AA9" s="973"/>
    </row>
    <row r="10" spans="2:27">
      <c r="B10" s="92"/>
      <c r="C10" s="93"/>
      <c r="D10" s="258"/>
      <c r="E10" s="93"/>
      <c r="F10" s="93"/>
      <c r="G10" s="95"/>
      <c r="H10" s="93"/>
      <c r="I10" s="93"/>
      <c r="J10" s="93"/>
      <c r="K10" s="93"/>
      <c r="L10" s="93"/>
      <c r="M10" s="93"/>
      <c r="N10" s="93"/>
      <c r="O10" s="97"/>
      <c r="Z10" s="193"/>
    </row>
    <row r="11" spans="2:27">
      <c r="B11" s="92"/>
      <c r="C11" s="124"/>
      <c r="D11" s="289"/>
      <c r="E11" s="127"/>
      <c r="F11" s="127"/>
      <c r="G11" s="129"/>
      <c r="H11" s="127"/>
      <c r="I11" s="127"/>
      <c r="J11" s="127"/>
      <c r="K11" s="127"/>
      <c r="L11" s="127"/>
      <c r="M11" s="127"/>
      <c r="N11" s="130"/>
      <c r="O11" s="97"/>
      <c r="Z11" s="193" t="s">
        <v>832</v>
      </c>
      <c r="AA11" s="193" t="s">
        <v>832</v>
      </c>
    </row>
    <row r="12" spans="2:27">
      <c r="B12" s="92"/>
      <c r="C12" s="131"/>
      <c r="D12" s="234" t="s">
        <v>594</v>
      </c>
      <c r="E12" s="133"/>
      <c r="F12" s="133"/>
      <c r="G12" s="233"/>
      <c r="H12" s="138"/>
      <c r="I12" s="307">
        <f>J12</f>
        <v>50</v>
      </c>
      <c r="J12" s="307">
        <f>ROUND(IF(SUM(op!AD16:AD115)/SUM(op!K16:K115)&lt;30,30,SUM(op!AD16:AD115)/SUM(op!K16:K115)),2)</f>
        <v>50</v>
      </c>
      <c r="K12" s="307">
        <f>ROUND(IF(SUM(op!AD128:AD227)/SUM(op!K128:K227)&lt;30,30,SUM(op!AD128:AD227)/SUM(op!K128:K227)),2)</f>
        <v>50</v>
      </c>
      <c r="L12" s="307">
        <f>ROUND(IF(SUM(op!AD240:AD339)/SUM(op!K240:K339)&lt;30,30,SUM(op!AD240:AD339)/SUM(op!K240:K339)),2)</f>
        <v>50</v>
      </c>
      <c r="M12" s="307">
        <f>ROUND(IF(SUM(op!AD352:AD451)/SUM(op!K352:K451)&lt;30,30,SUM(op!AD352:AD451)/SUM(op!K352:K451)),2)</f>
        <v>50</v>
      </c>
      <c r="N12" s="136"/>
      <c r="O12" s="97"/>
      <c r="Z12" s="204">
        <f>+I12</f>
        <v>50</v>
      </c>
      <c r="AA12" s="204">
        <f>+J12</f>
        <v>50</v>
      </c>
    </row>
    <row r="13" spans="2:27">
      <c r="B13" s="92"/>
      <c r="C13" s="141"/>
      <c r="D13" s="300"/>
      <c r="E13" s="144"/>
      <c r="F13" s="144"/>
      <c r="G13" s="146"/>
      <c r="H13" s="142"/>
      <c r="I13" s="301"/>
      <c r="J13" s="301"/>
      <c r="K13" s="301"/>
      <c r="L13" s="301"/>
      <c r="M13" s="301"/>
      <c r="N13" s="147"/>
      <c r="O13" s="97"/>
      <c r="AA13" s="1039"/>
    </row>
    <row r="14" spans="2:27">
      <c r="B14" s="92"/>
      <c r="C14" s="93"/>
      <c r="D14" s="258"/>
      <c r="E14" s="93"/>
      <c r="F14" s="93"/>
      <c r="G14" s="95"/>
      <c r="H14" s="93"/>
      <c r="I14" s="93"/>
      <c r="J14" s="93"/>
      <c r="K14" s="93"/>
      <c r="L14" s="93"/>
      <c r="M14" s="93"/>
      <c r="N14" s="93"/>
      <c r="O14" s="97"/>
    </row>
    <row r="15" spans="2:27">
      <c r="B15" s="92"/>
      <c r="C15" s="124"/>
      <c r="D15" s="289"/>
      <c r="E15" s="127"/>
      <c r="F15" s="127"/>
      <c r="G15" s="129"/>
      <c r="H15" s="127"/>
      <c r="I15" s="302"/>
      <c r="J15" s="302"/>
      <c r="K15" s="302"/>
      <c r="L15" s="302"/>
      <c r="M15" s="302"/>
      <c r="N15" s="130"/>
      <c r="O15" s="97"/>
      <c r="AA15" s="692"/>
    </row>
    <row r="16" spans="2:27" s="73" customFormat="1">
      <c r="B16" s="98"/>
      <c r="C16" s="228"/>
      <c r="D16" s="239" t="s">
        <v>402</v>
      </c>
      <c r="E16" s="229"/>
      <c r="F16" s="229"/>
      <c r="G16" s="230"/>
      <c r="H16" s="229"/>
      <c r="I16" s="291"/>
      <c r="J16" s="291"/>
      <c r="K16" s="291"/>
      <c r="L16" s="291"/>
      <c r="M16" s="291"/>
      <c r="N16" s="231"/>
      <c r="O16" s="104"/>
      <c r="Z16" s="210"/>
      <c r="AA16" s="692"/>
    </row>
    <row r="17" spans="2:29">
      <c r="B17" s="92"/>
      <c r="C17" s="131"/>
      <c r="D17" s="232"/>
      <c r="E17" s="133"/>
      <c r="F17" s="133"/>
      <c r="G17" s="135"/>
      <c r="H17" s="133"/>
      <c r="I17" s="290"/>
      <c r="J17" s="290"/>
      <c r="K17" s="290"/>
      <c r="L17" s="290"/>
      <c r="M17" s="290"/>
      <c r="N17" s="136"/>
      <c r="O17" s="97"/>
      <c r="AA17" s="692"/>
    </row>
    <row r="18" spans="2:29">
      <c r="B18" s="92"/>
      <c r="C18" s="131"/>
      <c r="D18" s="777" t="s">
        <v>837</v>
      </c>
      <c r="E18" s="129"/>
      <c r="F18" s="129"/>
      <c r="G18" s="129"/>
      <c r="H18" s="815"/>
      <c r="I18" s="1055"/>
      <c r="J18" s="1055"/>
      <c r="K18" s="1055"/>
      <c r="L18" s="1055"/>
      <c r="M18" s="1055"/>
      <c r="N18" s="136"/>
      <c r="O18" s="97"/>
      <c r="AA18" s="692"/>
    </row>
    <row r="19" spans="2:29">
      <c r="B19" s="92"/>
      <c r="C19" s="131"/>
      <c r="D19" s="129"/>
      <c r="E19" s="129"/>
      <c r="F19" s="129"/>
      <c r="G19" s="129"/>
      <c r="H19" s="815"/>
      <c r="I19" s="1055"/>
      <c r="J19" s="1055"/>
      <c r="K19" s="1055"/>
      <c r="L19" s="1055"/>
      <c r="M19" s="1055"/>
      <c r="N19" s="136"/>
      <c r="O19" s="97"/>
      <c r="AA19" s="692"/>
    </row>
    <row r="20" spans="2:29">
      <c r="B20" s="92"/>
      <c r="C20" s="131"/>
      <c r="D20" s="292" t="s">
        <v>211</v>
      </c>
      <c r="E20" s="213">
        <f>+geg!D24</f>
        <v>0</v>
      </c>
      <c r="F20" s="213">
        <f>+geg!E24</f>
        <v>0</v>
      </c>
      <c r="G20" s="135"/>
      <c r="H20" s="133"/>
      <c r="I20" s="290"/>
      <c r="J20" s="290"/>
      <c r="K20" s="290"/>
      <c r="L20" s="290"/>
      <c r="M20" s="290"/>
      <c r="N20" s="136"/>
      <c r="O20" s="97"/>
      <c r="AA20" s="692"/>
    </row>
    <row r="21" spans="2:29">
      <c r="B21" s="92"/>
      <c r="C21" s="293"/>
      <c r="D21" s="155" t="s">
        <v>242</v>
      </c>
      <c r="E21" s="133"/>
      <c r="F21" s="133"/>
      <c r="G21" s="135"/>
      <c r="H21" s="232"/>
      <c r="I21" s="308">
        <f>ROUND(IF($E20=0,0,IF((geg!J153-geg!I153)&gt;geg!$I$17/2,(geg!J25+geg!J30),(geg!I25+geg!I30))*((VLOOKUP(geg!$E$24,bedragll,2,FALSE)+VLOOKUP(geg!$E$24,bedragll,5,FALSE)*pers!I$12))),2)</f>
        <v>0</v>
      </c>
      <c r="J21" s="308">
        <f>ROUND(IF($E20=0,0,IF((geg!M153-geg!L153)&gt;geg!$I$17/2,(geg!M25+geg!M30),(geg!L25+geg!L30))*((VLOOKUP(geg!$E$24,bedragll,2,FALSE)+VLOOKUP(geg!$E$24,bedragll,5,FALSE)*pers!J$12))),2)</f>
        <v>0</v>
      </c>
      <c r="K21" s="308">
        <f>ROUND(IF($E20=0,0,IF((geg!P148-geg!O148)&gt;geg!$I$17/2,(geg!P25+geg!P30),(geg!O25+geg!O30))*((VLOOKUP(geg!$E$24,bedragll,2,FALSE)+VLOOKUP(geg!$E$24,bedragll,5,FALSE)*pers!K$12))),2)</f>
        <v>0</v>
      </c>
      <c r="L21" s="308">
        <f>ROUND(IF($E20=0,0,IF((geg!S148-geg!R148)&gt;geg!$I$17/2,(geg!S25+geg!S30),(geg!R25+geg!R30))*((VLOOKUP(geg!$E$24,bedragll,2,FALSE)+VLOOKUP(geg!$E$24,bedragll,5,FALSE)*pers!L$12))),2)</f>
        <v>0</v>
      </c>
      <c r="M21" s="308">
        <f>ROUND(IF($E20=0,0,IF((geg!V148-geg!U148)&gt;geg!$I$17/2,(geg!V25+geg!V30),(geg!U25+geg!U30))*((VLOOKUP(geg!$E$24,bedragll,2,FALSE)+VLOOKUP(geg!$E$24,bedragll,5,FALSE)*pers!M$12))),2)</f>
        <v>0</v>
      </c>
      <c r="N21" s="136"/>
      <c r="O21" s="97"/>
      <c r="Z21" s="1062">
        <f>ROUND(IF($E20=0,0,IF((geg!M153-geg!L153)&gt;geg!$I$17/2,(geg!M25+geg!M30),(geg!L25+geg!L30))*((VLOOKUP(geg!$E$24,bedragll,2,FALSE)+VLOOKUP(geg!$E$24,bedragll,5,FALSE)*pers!I$12))),2)</f>
        <v>0</v>
      </c>
      <c r="AA21" s="1063">
        <f>ROUND(IF($E20=0,0,IF((geg!P148-geg!O148)&gt;geg!$I$17/2,(geg!P25+geg!P30),(geg!O25+geg!O30))*((VLOOKUP(geg!$E$24,bedragll,2,FALSE)+VLOOKUP(geg!$E$24,bedragll,5,FALSE)*pers!J$12))),2)</f>
        <v>0</v>
      </c>
    </row>
    <row r="22" spans="2:29">
      <c r="B22" s="92"/>
      <c r="C22" s="293"/>
      <c r="D22" s="155" t="s">
        <v>243</v>
      </c>
      <c r="E22" s="133"/>
      <c r="F22" s="133"/>
      <c r="G22" s="135"/>
      <c r="H22" s="232"/>
      <c r="I22" s="308">
        <f>ROUND(IF($E20=0,0,IF((geg!J153-geg!I153)&gt;geg!$I$17/2,(geg!J26+geg!J29-geg!J30),(geg!I26+geg!I29-geg!I30))*(VLOOKUP($F20,bedragll,IF($E20="SO",3,4),FALSE)+VLOOKUP($F20,bedragll,IF($E20="SO",6,7),FALSE)*pers!I$12)),2)</f>
        <v>0</v>
      </c>
      <c r="J22" s="308">
        <f>ROUND(IF($E20=0,0,IF((geg!M153-geg!L153)&gt;geg!$I$17/2,(geg!M26+geg!M29-geg!M30),(geg!L26+geg!L29-geg!L30))*(VLOOKUP($F20,bedragll,IF($E20="SO",3,4),FALSE)+VLOOKUP($F20,bedragll,IF($E20="SO",6,7),FALSE)*pers!J$12)),2)</f>
        <v>0</v>
      </c>
      <c r="K22" s="308">
        <f>ROUND(IF($E20=0,0,IF((geg!P148-geg!O148)&gt;geg!$I$17/2,(geg!P26+geg!P29-geg!P30),(geg!O26+geg!O29-geg!O30))*(VLOOKUP($F20,bedragll,IF($E20="SO",3,4),FALSE)+VLOOKUP($F20,bedragll,IF($E20="SO",6,7),FALSE)*pers!K$12)),2)</f>
        <v>0</v>
      </c>
      <c r="L22" s="308">
        <f>ROUND(IF($E20=0,0,IF((geg!S148-geg!R148)&gt;geg!$I$17/2,(geg!S26+geg!S29-geg!S30),(geg!R26+geg!R29-geg!R30))*(VLOOKUP($F20,bedragll,IF($E20="SO",3,4),FALSE)+VLOOKUP($F20,bedragll,IF($E20="SO",6,7),FALSE)*pers!L$12)),2)</f>
        <v>0</v>
      </c>
      <c r="M22" s="308">
        <f>ROUND(IF($E20=0,0,IF((geg!V148-geg!U148)&gt;geg!$I$17/2,(geg!V26+geg!V29-geg!V30),(geg!U26+geg!U29-geg!U30))*(VLOOKUP($F20,bedragll,IF($E20="SO",3,4),FALSE)+VLOOKUP($F20,bedragll,IF($E20="SO",6,7),FALSE)*pers!M$12)),2)</f>
        <v>0</v>
      </c>
      <c r="N22" s="136"/>
      <c r="O22" s="97"/>
      <c r="Z22" s="1062">
        <f>ROUND(IF($E20=0,0,IF((geg!M153-geg!L153)&gt;geg!$I$17/2,(geg!M26+geg!M29-geg!M30),(geg!L26+geg!L29-geg!L30))*(VLOOKUP($F20,bedragll,IF($E20="SO",3,4),FALSE)+VLOOKUP($F20,bedragll,IF($E20="SO",6,7),FALSE)*pers!I$12)),2)</f>
        <v>0</v>
      </c>
      <c r="AA22" s="1063">
        <f>ROUND(IF($E20=0,0,IF((geg!P148-geg!O148)&gt;geg!$I$17/2,(geg!P26+geg!P29-geg!P30),(geg!O26+geg!O29-geg!O30))*(VLOOKUP($F20,bedragll,IF($E20="SO",3,4),FALSE)+VLOOKUP($F20,bedragll,IF($E20="SO",6,7),FALSE)*pers!J$12)),2)</f>
        <v>0</v>
      </c>
    </row>
    <row r="23" spans="2:29">
      <c r="B23" s="92"/>
      <c r="C23" s="293"/>
      <c r="D23" s="213" t="s">
        <v>267</v>
      </c>
      <c r="E23" s="132"/>
      <c r="F23" s="156" t="s">
        <v>266</v>
      </c>
      <c r="G23" s="294"/>
      <c r="H23" s="132"/>
      <c r="I23" s="308">
        <f>ROUND(IF($E20=0,0,(geg!I32*(VLOOKUP(geg!$E$24,TAB,2,FALSE)+VLOOKUP(geg!$E$24,TAB,4,FALSE)*pers!I$12))),2)</f>
        <v>0</v>
      </c>
      <c r="J23" s="308">
        <f>ROUND(IF($E20=0,0,(geg!L32*(VLOOKUP(geg!$E$24,TAB,2,FALSE)+VLOOKUP(geg!$E$24,TAB,4,FALSE)*pers!J$12))),2)</f>
        <v>0</v>
      </c>
      <c r="K23" s="308">
        <f>ROUND(IF($E20=0,0,(geg!O32*(VLOOKUP(geg!$E$24,TAB,2,FALSE)+VLOOKUP(geg!$E$24,TAB,4,FALSE)*pers!K$12))),2)</f>
        <v>0</v>
      </c>
      <c r="L23" s="308">
        <f>ROUND(IF($E20=0,0,(geg!R32*(VLOOKUP(geg!$E$24,TAB,2,FALSE)+VLOOKUP(geg!$E$24,TAB,4,FALSE)*pers!L$12))),2)</f>
        <v>0</v>
      </c>
      <c r="M23" s="308">
        <f>ROUND(IF($E20=0,0,(geg!U32*(VLOOKUP(geg!$E$24,TAB,2,FALSE)+VLOOKUP(geg!$E$24,TAB,4,FALSE)*pers!M$12))),2)</f>
        <v>0</v>
      </c>
      <c r="N23" s="136"/>
      <c r="O23" s="97"/>
      <c r="Z23" s="1062">
        <f>ROUND(IF($E20=0,0,(geg!L32*(VLOOKUP(geg!$E$24,TAB,2,FALSE)+VLOOKUP(geg!$E$24,TAB,4,FALSE)*pers!I$12))),2)</f>
        <v>0</v>
      </c>
      <c r="AA23" s="1063">
        <f>ROUND(IF($E20=0,0,(geg!O32*(VLOOKUP(geg!$E$24,TAB,2,FALSE)+VLOOKUP(geg!$E$24,TAB,4,FALSE)*pers!J$12))),2)</f>
        <v>0</v>
      </c>
    </row>
    <row r="24" spans="2:29">
      <c r="B24" s="92"/>
      <c r="C24" s="293"/>
      <c r="D24" s="133"/>
      <c r="E24" s="133"/>
      <c r="F24" s="156" t="s">
        <v>268</v>
      </c>
      <c r="G24" s="294"/>
      <c r="H24" s="132"/>
      <c r="I24" s="308">
        <f>ROUND(IF($E20=0,0,(geg!I33*(VLOOKUP(geg!$E$24,TAB,3,FALSE)+VLOOKUP(geg!$E$24,TAB,5,FALSE)*pers!I$12))),2)</f>
        <v>0</v>
      </c>
      <c r="J24" s="308">
        <f>ROUND(IF($E20=0,0,(geg!L33*(VLOOKUP(geg!$E$24,TAB,3,FALSE)+VLOOKUP(geg!$E$24,TAB,5,FALSE)*pers!J$12))),2)</f>
        <v>0</v>
      </c>
      <c r="K24" s="308">
        <f>ROUND(IF($E20=0,0,(geg!O33*(VLOOKUP(geg!$E$24,TAB,3,FALSE)+VLOOKUP(geg!$E$24,TAB,5,FALSE)*pers!K$12))),2)</f>
        <v>0</v>
      </c>
      <c r="L24" s="308">
        <f>ROUND(IF($E20=0,0,(geg!R33*(VLOOKUP(geg!$E$24,TAB,3,FALSE)+VLOOKUP(geg!$E$24,TAB,5,FALSE)*pers!L$12))),2)</f>
        <v>0</v>
      </c>
      <c r="M24" s="308">
        <f>ROUND(IF($E20=0,0,(geg!U33*(VLOOKUP(geg!$E$24,TAB,3,FALSE)+VLOOKUP(geg!$E$24,TAB,5,FALSE)*pers!M$12))),2)</f>
        <v>0</v>
      </c>
      <c r="N24" s="136"/>
      <c r="O24" s="97"/>
      <c r="Z24" s="1062">
        <f>ROUND(IF($E20=0,0,(geg!L33*(VLOOKUP(geg!$E$24,TAB,3,FALSE)+VLOOKUP(geg!$E$24,TAB,5,FALSE)*pers!I$12))),2)</f>
        <v>0</v>
      </c>
      <c r="AA24" s="1063">
        <f>ROUND(IF($E20=0,0,(geg!O33*(VLOOKUP(geg!$E$24,TAB,3,FALSE)+VLOOKUP(geg!$E$24,TAB,5,FALSE)*pers!J$12))),2)</f>
        <v>0</v>
      </c>
    </row>
    <row r="25" spans="2:29">
      <c r="B25" s="92"/>
      <c r="C25" s="293"/>
      <c r="D25" s="133"/>
      <c r="E25" s="133"/>
      <c r="F25" s="156" t="s">
        <v>148</v>
      </c>
      <c r="G25" s="294"/>
      <c r="H25" s="132"/>
      <c r="I25" s="308">
        <f>IF($E20=0,0,IF((geg!J153-geg!I153)&gt;geg!$I$17/2,geg!J34,geg!I34)*(VLOOKUP($F20,PAB,IF($E20="SO",2,3),FALSE)+VLOOKUP($F20,PAB,IF($E20="SO",4,5),FALSE)*I$12))</f>
        <v>0</v>
      </c>
      <c r="J25" s="308">
        <f>IF($E20=0,0,IF((geg!M153-geg!L153)&gt;geg!$I$17/2,geg!M34,geg!L34)*(VLOOKUP($F20,PAB,IF($E20="SO",2,3),FALSE)+VLOOKUP($F20,PAB,IF($E20="SO",4,5),FALSE)*J$12))</f>
        <v>0</v>
      </c>
      <c r="K25" s="308">
        <f>IF($E20=0,0,IF((geg!P153-geg!O153)&gt;geg!$I$17/2,geg!P34,geg!O34)*(VLOOKUP($F20,PAB,IF($E20="SO",2,3),FALSE)+VLOOKUP($F20,PAB,IF($E20="SO",4,5),FALSE)*K$12))</f>
        <v>0</v>
      </c>
      <c r="L25" s="308">
        <f>IF($E20=0,0,IF((geg!S153-geg!R153)&gt;geg!$I$17/2,geg!S34,geg!R34)*(VLOOKUP($F20,PAB,IF($E20="SO",2,3),FALSE)+VLOOKUP($F20,PAB,IF($E20="SO",4,5),FALSE)*L$12))</f>
        <v>0</v>
      </c>
      <c r="M25" s="308">
        <f>IF($E20=0,0,IF((geg!V153-geg!U153)&gt;geg!$I$17/2,geg!V34,geg!U34)*(VLOOKUP($F20,PAB,IF($E20="SO",2,3),FALSE)+VLOOKUP($F20,PAB,IF($E20="SO",4,5),FALSE)*M$12))</f>
        <v>0</v>
      </c>
      <c r="N25" s="136"/>
      <c r="O25" s="97"/>
      <c r="Z25" s="1062">
        <f>IF($E20=0,0,IF((geg!M153-geg!L153)&gt;geg!$I$17/2,geg!M34,geg!L34)*(VLOOKUP($F20,PAB,IF($E20="SO",2,3),FALSE)+VLOOKUP($F20,PAB,IF($E20="SO",4,5),FALSE)*I$12))</f>
        <v>0</v>
      </c>
      <c r="AA25" s="1063">
        <f>IF($E20=0,0,IF((geg!P153-geg!O153)&gt;geg!$I$17/2,geg!P34,geg!O34)*(VLOOKUP($F20,PAB,IF($E20="SO",2,3),FALSE)+VLOOKUP($F20,PAB,IF($E20="SO",4,5),FALSE)*J$12))</f>
        <v>0</v>
      </c>
    </row>
    <row r="26" spans="2:29">
      <c r="B26" s="92"/>
      <c r="C26" s="131"/>
      <c r="D26" s="295"/>
      <c r="E26" s="133"/>
      <c r="F26" s="133"/>
      <c r="G26" s="135"/>
      <c r="H26" s="133"/>
      <c r="I26" s="290"/>
      <c r="J26" s="290"/>
      <c r="K26" s="290"/>
      <c r="L26" s="290"/>
      <c r="M26" s="290"/>
      <c r="N26" s="136"/>
      <c r="O26" s="97"/>
      <c r="Z26" s="1062"/>
      <c r="AA26" s="1063"/>
    </row>
    <row r="27" spans="2:29">
      <c r="B27" s="92"/>
      <c r="C27" s="131"/>
      <c r="D27" s="292" t="s">
        <v>212</v>
      </c>
      <c r="E27" s="292">
        <f>+geg!D38</f>
        <v>0</v>
      </c>
      <c r="F27" s="292">
        <f>+geg!E38</f>
        <v>0</v>
      </c>
      <c r="G27" s="135"/>
      <c r="H27" s="133"/>
      <c r="I27" s="290"/>
      <c r="J27" s="290"/>
      <c r="K27" s="290"/>
      <c r="L27" s="290"/>
      <c r="M27" s="290"/>
      <c r="N27" s="136"/>
      <c r="O27" s="97"/>
      <c r="Y27" s="217"/>
      <c r="Z27" s="1064"/>
      <c r="AA27" s="1063"/>
      <c r="AB27" s="217"/>
      <c r="AC27" s="217"/>
    </row>
    <row r="28" spans="2:29">
      <c r="B28" s="92"/>
      <c r="C28" s="293"/>
      <c r="D28" s="155" t="s">
        <v>242</v>
      </c>
      <c r="E28" s="133"/>
      <c r="F28" s="133"/>
      <c r="G28" s="135"/>
      <c r="H28" s="133"/>
      <c r="I28" s="308">
        <f>ROUND(IF($E27=0,0,IF((geg!J148-geg!I148)&gt;geg!$I$17/2,(geg!J39+geg!J44),(geg!I39+geg!I44))*((VLOOKUP($F27,bedragll,2,FALSE)+VLOOKUP($F27,bedragll,5,FALSE)*pers!I$12))),2)</f>
        <v>0</v>
      </c>
      <c r="J28" s="308">
        <f>ROUND(IF($E27=0,0,IF((geg!M148-geg!L148)&gt;geg!$I$17/2,(geg!M39+geg!M44),(geg!L39+geg!L44))*((VLOOKUP($F27,bedragll,2,FALSE)+VLOOKUP($F27,bedragll,5,FALSE)*pers!J$12))),2)</f>
        <v>0</v>
      </c>
      <c r="K28" s="308">
        <f>ROUND(IF($E27=0,0,IF((geg!P148-geg!O148)&gt;geg!$I$17/2,(geg!P39+geg!P44),(geg!O39+geg!O44))*((VLOOKUP($F27,bedragll,2,FALSE)+VLOOKUP($F27,bedragll,5,FALSE)*pers!K$12))),2)</f>
        <v>0</v>
      </c>
      <c r="L28" s="308">
        <f>ROUND(IF($E27=0,0,IF((geg!S148-geg!R148)&gt;geg!$I$17/2,(geg!S39+geg!S44),(geg!R39+geg!R44))*((VLOOKUP($F27,bedragll,2,FALSE)+VLOOKUP($F27,bedragll,5,FALSE)*pers!L$12))),2)</f>
        <v>0</v>
      </c>
      <c r="M28" s="308">
        <f>ROUND(IF($E27=0,0,IF((geg!V148-geg!U148)&gt;geg!$I$17/2,(geg!V39+geg!V44),(geg!U39+geg!U44))*((VLOOKUP($F27,bedragll,2,FALSE)+VLOOKUP($F27,bedragll,5,FALSE)*pers!M$12))),2)</f>
        <v>0</v>
      </c>
      <c r="N28" s="136"/>
      <c r="O28" s="97"/>
      <c r="Z28" s="1062">
        <f>ROUND(IF($E27=0,0,IF((geg!M148-geg!L148)&gt;geg!$I$17/2,(geg!M39+geg!M44),(geg!L39+geg!L44))*((VLOOKUP($F27,bedragll,2,FALSE)+VLOOKUP($F27,bedragll,5,FALSE)*pers!I$12))),2)</f>
        <v>0</v>
      </c>
      <c r="AA28" s="1063">
        <f>ROUND(IF($E27=0,0,IF((geg!P148-geg!O148)&gt;geg!$I$17/2,(geg!P39+geg!P44),(geg!O39+geg!O44))*((VLOOKUP($F27,bedragll,2,FALSE)+VLOOKUP($F27,bedragll,5,FALSE)*pers!J$12))),2)</f>
        <v>0</v>
      </c>
    </row>
    <row r="29" spans="2:29">
      <c r="B29" s="92"/>
      <c r="C29" s="293"/>
      <c r="D29" s="155" t="s">
        <v>243</v>
      </c>
      <c r="E29" s="133"/>
      <c r="F29" s="133"/>
      <c r="G29" s="135"/>
      <c r="H29" s="133"/>
      <c r="I29" s="308">
        <f>ROUND(IF($E27=0,0,IF((geg!J148-geg!I148)&gt;geg!$I$17/2,(geg!J40+geg!J43-geg!J44),(geg!I40+geg!I43-geg!I44))*(VLOOKUP($F27,bedragll,IF($E27="SO",3,4),FALSE)+VLOOKUP($F27,bedragll,IF($E27="SO",6,7),FALSE)*pers!I$12)),2)</f>
        <v>0</v>
      </c>
      <c r="J29" s="308">
        <f>ROUND(IF($E27=0,0,IF((geg!M148-geg!L148)&gt;geg!$I$17/2,(geg!M40+geg!M43-geg!M44),(geg!L40+geg!L43-geg!L44))*(VLOOKUP($F27,bedragll,IF($E27="SO",3,4),FALSE)+VLOOKUP($F27,bedragll,IF($E27="SO",6,7),FALSE)*pers!J$12)),2)</f>
        <v>0</v>
      </c>
      <c r="K29" s="308">
        <f>ROUND(IF($E27=0,0,IF((geg!P148-geg!O148)&gt;geg!$I$17/2,(geg!P40+geg!P43-geg!P44),(geg!O40+geg!O43-geg!O44))*(VLOOKUP($F27,bedragll,IF($E27="SO",3,4),FALSE)+VLOOKUP($F27,bedragll,IF($E27="SO",6,7),FALSE)*pers!K$12)),2)</f>
        <v>0</v>
      </c>
      <c r="L29" s="308">
        <f>ROUND(IF($E27=0,0,IF((geg!S148-geg!R148)&gt;geg!$I$17/2,(geg!S40+geg!S43-geg!S44),(geg!R40+geg!R43-geg!R44))*(VLOOKUP($F27,bedragll,IF($E27="SO",3,4),FALSE)+VLOOKUP($F27,bedragll,IF($E27="SO",6,7),FALSE)*pers!L$12)),2)</f>
        <v>0</v>
      </c>
      <c r="M29" s="308">
        <f>ROUND(IF($E27=0,0,IF((geg!V148-geg!U148)&gt;geg!$I$17/2,(geg!V40+geg!V43-geg!V44),(geg!U40+geg!U43-geg!U44))*(VLOOKUP($F27,bedragll,IF($E27="SO",3,4),FALSE)+VLOOKUP($F27,bedragll,IF($E27="SO",6,7),FALSE)*pers!M$12)),2)</f>
        <v>0</v>
      </c>
      <c r="N29" s="136"/>
      <c r="O29" s="97"/>
      <c r="Z29" s="1062">
        <f>ROUND(IF($E27=0,0,IF((geg!M148-geg!L148)&gt;geg!$I$17/2,(geg!M40+geg!M43-geg!M44),(geg!L40+geg!L43-geg!L44))*(VLOOKUP($F27,bedragll,IF($E27="SO",3,4),FALSE)+VLOOKUP($F27,bedragll,IF($E27="SO",6,7),FALSE)*pers!I$12)),2)</f>
        <v>0</v>
      </c>
      <c r="AA29" s="1063">
        <f>ROUND(IF($E27=0,0,IF((geg!P148-geg!O148)&gt;geg!$I$17/2,(geg!P40+geg!P43-geg!P44),(geg!O40+geg!O43-geg!O44))*(VLOOKUP($F27,bedragll,IF($E27="SO",3,4),FALSE)+VLOOKUP($F27,bedragll,IF($E27="SO",6,7),FALSE)*pers!J$12)),2)</f>
        <v>0</v>
      </c>
    </row>
    <row r="30" spans="2:29">
      <c r="B30" s="92"/>
      <c r="C30" s="293"/>
      <c r="D30" s="213" t="s">
        <v>267</v>
      </c>
      <c r="E30" s="132"/>
      <c r="F30" s="156" t="s">
        <v>266</v>
      </c>
      <c r="G30" s="294"/>
      <c r="H30" s="133"/>
      <c r="I30" s="308">
        <f>ROUND(IF($E27=0,0,(geg!I46*(VLOOKUP($F27,TAB,2,FALSE)+VLOOKUP($F27,TAB,4,FALSE)*pers!I$12))),2)</f>
        <v>0</v>
      </c>
      <c r="J30" s="308">
        <f>ROUND(IF($E27=0,0,(geg!L46*(VLOOKUP($F27,TAB,2,FALSE)+VLOOKUP($F27,TAB,4,FALSE)*pers!J$12))),2)</f>
        <v>0</v>
      </c>
      <c r="K30" s="308">
        <f>ROUND(IF($E27=0,0,(geg!O46*(VLOOKUP($F27,TAB,2,FALSE)+VLOOKUP($F27,TAB,4,FALSE)*pers!K$12))),2)</f>
        <v>0</v>
      </c>
      <c r="L30" s="308">
        <f>ROUND(IF($E27=0,0,(geg!R46*(VLOOKUP($F27,TAB,2,FALSE)+VLOOKUP($F27,TAB,4,FALSE)*pers!L$12))),2)</f>
        <v>0</v>
      </c>
      <c r="M30" s="308">
        <f>ROUND(IF($E27=0,0,(geg!U46*(VLOOKUP($F27,TAB,2,FALSE)+VLOOKUP($F27,TAB,4,FALSE)*pers!M$12))),2)</f>
        <v>0</v>
      </c>
      <c r="N30" s="136"/>
      <c r="O30" s="97"/>
      <c r="Z30" s="1062">
        <f>ROUND(IF($E27=0,0,(geg!L46*(VLOOKUP($F27,TAB,2,FALSE)+VLOOKUP($F27,TAB,4,FALSE)*pers!I$12))),2)</f>
        <v>0</v>
      </c>
      <c r="AA30" s="1063">
        <f>ROUND(IF($E27=0,0,(geg!O46*(VLOOKUP($F27,TAB,2,FALSE)+VLOOKUP($F27,TAB,4,FALSE)*pers!J$12))),2)</f>
        <v>0</v>
      </c>
    </row>
    <row r="31" spans="2:29">
      <c r="B31" s="92"/>
      <c r="C31" s="293"/>
      <c r="D31" s="133"/>
      <c r="E31" s="133"/>
      <c r="F31" s="156" t="s">
        <v>268</v>
      </c>
      <c r="G31" s="294"/>
      <c r="H31" s="133"/>
      <c r="I31" s="308">
        <f>ROUND(IF($E27=0,0,(geg!I47*(VLOOKUP($F27,TAB,3,FALSE)+VLOOKUP($F27,TAB,5,FALSE)*pers!I$12))),2)</f>
        <v>0</v>
      </c>
      <c r="J31" s="308">
        <f>ROUND(IF($E27=0,0,(geg!L47*(VLOOKUP($F27,TAB,3,FALSE)+VLOOKUP($F27,TAB,5,FALSE)*pers!J$12))),2)</f>
        <v>0</v>
      </c>
      <c r="K31" s="308">
        <f>ROUND(IF($E27=0,0,(geg!O47*(VLOOKUP($F27,TAB,3,FALSE)+VLOOKUP($F27,TAB,5,FALSE)*pers!K$12))),2)</f>
        <v>0</v>
      </c>
      <c r="L31" s="308">
        <f>ROUND(IF($E27=0,0,(geg!R47*(VLOOKUP($F27,TAB,3,FALSE)+VLOOKUP($F27,TAB,5,FALSE)*pers!L$12))),2)</f>
        <v>0</v>
      </c>
      <c r="M31" s="308">
        <f>ROUND(IF($E27=0,0,(geg!U47*(VLOOKUP($F27,TAB,3,FALSE)+VLOOKUP($F27,TAB,5,FALSE)*pers!M$12))),2)</f>
        <v>0</v>
      </c>
      <c r="N31" s="136"/>
      <c r="O31" s="97"/>
      <c r="Z31" s="1062">
        <f>ROUND(IF($E27=0,0,(geg!L47*(VLOOKUP($F27,TAB,3,FALSE)+VLOOKUP($F27,TAB,5,FALSE)*pers!I$12))),2)</f>
        <v>0</v>
      </c>
      <c r="AA31" s="1063">
        <f>ROUND(IF($E27=0,0,(geg!O47*(VLOOKUP($F27,TAB,3,FALSE)+VLOOKUP($F27,TAB,5,FALSE)*pers!J$12))),2)</f>
        <v>0</v>
      </c>
    </row>
    <row r="32" spans="2:29">
      <c r="B32" s="92"/>
      <c r="C32" s="293"/>
      <c r="D32" s="133"/>
      <c r="E32" s="133"/>
      <c r="F32" s="156" t="s">
        <v>148</v>
      </c>
      <c r="G32" s="294"/>
      <c r="H32" s="133"/>
      <c r="I32" s="308">
        <f>IF($E27=0,0,IF((geg!J153-geg!I153)&gt;geg!$I$17/2,geg!J48,geg!I48)*(VLOOKUP($F27,PAB,IF($E27="SO",2,3),FALSE)+VLOOKUP($F27,PAB,IF($E27="SO",4,5),FALSE)*I$12))</f>
        <v>0</v>
      </c>
      <c r="J32" s="308">
        <f>IF($E27=0,0,IF((geg!M153-geg!L153)&gt;geg!$I$17/2,geg!M48,geg!L48)*(VLOOKUP($F27,PAB,IF($E27="SO",2,3),FALSE)+VLOOKUP($F27,PAB,IF($E27="SO",4,5),FALSE)*J$12))</f>
        <v>0</v>
      </c>
      <c r="K32" s="308">
        <f>IF($E27=0,0,IF((geg!P153-geg!O153)&gt;geg!$I$17/2,geg!P48,geg!O48)*(VLOOKUP($F27,PAB,IF($E27="SO",2,3),FALSE)+VLOOKUP($F27,PAB,IF($E27="SO",4,5),FALSE)*K$12))</f>
        <v>0</v>
      </c>
      <c r="L32" s="308">
        <f>IF($E27=0,0,IF((geg!S153-geg!R153)&gt;geg!$I$17/2,geg!S48,geg!R48)*(VLOOKUP($F27,PAB,IF($E27="SO",2,3),FALSE)+VLOOKUP($F27,PAB,IF($E27="SO",4,5),FALSE)*L$12))</f>
        <v>0</v>
      </c>
      <c r="M32" s="308">
        <f>IF($E27=0,0,IF((geg!V153-geg!U153)&gt;geg!$I$17/2,geg!V48,geg!U48)*(VLOOKUP($F27,PAB,IF($E27="SO",2,3),FALSE)+VLOOKUP($F27,PAB,IF($E27="SO",4,5),FALSE)*M$12))</f>
        <v>0</v>
      </c>
      <c r="N32" s="136"/>
      <c r="O32" s="97"/>
      <c r="Z32" s="1062">
        <f>IF($E27=0,0,IF((geg!M153-geg!L153)&gt;geg!$I$17/2,geg!M48,geg!L48)*(VLOOKUP($F27,PAB,IF($E27="SO",2,3),FALSE)+VLOOKUP($F27,PAB,IF($E27="SO",4,5),FALSE)*I$12))</f>
        <v>0</v>
      </c>
      <c r="AA32" s="1063">
        <f>IF($E27=0,0,IF((geg!P153-geg!O153)&gt;geg!$I$17/2,geg!P48,geg!O48)*(VLOOKUP($F27,PAB,IF($E27="SO",2,3),FALSE)+VLOOKUP($F27,PAB,IF($E27="SO",4,5),FALSE)*J$12))</f>
        <v>0</v>
      </c>
    </row>
    <row r="33" spans="2:27">
      <c r="B33" s="92"/>
      <c r="C33" s="131"/>
      <c r="D33" s="295"/>
      <c r="E33" s="133"/>
      <c r="F33" s="133"/>
      <c r="G33" s="135"/>
      <c r="H33" s="133"/>
      <c r="I33" s="290"/>
      <c r="J33" s="290"/>
      <c r="K33" s="290"/>
      <c r="L33" s="290"/>
      <c r="M33" s="290"/>
      <c r="N33" s="136"/>
      <c r="O33" s="97"/>
      <c r="Z33" s="1062"/>
      <c r="AA33" s="1063"/>
    </row>
    <row r="34" spans="2:27">
      <c r="B34" s="92"/>
      <c r="C34" s="131"/>
      <c r="D34" s="292" t="s">
        <v>228</v>
      </c>
      <c r="E34" s="292">
        <f>+geg!D52</f>
        <v>0</v>
      </c>
      <c r="F34" s="292">
        <f>+geg!E52</f>
        <v>0</v>
      </c>
      <c r="G34" s="135"/>
      <c r="H34" s="133"/>
      <c r="I34" s="290"/>
      <c r="J34" s="290"/>
      <c r="K34" s="290"/>
      <c r="L34" s="290"/>
      <c r="M34" s="290"/>
      <c r="N34" s="136"/>
      <c r="O34" s="97"/>
      <c r="Z34" s="1062"/>
      <c r="AA34" s="1063"/>
    </row>
    <row r="35" spans="2:27">
      <c r="B35" s="92"/>
      <c r="C35" s="293"/>
      <c r="D35" s="155" t="s">
        <v>242</v>
      </c>
      <c r="E35" s="133"/>
      <c r="F35" s="133"/>
      <c r="G35" s="135"/>
      <c r="H35" s="133"/>
      <c r="I35" s="308">
        <f>ROUND(IF($E34=0,0,IF((geg!J$148-geg!I$148)&gt;geg!$I$17/2,(geg!J53+geg!J58),(geg!I53+geg!I58))*((VLOOKUP($F34,bedragll,2,FALSE)+VLOOKUP($F34,bedragll,5,FALSE)*pers!I$12))),2)</f>
        <v>0</v>
      </c>
      <c r="J35" s="308">
        <f>ROUND(IF($E34=0,0,IF((geg!M$148-geg!L$148)&gt;geg!$I$17/2,(geg!M53+geg!M58),(geg!L53+geg!L58))*((VLOOKUP($F34,bedragll,2,FALSE)+VLOOKUP($F34,bedragll,5,FALSE)*pers!J$12))),2)</f>
        <v>0</v>
      </c>
      <c r="K35" s="308">
        <f>ROUND(IF($E34=0,0,IF((geg!P$148-geg!O$148)&gt;geg!$I$17/2,(geg!P53+geg!P58),(geg!O53+geg!O58))*((VLOOKUP($F34,bedragll,2,FALSE)+VLOOKUP($F34,bedragll,5,FALSE)*pers!K$12))),2)</f>
        <v>0</v>
      </c>
      <c r="L35" s="308">
        <f>ROUND(IF($E34=0,0,IF((geg!S$148-geg!R$148)&gt;geg!$I$17/2,(geg!S53+geg!S58),(geg!R53+geg!R58))*((VLOOKUP($F34,bedragll,2,FALSE)+VLOOKUP($F34,bedragll,5,FALSE)*pers!L$12))),2)</f>
        <v>0</v>
      </c>
      <c r="M35" s="308">
        <f>ROUND(IF($E34=0,0,IF((geg!V$148-geg!U$148)&gt;geg!$I$17/2,(geg!V53+geg!V58),(geg!U53+geg!U58))*((VLOOKUP($F34,bedragll,2,FALSE)+VLOOKUP($F34,bedragll,5,FALSE)*pers!M$12))),2)</f>
        <v>0</v>
      </c>
      <c r="N35" s="136"/>
      <c r="O35" s="97"/>
      <c r="Z35" s="1062">
        <f>ROUND(IF($E34=0,0,IF((geg!M$148-geg!L$148)&gt;geg!$I$17/2,(geg!M53+geg!M58),(geg!L53+geg!L58))*((VLOOKUP($F34,bedragll,2,FALSE)+VLOOKUP($F34,bedragll,5,FALSE)*pers!I$12))),2)</f>
        <v>0</v>
      </c>
      <c r="AA35" s="1063">
        <f>ROUND(IF($E34=0,0,IF((geg!P$148-geg!O$148)&gt;geg!$I$17/2,(geg!P53+geg!P58),(geg!O53+geg!O58))*((VLOOKUP($F34,bedragll,2,FALSE)+VLOOKUP($F34,bedragll,5,FALSE)*pers!J$12))),2)</f>
        <v>0</v>
      </c>
    </row>
    <row r="36" spans="2:27">
      <c r="B36" s="92"/>
      <c r="C36" s="293"/>
      <c r="D36" s="155" t="s">
        <v>243</v>
      </c>
      <c r="E36" s="133"/>
      <c r="F36" s="133"/>
      <c r="G36" s="135"/>
      <c r="H36" s="133"/>
      <c r="I36" s="308">
        <f>ROUND(IF($E34=0,0,IF((geg!J148-geg!I148)&gt;geg!$I$17/2,(geg!J54+geg!J57-geg!J58),(geg!I54+geg!I57-geg!I58))*((VLOOKUP($F34,bedragll,IF($E34="SO",3,4),FALSE)+VLOOKUP($F34,bedragll,IF($E34="SO",6,7),FALSE)*pers!I$12))),2)</f>
        <v>0</v>
      </c>
      <c r="J36" s="308">
        <f>ROUND(IF($E34=0,0,IF((geg!M148-geg!L148)&gt;geg!$I$17/2,(geg!M54+geg!M57-geg!M58),(geg!L54+geg!L57-geg!L58))*((VLOOKUP($F34,bedragll,IF($E34="SO",3,4),FALSE)+VLOOKUP($F34,bedragll,IF($E34="SO",6,7),FALSE)*pers!J$12))),2)</f>
        <v>0</v>
      </c>
      <c r="K36" s="308">
        <f>ROUND(IF($E34=0,0,IF((geg!P148-geg!O148)&gt;geg!$I$17/2,(geg!P54+geg!P57-geg!P58),(geg!O54+geg!O57-geg!O58))*((VLOOKUP($F34,bedragll,IF($E34="SO",3,4),FALSE)+VLOOKUP($F34,bedragll,IF($E34="SO",6,7),FALSE)*pers!K$12))),2)</f>
        <v>0</v>
      </c>
      <c r="L36" s="308">
        <f>ROUND(IF($E34=0,0,IF((geg!S148-geg!R148)&gt;geg!$I$17/2,(geg!S54+geg!S57-geg!S58),(geg!R54+geg!R57-geg!R58))*((VLOOKUP($F34,bedragll,IF($E34="SO",3,4),FALSE)+VLOOKUP($F34,bedragll,IF($E34="SO",6,7),FALSE)*pers!L$12))),2)</f>
        <v>0</v>
      </c>
      <c r="M36" s="308">
        <f>ROUND(IF($E34=0,0,IF((geg!V148-geg!U148)&gt;geg!$I$17/2,(geg!V54+geg!V57-geg!V58),(geg!U54+geg!U57-geg!U58))*((VLOOKUP($F34,bedragll,IF($E34="SO",3,4),FALSE)+VLOOKUP($F34,bedragll,IF($E34="SO",6,7),FALSE)*pers!M$12))),2)</f>
        <v>0</v>
      </c>
      <c r="N36" s="136"/>
      <c r="O36" s="97"/>
      <c r="Z36" s="1062">
        <f>ROUND(IF($E34=0,0,IF((geg!M148-geg!L148)&gt;geg!$I$17/2,(geg!M54+geg!M57-geg!M58),(geg!L54+geg!L57-geg!L58))*((VLOOKUP($F34,bedragll,IF($E34="SO",3,4),FALSE)+VLOOKUP($F34,bedragll,IF($E34="SO",6,7),FALSE)*pers!I$12))),2)</f>
        <v>0</v>
      </c>
      <c r="AA36" s="1063">
        <f>ROUND(IF($E34=0,0,IF((geg!P148-geg!O148)&gt;geg!$I$17/2,(geg!P54+geg!P57-geg!P58),(geg!O54+geg!O57-geg!O58))*((VLOOKUP($F34,bedragll,IF($E34="SO",3,4),FALSE)+VLOOKUP($F34,bedragll,IF($E34="SO",6,7),FALSE)*pers!J$12))),2)</f>
        <v>0</v>
      </c>
    </row>
    <row r="37" spans="2:27">
      <c r="B37" s="92"/>
      <c r="C37" s="293"/>
      <c r="D37" s="213" t="s">
        <v>267</v>
      </c>
      <c r="E37" s="132"/>
      <c r="F37" s="156" t="s">
        <v>266</v>
      </c>
      <c r="G37" s="294"/>
      <c r="H37" s="133"/>
      <c r="I37" s="308">
        <f>ROUND(IF($E34=0,0,(geg!I60*(VLOOKUP($F34,TAB,2,FALSE)+VLOOKUP($F34,TAB,4,FALSE)*pers!I$12))),2)</f>
        <v>0</v>
      </c>
      <c r="J37" s="308">
        <f>ROUND(IF($E34=0,0,(geg!L60*(VLOOKUP($F34,TAB,2,FALSE)+VLOOKUP($F34,TAB,4,FALSE)*pers!J$12))),2)</f>
        <v>0</v>
      </c>
      <c r="K37" s="308">
        <f>ROUND(IF($E34=0,0,(geg!O60*(VLOOKUP($F34,TAB,2,FALSE)+VLOOKUP($F34,TAB,4,FALSE)*pers!K$12))),2)</f>
        <v>0</v>
      </c>
      <c r="L37" s="308">
        <f>ROUND(IF($E34=0,0,(geg!R60*(VLOOKUP($F34,TAB,2,FALSE)+VLOOKUP($F34,TAB,4,FALSE)*pers!L$12))),2)</f>
        <v>0</v>
      </c>
      <c r="M37" s="308">
        <f>ROUND(IF($E34=0,0,(geg!U60*(VLOOKUP($F34,TAB,2,FALSE)+VLOOKUP($F34,TAB,4,FALSE)*pers!M$12))),2)</f>
        <v>0</v>
      </c>
      <c r="N37" s="136"/>
      <c r="O37" s="97"/>
      <c r="Z37" s="1062">
        <f>ROUND(IF($E34=0,0,(geg!L60*(VLOOKUP($F34,TAB,2,FALSE)+VLOOKUP($F34,TAB,4,FALSE)*pers!I$12))),2)</f>
        <v>0</v>
      </c>
      <c r="AA37" s="1063">
        <f>ROUND(IF($E34=0,0,(geg!O60*(VLOOKUP($F34,TAB,2,FALSE)+VLOOKUP($F34,TAB,4,FALSE)*pers!J$12))),2)</f>
        <v>0</v>
      </c>
    </row>
    <row r="38" spans="2:27">
      <c r="B38" s="92"/>
      <c r="C38" s="293"/>
      <c r="D38" s="133"/>
      <c r="E38" s="133"/>
      <c r="F38" s="156" t="s">
        <v>268</v>
      </c>
      <c r="G38" s="294"/>
      <c r="H38" s="133"/>
      <c r="I38" s="308">
        <f>ROUND(IF($E34=0,0,(geg!I61*(VLOOKUP($F34,TAB,3,FALSE)+VLOOKUP($F34,TAB,5,FALSE)*pers!I$12))),2)</f>
        <v>0</v>
      </c>
      <c r="J38" s="308">
        <f>ROUND(IF($E34=0,0,(geg!L61*(VLOOKUP($F34,TAB,3,FALSE)+VLOOKUP($F34,TAB,5,FALSE)*pers!J$12))),2)</f>
        <v>0</v>
      </c>
      <c r="K38" s="308">
        <f>ROUND(IF($E34=0,0,(geg!O61*(VLOOKUP($F34,TAB,3,FALSE)+VLOOKUP($F34,TAB,5,FALSE)*pers!K$12))),2)</f>
        <v>0</v>
      </c>
      <c r="L38" s="308">
        <f>ROUND(IF($E34=0,0,(geg!R61*(VLOOKUP($F34,TAB,3,FALSE)+VLOOKUP($F34,TAB,5,FALSE)*pers!L$12))),2)</f>
        <v>0</v>
      </c>
      <c r="M38" s="308">
        <f>ROUND(IF($E34=0,0,(geg!U61*(VLOOKUP($F34,TAB,3,FALSE)+VLOOKUP($F34,TAB,5,FALSE)*pers!M$12))),2)</f>
        <v>0</v>
      </c>
      <c r="N38" s="136"/>
      <c r="O38" s="97"/>
      <c r="Z38" s="1062">
        <f>ROUND(IF($E34=0,0,(geg!L61*(VLOOKUP($F34,TAB,3,FALSE)+VLOOKUP($F34,TAB,5,FALSE)*pers!I$12))),2)</f>
        <v>0</v>
      </c>
      <c r="AA38" s="1063">
        <f>ROUND(IF($E34=0,0,(geg!O61*(VLOOKUP($F34,TAB,3,FALSE)+VLOOKUP($F34,TAB,5,FALSE)*pers!J$12))),2)</f>
        <v>0</v>
      </c>
    </row>
    <row r="39" spans="2:27">
      <c r="B39" s="92"/>
      <c r="C39" s="293"/>
      <c r="D39" s="133"/>
      <c r="E39" s="133"/>
      <c r="F39" s="156" t="s">
        <v>148</v>
      </c>
      <c r="G39" s="294"/>
      <c r="H39" s="133"/>
      <c r="I39" s="308">
        <f>IF($E34=0,0,IF((geg!J153-geg!I153)&gt;geg!$I$17/2,geg!J62,geg!I62)*(VLOOKUP($F34,PAB,IF($E34="SO",2,3),FALSE)+VLOOKUP($F34,PAB,IF($E34="SO",4,5),FALSE)*I$12))</f>
        <v>0</v>
      </c>
      <c r="J39" s="308">
        <f>IF($E34=0,0,IF((geg!M153-geg!L153)&gt;geg!$I$17/2,geg!M62,geg!L62)*(VLOOKUP($F34,PAB,IF($E34="SO",2,3),FALSE)+VLOOKUP($F34,PAB,IF($E34="SO",4,5),FALSE)*J$12))</f>
        <v>0</v>
      </c>
      <c r="K39" s="308">
        <f>IF($E34=0,0,IF((geg!P153-geg!O153)&gt;geg!$I$17/2,geg!P62,geg!O62)*(VLOOKUP($F34,PAB,IF($E34="SO",2,3),FALSE)+VLOOKUP($F34,PAB,IF($E34="SO",4,5),FALSE)*K$12))</f>
        <v>0</v>
      </c>
      <c r="L39" s="308">
        <f>IF($E34=0,0,IF((geg!S153-geg!R153)&gt;geg!$I$17/2,geg!S62,geg!R62)*(VLOOKUP($F34,PAB,IF($E34="SO",2,3),FALSE)+VLOOKUP($F34,PAB,IF($E34="SO",4,5),FALSE)*L$12))</f>
        <v>0</v>
      </c>
      <c r="M39" s="308">
        <f>IF($E34=0,0,IF((geg!V153-geg!U153)&gt;geg!$I$17/2,geg!V62,geg!U62)*(VLOOKUP($F34,PAB,IF($E34="SO",2,3),FALSE)+VLOOKUP($F34,PAB,IF($E34="SO",4,5),FALSE)*M$12))</f>
        <v>0</v>
      </c>
      <c r="N39" s="136"/>
      <c r="O39" s="97"/>
      <c r="Z39" s="1062">
        <f>IF($E34=0,0,IF((geg!M153-geg!L153)&gt;geg!$I$17/2,geg!M62,geg!L62)*(VLOOKUP($F34,PAB,IF($E34="SO",2,3),FALSE)+VLOOKUP($F34,PAB,IF($E34="SO",4,5),FALSE)*I$12))</f>
        <v>0</v>
      </c>
      <c r="AA39" s="1063">
        <f>IF($E34=0,0,IF((geg!P153-geg!O153)&gt;geg!$I$17/2,geg!P62,geg!O62)*(VLOOKUP($F34,PAB,IF($E34="SO",2,3),FALSE)+VLOOKUP($F34,PAB,IF($E34="SO",4,5),FALSE)*J$12))</f>
        <v>0</v>
      </c>
    </row>
    <row r="40" spans="2:27">
      <c r="B40" s="92"/>
      <c r="C40" s="131"/>
      <c r="D40" s="187"/>
      <c r="E40" s="187"/>
      <c r="F40" s="187"/>
      <c r="G40" s="187"/>
      <c r="H40" s="1057"/>
      <c r="I40" s="1058"/>
      <c r="J40" s="1058"/>
      <c r="K40" s="1058"/>
      <c r="L40" s="1058"/>
      <c r="M40" s="1058"/>
      <c r="N40" s="136"/>
      <c r="O40" s="97"/>
      <c r="Z40" s="1062"/>
      <c r="AA40" s="1063"/>
    </row>
    <row r="41" spans="2:27">
      <c r="B41" s="92"/>
      <c r="C41" s="131"/>
      <c r="D41" s="129"/>
      <c r="E41" s="129"/>
      <c r="F41" s="129"/>
      <c r="G41" s="129"/>
      <c r="H41" s="815"/>
      <c r="I41" s="1055"/>
      <c r="J41" s="1055"/>
      <c r="K41" s="1055"/>
      <c r="L41" s="1055"/>
      <c r="M41" s="1055"/>
      <c r="N41" s="136"/>
      <c r="O41" s="97"/>
      <c r="Z41" s="1062"/>
      <c r="AA41" s="1063"/>
    </row>
    <row r="42" spans="2:27">
      <c r="B42" s="92"/>
      <c r="C42" s="131"/>
      <c r="D42" s="777" t="s">
        <v>838</v>
      </c>
      <c r="E42" s="133"/>
      <c r="F42" s="133"/>
      <c r="G42" s="135"/>
      <c r="H42" s="133"/>
      <c r="I42" s="290"/>
      <c r="J42" s="290"/>
      <c r="K42" s="290"/>
      <c r="L42" s="290"/>
      <c r="M42" s="290"/>
      <c r="N42" s="136"/>
      <c r="O42" s="97"/>
      <c r="Z42" s="1062"/>
      <c r="AA42" s="1063"/>
    </row>
    <row r="43" spans="2:27">
      <c r="B43" s="92"/>
      <c r="C43" s="131"/>
      <c r="D43" s="295"/>
      <c r="E43" s="133"/>
      <c r="F43" s="133"/>
      <c r="G43" s="135"/>
      <c r="H43" s="133"/>
      <c r="I43" s="290"/>
      <c r="J43" s="290"/>
      <c r="K43" s="290"/>
      <c r="L43" s="290"/>
      <c r="M43" s="290"/>
      <c r="N43" s="136"/>
      <c r="O43" s="97"/>
      <c r="Z43" s="1062"/>
      <c r="AA43" s="1063"/>
    </row>
    <row r="44" spans="2:27">
      <c r="B44" s="92"/>
      <c r="C44" s="131"/>
      <c r="D44" s="292" t="s">
        <v>211</v>
      </c>
      <c r="E44" s="292" t="str">
        <f>+geg!D76</f>
        <v>VSO</v>
      </c>
      <c r="F44" s="292" t="str">
        <f>+geg!E76</f>
        <v>ZMOK</v>
      </c>
      <c r="G44" s="135"/>
      <c r="H44" s="133"/>
      <c r="I44" s="290"/>
      <c r="J44" s="290"/>
      <c r="K44" s="290"/>
      <c r="L44" s="290"/>
      <c r="M44" s="290"/>
      <c r="N44" s="136"/>
      <c r="O44" s="97"/>
      <c r="Z44" s="1062"/>
      <c r="AA44" s="1063"/>
    </row>
    <row r="45" spans="2:27" hidden="1">
      <c r="B45" s="92"/>
      <c r="C45" s="293"/>
      <c r="D45" s="155" t="s">
        <v>242</v>
      </c>
      <c r="E45" s="133"/>
      <c r="F45" s="133"/>
      <c r="G45" s="135"/>
      <c r="H45" s="133"/>
      <c r="I45" s="290">
        <f>ROUND(IF($E44=0,0,IF((geg!J$148-geg!I$148)&gt;geg!$I$17/2,(geg!J77+geg!J82),(geg!I77+geg!I82))*((VLOOKUP($F44,bedragll,2,FALSE)+VLOOKUP($F44,bedragll,5,FALSE)*pers!I$12))),2)</f>
        <v>0</v>
      </c>
      <c r="J45" s="290">
        <f>ROUND(IF($E44=0,0,IF((geg!M$148-geg!L$148)&gt;geg!$I$17/2,(geg!M77+geg!M82),(geg!L77+geg!L82))*((VLOOKUP($F44,bedragll,2,FALSE)+VLOOKUP($F44,bedragll,5,FALSE)*pers!J$12))),2)</f>
        <v>0</v>
      </c>
      <c r="K45" s="290">
        <f>ROUND(IF($E44=0,0,IF((geg!P$148-geg!O$148)&gt;geg!$I$17/2,(geg!P77+geg!P82),(geg!O77+geg!O82))*((VLOOKUP($F44,bedragll,2,FALSE)+VLOOKUP($F44,bedragll,5,FALSE)*pers!K$12))),2)</f>
        <v>0</v>
      </c>
      <c r="L45" s="290">
        <f>ROUND(IF($E44=0,0,IF((geg!S$148-geg!R$148)&gt;geg!$I$17/2,(geg!S77+geg!S82),(geg!R77+geg!R82))*((VLOOKUP($F44,bedragll,2,FALSE)+VLOOKUP($F44,bedragll,5,FALSE)*pers!L$12))),2)</f>
        <v>0</v>
      </c>
      <c r="M45" s="290">
        <f>ROUND(IF($E44=0,0,IF((geg!V$148-geg!U$148)&gt;geg!$I$17/2,(geg!V77+geg!V82),(geg!U77+geg!U82))*((VLOOKUP($F44,bedragll,2,FALSE)+VLOOKUP($F44,bedragll,5,FALSE)*pers!M$12))),2)</f>
        <v>0</v>
      </c>
      <c r="N45" s="136"/>
      <c r="O45" s="97"/>
      <c r="Z45" s="1062">
        <f>ROUND(IF($E44=0,0,IF((geg!M$148-geg!L$148)&gt;geg!$I$17/2,(geg!M77+geg!M82),(geg!L77+geg!L82))*((VLOOKUP($F44,bedragll,2,FALSE)+VLOOKUP($F44,bedragll,5,FALSE)*pers!I$12))),2)</f>
        <v>0</v>
      </c>
      <c r="AA45" s="1063">
        <f>ROUND(IF($E44=0,0,IF((geg!P$148-geg!O$148)&gt;geg!$I$17/2,(geg!P77+geg!P82),(geg!O77+geg!O82))*((VLOOKUP($F44,bedragll,2,FALSE)+VLOOKUP($F44,bedragll,5,FALSE)*pers!J$12))),2)</f>
        <v>0</v>
      </c>
    </row>
    <row r="46" spans="2:27">
      <c r="B46" s="92"/>
      <c r="C46" s="293"/>
      <c r="D46" s="155" t="s">
        <v>243</v>
      </c>
      <c r="E46" s="133"/>
      <c r="F46" s="133"/>
      <c r="G46" s="135"/>
      <c r="H46" s="133"/>
      <c r="I46" s="308">
        <f>ROUND(IF($E44=0,0,IF((geg!J$148-geg!I$148)&gt;geg!$I$17/2,(geg!J78+geg!J81-geg!J82),(geg!I78+geg!I81-geg!I82))*((VLOOKUP($F44,bedragll,IF($E44="SO",3,4),FALSE)+VLOOKUP($F44,bedragll,IF($E44="SO",6,7),FALSE)*pers!I$12))),2)</f>
        <v>3078171.63</v>
      </c>
      <c r="J46" s="308">
        <f>ROUND(IF($E44=0,0,IF((geg!M$148-geg!L$148)&gt;geg!$I$17/2,(geg!M78+geg!M81-geg!M82),(geg!L78+geg!L81-geg!L82))*((VLOOKUP($F44,bedragll,IF($E44="SO",3,4),FALSE)+VLOOKUP($F44,bedragll,IF($E44="SO",6,7),FALSE)*pers!J$12))),2)</f>
        <v>3078171.63</v>
      </c>
      <c r="K46" s="308">
        <f>ROUND(IF($E44=0,0,IF((geg!P$148-geg!O$148)&gt;geg!$I$17/2,(geg!P78+geg!P81-geg!P82),(geg!O78+geg!O81-geg!O82))*((VLOOKUP($F44,bedragll,IF($E44="SO",3,4),FALSE)+VLOOKUP($F44,bedragll,IF($E44="SO",6,7),FALSE)*pers!K$12))),2)</f>
        <v>3078171.63</v>
      </c>
      <c r="L46" s="308">
        <f>ROUND(IF($E44=0,0,IF((geg!S$148-geg!R$148)&gt;geg!$I$17/2,(geg!S78+geg!S81-geg!S82),(geg!R78+geg!R81-geg!R82))*((VLOOKUP($F44,bedragll,IF($E44="SO",3,4),FALSE)+VLOOKUP($F44,bedragll,IF($E44="SO",6,7),FALSE)*pers!L$12))),2)</f>
        <v>3078171.63</v>
      </c>
      <c r="M46" s="308">
        <f>ROUND(IF($E44=0,0,IF((geg!V$148-geg!U$148)&gt;geg!$I$17/2,(geg!V78+geg!V81-geg!V82),(geg!U78+geg!U81-geg!U82))*((VLOOKUP($F44,bedragll,IF($E44="SO",3,4),FALSE)+VLOOKUP($F44,bedragll,IF($E44="SO",6,7),FALSE)*pers!M$12))),2)</f>
        <v>3078171.63</v>
      </c>
      <c r="N46" s="136"/>
      <c r="O46" s="97"/>
      <c r="Z46" s="1062">
        <f>ROUND(IF($E44=0,0,IF((geg!M$148-geg!L$148)&gt;geg!$I$17/2,(geg!M78+geg!M81-geg!M82),(geg!L78+geg!L81-geg!L82))*((VLOOKUP($F44,bedragll,IF($E44="SO",3,4),FALSE)+VLOOKUP($F44,bedragll,IF($E44="SO",6,7),FALSE)*pers!I$12))),2)</f>
        <v>3078171.63</v>
      </c>
      <c r="AA46" s="1063">
        <f>ROUND(IF($E44=0,0,IF((geg!P$148-geg!O$148)&gt;geg!$I$17/2,(geg!P78+geg!P81-geg!P82),(geg!O78+geg!O81-geg!O82))*((VLOOKUP($F44,bedragll,IF($E44="SO",3,4),FALSE)+VLOOKUP($F44,bedragll,IF($E44="SO",6,7),FALSE)*pers!J$12))),2)</f>
        <v>3078171.63</v>
      </c>
    </row>
    <row r="47" spans="2:27">
      <c r="B47" s="92"/>
      <c r="C47" s="293"/>
      <c r="D47" s="213" t="s">
        <v>267</v>
      </c>
      <c r="E47" s="132"/>
      <c r="F47" s="156" t="s">
        <v>266</v>
      </c>
      <c r="G47" s="294"/>
      <c r="H47" s="133"/>
      <c r="I47" s="308">
        <f>ROUND(IF($E44=0,0,(geg!I84*(VLOOKUP($F44,TAB,2,FALSE)+VLOOKUP($F44,TAB,4,FALSE)*pers!I$12))),2)</f>
        <v>0</v>
      </c>
      <c r="J47" s="308">
        <f>ROUND(IF($E44=0,0,(geg!L84*(VLOOKUP($F44,TAB,2,FALSE)+VLOOKUP($F44,TAB,4,FALSE)*pers!J$12))),2)</f>
        <v>0</v>
      </c>
      <c r="K47" s="308">
        <f>ROUND(IF($E44=0,0,(geg!O84*(VLOOKUP($F44,TAB,2,FALSE)+VLOOKUP($F44,TAB,4,FALSE)*pers!K$12))),2)</f>
        <v>0</v>
      </c>
      <c r="L47" s="308">
        <f>ROUND(IF($E44=0,0,(geg!R84*(VLOOKUP($F44,TAB,2,FALSE)+VLOOKUP($F44,TAB,4,FALSE)*pers!L$12))),2)</f>
        <v>0</v>
      </c>
      <c r="M47" s="308">
        <f>ROUND(IF($E44=0,0,(geg!U84*(VLOOKUP($F44,TAB,2,FALSE)+VLOOKUP($F44,TAB,4,FALSE)*pers!M$12))),2)</f>
        <v>0</v>
      </c>
      <c r="N47" s="136"/>
      <c r="O47" s="97"/>
      <c r="Z47" s="1062">
        <f>ROUND(IF($E44=0,0,(geg!L84*(VLOOKUP($F44,TAB,2,FALSE)+VLOOKUP($F44,TAB,4,FALSE)*pers!I$12))),2)</f>
        <v>0</v>
      </c>
      <c r="AA47" s="1063">
        <f>ROUND(IF($E44=0,0,(geg!O84*(VLOOKUP($F44,TAB,2,FALSE)+VLOOKUP($F44,TAB,4,FALSE)*pers!J$12))),2)</f>
        <v>0</v>
      </c>
    </row>
    <row r="48" spans="2:27">
      <c r="B48" s="92"/>
      <c r="C48" s="293"/>
      <c r="D48" s="133"/>
      <c r="E48" s="133"/>
      <c r="F48" s="156" t="s">
        <v>268</v>
      </c>
      <c r="G48" s="294"/>
      <c r="H48" s="133"/>
      <c r="I48" s="308">
        <f>ROUND(IF($E44=0,0,(geg!I85*(VLOOKUP($F44,TAB,3,FALSE)+VLOOKUP($F44,TAB,5,FALSE)*pers!I$12))),2)</f>
        <v>0</v>
      </c>
      <c r="J48" s="308">
        <f>ROUND(IF($E44=0,0,(geg!L85*(VLOOKUP($F44,TAB,3,FALSE)+VLOOKUP($F44,TAB,5,FALSE)*pers!J$12))),2)</f>
        <v>0</v>
      </c>
      <c r="K48" s="308">
        <f>ROUND(IF($E44=0,0,(geg!O85*(VLOOKUP($F44,TAB,3,FALSE)+VLOOKUP($F44,TAB,5,FALSE)*pers!K$12))),2)</f>
        <v>0</v>
      </c>
      <c r="L48" s="308">
        <f>ROUND(IF($E44=0,0,(geg!R85*(VLOOKUP($F44,TAB,3,FALSE)+VLOOKUP($F44,TAB,5,FALSE)*pers!L$12))),2)</f>
        <v>0</v>
      </c>
      <c r="M48" s="308">
        <f>ROUND(IF($E44=0,0,(geg!U85*(VLOOKUP($F44,TAB,3,FALSE)+VLOOKUP($F44,TAB,5,FALSE)*pers!M$12))),2)</f>
        <v>0</v>
      </c>
      <c r="N48" s="136"/>
      <c r="O48" s="97"/>
      <c r="Z48" s="1062">
        <f>ROUND(IF($E44=0,0,(geg!L85*(VLOOKUP($F44,TAB,3,FALSE)+VLOOKUP($F44,TAB,5,FALSE)*pers!I$12))),2)</f>
        <v>0</v>
      </c>
      <c r="AA48" s="1063">
        <f>ROUND(IF($E44=0,0,(geg!O85*(VLOOKUP($F44,TAB,3,FALSE)+VLOOKUP($F44,TAB,5,FALSE)*pers!J$12))),2)</f>
        <v>0</v>
      </c>
    </row>
    <row r="49" spans="2:29">
      <c r="B49" s="92"/>
      <c r="C49" s="293"/>
      <c r="D49" s="133"/>
      <c r="E49" s="133"/>
      <c r="F49" s="156" t="s">
        <v>148</v>
      </c>
      <c r="G49" s="294"/>
      <c r="H49" s="133"/>
      <c r="I49" s="308">
        <f>IF($E44=0,0,IF((geg!J153-geg!I153)&gt;geg!$I$17/2,geg!J86,geg!I86)*(VLOOKUP($F44,PAB,IF($E44="SO",2,3),FALSE)+VLOOKUP($F44,PAB,IF($E44="SO",4,5),FALSE)*I$12))</f>
        <v>75069.719999999987</v>
      </c>
      <c r="J49" s="308">
        <f>IF($E44=0,0,IF((geg!M153-geg!L153)&gt;geg!$I$17/2,geg!M86,geg!L86)*(VLOOKUP($F44,PAB,IF($E44="SO",2,3),FALSE)+VLOOKUP($F44,PAB,IF($E44="SO",4,5),FALSE)*J$12))</f>
        <v>75069.719999999987</v>
      </c>
      <c r="K49" s="308">
        <f>IF($E44=0,0,IF((geg!P153-geg!O153)&gt;geg!$I$17/2,geg!P86,geg!O86)*(VLOOKUP($F44,PAB,IF($E44="SO",2,3),FALSE)+VLOOKUP($F44,PAB,IF($E44="SO",4,5),FALSE)*K$12))</f>
        <v>75069.719999999987</v>
      </c>
      <c r="L49" s="308">
        <f>IF($E44=0,0,IF((geg!S153-geg!R153)&gt;geg!$I$17/2,geg!S86,geg!R86)*(VLOOKUP($F44,PAB,IF($E44="SO",2,3),FALSE)+VLOOKUP($F44,PAB,IF($E44="SO",4,5),FALSE)*L$12))</f>
        <v>75069.719999999987</v>
      </c>
      <c r="M49" s="308">
        <f>IF($E44=0,0,IF((geg!V153-geg!U153)&gt;geg!$I$17/2,geg!V86,geg!U86)*(VLOOKUP($F44,PAB,IF($E44="SO",2,3),FALSE)+VLOOKUP($F44,PAB,IF($E44="SO",4,5),FALSE)*M$12))</f>
        <v>75069.719999999987</v>
      </c>
      <c r="N49" s="136"/>
      <c r="O49" s="97"/>
      <c r="Z49" s="1062">
        <f>IF($E44=0,0,IF((geg!M153-geg!L153)&gt;geg!$I$17/2,geg!M86,geg!L86)*(VLOOKUP($F44,PAB,IF($E44="SO",2,3),FALSE)+VLOOKUP($F44,PAB,IF($E44="SO",4,5),FALSE)*I$12))</f>
        <v>75069.719999999987</v>
      </c>
      <c r="AA49" s="1063">
        <f>IF($E44=0,0,IF((geg!P153-geg!O153)&gt;geg!$I$17/2,geg!P86,geg!O86)*(VLOOKUP($F44,PAB,IF($E44="SO",2,3),FALSE)+VLOOKUP($F44,PAB,IF($E44="SO",4,5),FALSE)*J$12))</f>
        <v>75069.719999999987</v>
      </c>
    </row>
    <row r="50" spans="2:29">
      <c r="B50" s="92"/>
      <c r="C50" s="131"/>
      <c r="D50" s="295"/>
      <c r="E50" s="133"/>
      <c r="F50" s="133"/>
      <c r="G50" s="135"/>
      <c r="H50" s="133"/>
      <c r="I50" s="290"/>
      <c r="J50" s="290"/>
      <c r="K50" s="290"/>
      <c r="L50" s="290"/>
      <c r="M50" s="290"/>
      <c r="N50" s="136"/>
      <c r="O50" s="97"/>
      <c r="Z50" s="1062"/>
      <c r="AA50" s="1063"/>
    </row>
    <row r="51" spans="2:29">
      <c r="B51" s="92"/>
      <c r="C51" s="131"/>
      <c r="D51" s="292" t="s">
        <v>212</v>
      </c>
      <c r="E51" s="292">
        <f>+geg!D90</f>
        <v>0</v>
      </c>
      <c r="F51" s="292">
        <f>+geg!E90</f>
        <v>0</v>
      </c>
      <c r="G51" s="135"/>
      <c r="H51" s="133"/>
      <c r="I51" s="290"/>
      <c r="J51" s="290"/>
      <c r="K51" s="290"/>
      <c r="L51" s="290"/>
      <c r="M51" s="290"/>
      <c r="N51" s="136"/>
      <c r="O51" s="97"/>
      <c r="Z51" s="1062"/>
      <c r="AA51" s="1063"/>
    </row>
    <row r="52" spans="2:29" hidden="1">
      <c r="B52" s="92"/>
      <c r="C52" s="293"/>
      <c r="D52" s="155" t="s">
        <v>242</v>
      </c>
      <c r="E52" s="133"/>
      <c r="F52" s="133"/>
      <c r="G52" s="135"/>
      <c r="H52" s="133"/>
      <c r="I52" s="290">
        <f>ROUND(IF($E51=0,0,IF((geg!J$148-geg!I$148)&gt;geg!$I$17/2,(geg!J91+geg!J96),(geg!I91+geg!I96))*((VLOOKUP($F51,bedragll,2,FALSE)+VLOOKUP($F51,bedragll,5,FALSE)*pers!I$12))),2)</f>
        <v>0</v>
      </c>
      <c r="J52" s="290">
        <f>ROUND(IF($E51=0,0,IF((geg!M$148-geg!L$148)&gt;geg!$I$17/2,(geg!M91+geg!M96),(geg!L91+geg!L96))*((VLOOKUP($F51,bedragll,2,FALSE)+VLOOKUP($F51,bedragll,5,FALSE)*pers!J$12))),2)</f>
        <v>0</v>
      </c>
      <c r="K52" s="290">
        <f>ROUND(IF($E51=0,0,IF((geg!P$148-geg!O$148)&gt;geg!$I$17/2,(geg!P91+geg!P96),(geg!O91+geg!O96))*((VLOOKUP($F51,bedragll,2,FALSE)+VLOOKUP($F51,bedragll,5,FALSE)*pers!K$12))),2)</f>
        <v>0</v>
      </c>
      <c r="L52" s="290">
        <f>ROUND(IF($E51=0,0,IF((geg!S$148-geg!R$148)&gt;geg!$I$17/2,(geg!S91+geg!S96),(geg!R91+geg!R96))*((VLOOKUP($F51,bedragll,2,FALSE)+VLOOKUP($F51,bedragll,5,FALSE)*pers!L$12))),2)</f>
        <v>0</v>
      </c>
      <c r="M52" s="290">
        <f>ROUND(IF($E51=0,0,IF((geg!V$148-geg!U$148)&gt;geg!$I$17/2,(geg!V91+geg!V96),(geg!U91+geg!U96))*((VLOOKUP($F51,bedragll,2,FALSE)+VLOOKUP($F51,bedragll,5,FALSE)*pers!M$12))),2)</f>
        <v>0</v>
      </c>
      <c r="N52" s="136"/>
      <c r="O52" s="97"/>
      <c r="Z52" s="1062">
        <f>ROUND(IF($E51=0,0,IF((geg!M$148-geg!L$148)&gt;geg!$I$17/2,(geg!M91+geg!M96),(geg!L91+geg!L96))*((VLOOKUP($F51,bedragll,2,FALSE)+VLOOKUP($F51,bedragll,5,FALSE)*pers!I$12))),2)</f>
        <v>0</v>
      </c>
      <c r="AA52" s="1063">
        <f>ROUND(IF($E51=0,0,IF((geg!P$148-geg!O$148)&gt;geg!$I$17/2,(geg!P91+geg!P96),(geg!O91+geg!O96))*((VLOOKUP($F51,bedragll,2,FALSE)+VLOOKUP($F51,bedragll,5,FALSE)*pers!J$12))),2)</f>
        <v>0</v>
      </c>
    </row>
    <row r="53" spans="2:29">
      <c r="B53" s="92"/>
      <c r="C53" s="293"/>
      <c r="D53" s="155" t="s">
        <v>243</v>
      </c>
      <c r="E53" s="133"/>
      <c r="F53" s="133"/>
      <c r="G53" s="135"/>
      <c r="H53" s="133"/>
      <c r="I53" s="308">
        <f>ROUND(IF($E51=0,0,IF((geg!J$148-geg!I$148)&gt;geg!$I$17/2,(geg!J92+geg!J95-geg!J96),(geg!I92+geg!I95-geg!I96))*((VLOOKUP($F51,bedragll,IF($E51="SO",3,4),FALSE)+VLOOKUP($F51,bedragll,IF($E51="SO",6,7),FALSE)*pers!I$12))),2)</f>
        <v>0</v>
      </c>
      <c r="J53" s="308">
        <f>ROUND(IF($E51=0,0,IF((geg!M$148-geg!L$148)&gt;geg!$I$17/2,(geg!M92+geg!M95-geg!M96),(geg!L92+geg!L95-geg!L96))*((VLOOKUP($F51,bedragll,IF($E51="SO",3,4),FALSE)+VLOOKUP($F51,bedragll,IF($E51="SO",6,7),FALSE)*pers!J$12))),2)</f>
        <v>0</v>
      </c>
      <c r="K53" s="308">
        <f>ROUND(IF($E51=0,0,IF((geg!P$148-geg!O$148)&gt;geg!$I$17/2,(geg!P92+geg!P95-geg!P96),(geg!O92+geg!O95-geg!O96))*((VLOOKUP($F51,bedragll,IF($E51="SO",3,4),FALSE)+VLOOKUP($F51,bedragll,IF($E51="SO",6,7),FALSE)*pers!K$12))),2)</f>
        <v>0</v>
      </c>
      <c r="L53" s="308">
        <f>ROUND(IF($E51=0,0,IF((geg!S$148-geg!R$148)&gt;geg!$I$17/2,(geg!S92+geg!S95-geg!S96),(geg!R92+geg!R95-geg!R96))*((VLOOKUP($F51,bedragll,IF($E51="SO",3,4),FALSE)+VLOOKUP($F51,bedragll,IF($E51="SO",6,7),FALSE)*pers!L$12))),2)</f>
        <v>0</v>
      </c>
      <c r="M53" s="308">
        <f>ROUND(IF($E51=0,0,IF((geg!V$148-geg!U$148)&gt;geg!$I$17/2,(geg!V92+geg!V95-geg!V96),(geg!U92+geg!U95-geg!U96))*((VLOOKUP($F51,bedragll,IF($E51="SO",3,4),FALSE)+VLOOKUP($F51,bedragll,IF($E51="SO",6,7),FALSE)*pers!M$12))),2)</f>
        <v>0</v>
      </c>
      <c r="N53" s="136"/>
      <c r="O53" s="97"/>
      <c r="Y53" s="217"/>
      <c r="Z53" s="1064">
        <f>ROUND(IF($E51=0,0,IF((geg!M$148-geg!L$148)&gt;geg!$I$17/2,(geg!M92+geg!M95-geg!M96),(geg!L92+geg!L95-geg!L96))*((VLOOKUP($F51,bedragll,IF($E51="SO",3,4),FALSE)+VLOOKUP($F51,bedragll,IF($E51="SO",6,7),FALSE)*pers!I$12))),2)</f>
        <v>0</v>
      </c>
      <c r="AA53" s="1063">
        <f>ROUND(IF($E51=0,0,IF((geg!P$148-geg!O$148)&gt;geg!$I$17/2,(geg!P92+geg!P95-geg!P96),(geg!O92+geg!O95-geg!O96))*((VLOOKUP($F51,bedragll,IF($E51="SO",3,4),FALSE)+VLOOKUP($F51,bedragll,IF($E51="SO",6,7),FALSE)*pers!J$12))),2)</f>
        <v>0</v>
      </c>
      <c r="AB53" s="217"/>
      <c r="AC53" s="217"/>
    </row>
    <row r="54" spans="2:29">
      <c r="B54" s="92"/>
      <c r="C54" s="293"/>
      <c r="D54" s="213" t="s">
        <v>267</v>
      </c>
      <c r="E54" s="132"/>
      <c r="F54" s="156" t="s">
        <v>266</v>
      </c>
      <c r="G54" s="294"/>
      <c r="H54" s="133"/>
      <c r="I54" s="308">
        <f>ROUND(IF($E51=0,0,(geg!I98*(VLOOKUP($F51,TAB,2,FALSE)+VLOOKUP($F51,TAB,4,FALSE)*pers!I$12))),2)</f>
        <v>0</v>
      </c>
      <c r="J54" s="308">
        <f>ROUND(IF($E51=0,0,(geg!L98*(VLOOKUP($F51,TAB,2,FALSE)+VLOOKUP($F51,TAB,4,FALSE)*pers!J$12))),2)</f>
        <v>0</v>
      </c>
      <c r="K54" s="308">
        <f>ROUND(IF($E51=0,0,(geg!O98*(VLOOKUP($F51,TAB,2,FALSE)+VLOOKUP($F51,TAB,4,FALSE)*pers!K$12))),2)</f>
        <v>0</v>
      </c>
      <c r="L54" s="308">
        <f>ROUND(IF($E51=0,0,(geg!R98*(VLOOKUP($F51,TAB,2,FALSE)+VLOOKUP($F51,TAB,4,FALSE)*pers!L$12))),2)</f>
        <v>0</v>
      </c>
      <c r="M54" s="308">
        <f>ROUND(IF($E51=0,0,(geg!U98*(VLOOKUP($F51,TAB,2,FALSE)+VLOOKUP($F51,TAB,4,FALSE)*pers!M$12))),2)</f>
        <v>0</v>
      </c>
      <c r="N54" s="136"/>
      <c r="O54" s="97"/>
      <c r="Z54" s="1062">
        <f>ROUND(IF($E51=0,0,(geg!L98*(VLOOKUP($F51,TAB,2,FALSE)+VLOOKUP($F51,TAB,4,FALSE)*pers!I$12))),2)</f>
        <v>0</v>
      </c>
      <c r="AA54" s="1063">
        <f>ROUND(IF($E51=0,0,(geg!O98*(VLOOKUP($F51,TAB,2,FALSE)+VLOOKUP($F51,TAB,4,FALSE)*pers!J$12))),2)</f>
        <v>0</v>
      </c>
    </row>
    <row r="55" spans="2:29">
      <c r="B55" s="92"/>
      <c r="C55" s="293"/>
      <c r="D55" s="133"/>
      <c r="E55" s="133"/>
      <c r="F55" s="156" t="s">
        <v>268</v>
      </c>
      <c r="G55" s="294"/>
      <c r="H55" s="133"/>
      <c r="I55" s="308">
        <f>ROUND(IF($E51=0,0,(geg!I99*(VLOOKUP($F51,TAB,3,FALSE)+VLOOKUP($F51,TAB,5,FALSE)*pers!I$12))),2)</f>
        <v>0</v>
      </c>
      <c r="J55" s="308">
        <f>ROUND(IF($E51=0,0,(geg!L99*(VLOOKUP($F51,TAB,3,FALSE)+VLOOKUP($F51,TAB,5,FALSE)*pers!J$12))),2)</f>
        <v>0</v>
      </c>
      <c r="K55" s="308">
        <f>ROUND(IF($E51=0,0,(geg!O99*(VLOOKUP($F51,TAB,3,FALSE)+VLOOKUP($F51,TAB,5,FALSE)*pers!K$12))),2)</f>
        <v>0</v>
      </c>
      <c r="L55" s="308">
        <f>ROUND(IF($E51=0,0,(geg!R99*(VLOOKUP($F51,TAB,3,FALSE)+VLOOKUP($F51,TAB,5,FALSE)*pers!L$12))),2)</f>
        <v>0</v>
      </c>
      <c r="M55" s="308">
        <f>ROUND(IF($E51=0,0,(geg!U99*(VLOOKUP($F51,TAB,3,FALSE)+VLOOKUP($F51,TAB,5,FALSE)*pers!M$12))),2)</f>
        <v>0</v>
      </c>
      <c r="N55" s="136"/>
      <c r="O55" s="97"/>
      <c r="Z55" s="1062">
        <f>ROUND(IF($E51=0,0,(geg!L99*(VLOOKUP($F51,TAB,3,FALSE)+VLOOKUP($F51,TAB,5,FALSE)*pers!I$12))),2)</f>
        <v>0</v>
      </c>
      <c r="AA55" s="1063">
        <f>ROUND(IF($E51=0,0,(geg!O99*(VLOOKUP($F51,TAB,3,FALSE)+VLOOKUP($F51,TAB,5,FALSE)*pers!J$12))),2)</f>
        <v>0</v>
      </c>
    </row>
    <row r="56" spans="2:29">
      <c r="B56" s="92"/>
      <c r="C56" s="293"/>
      <c r="D56" s="133"/>
      <c r="E56" s="133"/>
      <c r="F56" s="156" t="s">
        <v>148</v>
      </c>
      <c r="G56" s="294"/>
      <c r="H56" s="133"/>
      <c r="I56" s="308">
        <f>IF($E51=0,0,IF((geg!J153-geg!I153)&gt;geg!$I$17/2,geg!J100,geg!I100)*(VLOOKUP($F51,PAB,IF($E51="SO",2,3),FALSE)+VLOOKUP($F51,PAB,IF($E51="SO",4,5),FALSE)*I$12))</f>
        <v>0</v>
      </c>
      <c r="J56" s="308">
        <f>IF($E51=0,0,IF((geg!M153-geg!L153)&gt;geg!$I$17/2,geg!M100,geg!L100)*(VLOOKUP($F51,PAB,IF($E51="SO",2,3),FALSE)+VLOOKUP($F51,PAB,IF($E51="SO",4,5),FALSE)*J$12))</f>
        <v>0</v>
      </c>
      <c r="K56" s="308">
        <f>IF($E51=0,0,IF((geg!P153-geg!O153)&gt;geg!$I$17/2,geg!P100,geg!O100)*(VLOOKUP($F51,PAB,IF($E51="SO",2,3),FALSE)+VLOOKUP($F51,PAB,IF($E51="SO",4,5),FALSE)*K$12))</f>
        <v>0</v>
      </c>
      <c r="L56" s="308">
        <f>IF($E51=0,0,IF((geg!S153-geg!R153)&gt;geg!$I$17/2,geg!S100,geg!R100)*(VLOOKUP($F51,PAB,IF($E51="SO",2,3),FALSE)+VLOOKUP($F51,PAB,IF($E51="SO",4,5),FALSE)*L$12))</f>
        <v>0</v>
      </c>
      <c r="M56" s="308">
        <f>IF($E51=0,0,IF((geg!V153-geg!U153)&gt;geg!$I$17/2,geg!V100,geg!U100)*(VLOOKUP($F51,PAB,IF($E51="SO",2,3),FALSE)+VLOOKUP($F51,PAB,IF($E51="SO",4,5),FALSE)*M$12))</f>
        <v>0</v>
      </c>
      <c r="N56" s="136"/>
      <c r="O56" s="97"/>
      <c r="Z56" s="1062">
        <f>IF($E51=0,0,IF((geg!M153-geg!L153)&gt;geg!$I$17/2,geg!M100,geg!L100)*(VLOOKUP($F51,PAB,IF($E51="SO",2,3),FALSE)+VLOOKUP($F51,PAB,IF($E51="SO",4,5),FALSE)*I$12))</f>
        <v>0</v>
      </c>
      <c r="AA56" s="1063">
        <f>IF($E51=0,0,IF((geg!P153-geg!O153)&gt;geg!$I$17/2,geg!P100,geg!O100)*(VLOOKUP($F51,PAB,IF($E51="SO",2,3),FALSE)+VLOOKUP($F51,PAB,IF($E51="SO",4,5),FALSE)*J$12))</f>
        <v>0</v>
      </c>
    </row>
    <row r="57" spans="2:29">
      <c r="B57" s="92"/>
      <c r="C57" s="131"/>
      <c r="D57" s="295"/>
      <c r="E57" s="133"/>
      <c r="F57" s="133"/>
      <c r="G57" s="135"/>
      <c r="H57" s="133"/>
      <c r="I57" s="290"/>
      <c r="J57" s="290"/>
      <c r="K57" s="290"/>
      <c r="L57" s="290"/>
      <c r="M57" s="290"/>
      <c r="N57" s="136"/>
      <c r="O57" s="97"/>
      <c r="Z57" s="1062"/>
      <c r="AA57" s="1063"/>
    </row>
    <row r="58" spans="2:29">
      <c r="B58" s="92"/>
      <c r="C58" s="131"/>
      <c r="D58" s="292" t="s">
        <v>228</v>
      </c>
      <c r="E58" s="292">
        <f>+geg!D107</f>
        <v>0</v>
      </c>
      <c r="F58" s="292">
        <f>+geg!E107</f>
        <v>0</v>
      </c>
      <c r="G58" s="135"/>
      <c r="H58" s="133"/>
      <c r="I58" s="290"/>
      <c r="J58" s="290"/>
      <c r="K58" s="290"/>
      <c r="L58" s="290"/>
      <c r="M58" s="290"/>
      <c r="N58" s="136"/>
      <c r="O58" s="97"/>
      <c r="Z58" s="1062"/>
      <c r="AA58" s="1063"/>
    </row>
    <row r="59" spans="2:29" hidden="1">
      <c r="B59" s="92"/>
      <c r="C59" s="293"/>
      <c r="D59" s="155" t="s">
        <v>242</v>
      </c>
      <c r="E59" s="133"/>
      <c r="F59" s="133"/>
      <c r="G59" s="135"/>
      <c r="H59" s="133"/>
      <c r="I59" s="290">
        <f>ROUND(IF($E58=0,0,IF((geg!J$148-geg!I$148)&gt;geg!$I$17/2,(geg!J108+geg!J113),(geg!I108+geg!I113))*((VLOOKUP($F58,bedragll,2,FALSE)+VLOOKUP($F58,bedragll,5,FALSE)*pers!I$12))),2)</f>
        <v>0</v>
      </c>
      <c r="J59" s="290">
        <f>ROUND(IF($E58=0,0,IF((geg!M$148-geg!L$148)&gt;geg!$I$17/2,(geg!M108+geg!M113),(geg!L108+geg!L113))*((VLOOKUP($F58,bedragll,2,FALSE)+VLOOKUP($F58,bedragll,5,FALSE)*pers!J$12))),2)</f>
        <v>0</v>
      </c>
      <c r="K59" s="290">
        <f>ROUND(IF($E58=0,0,IF((geg!P$148-geg!O$148)&gt;geg!$I$17/2,(geg!P108+geg!P113),(geg!O108+geg!O113))*((VLOOKUP($F58,bedragll,2,FALSE)+VLOOKUP($F58,bedragll,5,FALSE)*pers!K$12))),2)</f>
        <v>0</v>
      </c>
      <c r="L59" s="290">
        <f>ROUND(IF($E58=0,0,IF((geg!S$148-geg!R$148)&gt;geg!$I$17/2,(geg!S108+geg!S113),(geg!R108+geg!R113))*((VLOOKUP($F58,bedragll,2,FALSE)+VLOOKUP($F58,bedragll,5,FALSE)*pers!L$12))),2)</f>
        <v>0</v>
      </c>
      <c r="M59" s="290">
        <f>ROUND(IF($E58=0,0,IF((geg!V$148-geg!U$148)&gt;geg!$I$17/2,(geg!V108+geg!V113),(geg!U108+geg!U113))*((VLOOKUP($F58,bedragll,2,FALSE)+VLOOKUP($F58,bedragll,5,FALSE)*pers!M$12))),2)</f>
        <v>0</v>
      </c>
      <c r="N59" s="136"/>
      <c r="O59" s="97"/>
      <c r="Z59" s="1062">
        <f>ROUND(IF($E58=0,0,IF((geg!M$148-geg!L$148)&gt;geg!$I$17/2,(geg!M108+geg!M113),(geg!L108+geg!L113))*((VLOOKUP($F58,bedragll,2,FALSE)+VLOOKUP($F58,bedragll,5,FALSE)*pers!I$12))),2)</f>
        <v>0</v>
      </c>
      <c r="AA59" s="1063">
        <f>ROUND(IF($E58=0,0,IF((geg!P$148-geg!O$148)&gt;geg!$I$17/2,(geg!P108+geg!P113),(geg!O108+geg!O113))*((VLOOKUP($F58,bedragll,2,FALSE)+VLOOKUP($F58,bedragll,5,FALSE)*pers!J$12))),2)</f>
        <v>0</v>
      </c>
    </row>
    <row r="60" spans="2:29">
      <c r="B60" s="92"/>
      <c r="C60" s="293"/>
      <c r="D60" s="155" t="s">
        <v>243</v>
      </c>
      <c r="E60" s="133"/>
      <c r="F60" s="133"/>
      <c r="G60" s="135"/>
      <c r="H60" s="133"/>
      <c r="I60" s="308">
        <f>ROUND(IF($E58=0,0,IF((geg!J$148-geg!I$148)&gt;geg!$I$17/2,(geg!J109+geg!J112-geg!J113),(geg!I109+geg!I112-geg!I113))*((VLOOKUP($F58,bedragll,IF($E58="SO",3,4),FALSE)+VLOOKUP($F58,bedragll,IF($E58="SO",6,7),FALSE)*pers!I$12))),2)</f>
        <v>0</v>
      </c>
      <c r="J60" s="308">
        <f>ROUND(IF($E58=0,0,IF((geg!M$148-geg!L$148)&gt;geg!$I$17/2,(geg!M109+geg!M112-geg!M113),(geg!L109+geg!L112-geg!L113))*((VLOOKUP($F58,bedragll,IF($E58="SO",3,4),FALSE)+VLOOKUP($F58,bedragll,IF($E58="SO",6,7),FALSE)*pers!J$12))),2)</f>
        <v>0</v>
      </c>
      <c r="K60" s="308">
        <f>ROUND(IF($E58=0,0,IF((geg!P$148-geg!O$148)&gt;geg!$I$17/2,(geg!P109+geg!P112-geg!P113),(geg!O109+geg!O112-geg!O113))*((VLOOKUP($F58,bedragll,IF($E58="SO",3,4),FALSE)+VLOOKUP($F58,bedragll,IF($E58="SO",6,7),FALSE)*pers!K$12))),2)</f>
        <v>0</v>
      </c>
      <c r="L60" s="308">
        <f>ROUND(IF($E58=0,0,IF((geg!S$148-geg!R$148)&gt;geg!$I$17/2,(geg!S109+geg!S112-geg!S113),(geg!R109+geg!R112-geg!R113))*((VLOOKUP($F58,bedragll,IF($E58="SO",3,4),FALSE)+VLOOKUP($F58,bedragll,IF($E58="SO",6,7),FALSE)*pers!L$12))),2)</f>
        <v>0</v>
      </c>
      <c r="M60" s="308">
        <f>ROUND(IF($E58=0,0,IF((geg!V$148-geg!U$148)&gt;geg!$I$17/2,(geg!V109+geg!V112-geg!V113),(geg!U109+geg!U112-geg!U113))*((VLOOKUP($F58,bedragll,IF($E58="SO",3,4),FALSE)+VLOOKUP($F58,bedragll,IF($E58="SO",6,7),FALSE)*pers!M$12))),2)</f>
        <v>0</v>
      </c>
      <c r="N60" s="136"/>
      <c r="O60" s="97"/>
      <c r="Z60" s="1062">
        <f>ROUND(IF($E58=0,0,IF((geg!M$148-geg!L$148)&gt;geg!$I$17/2,(geg!M109+geg!M112-geg!M113),(geg!L109+geg!L112-geg!L113))*((VLOOKUP($F58,bedragll,IF($E58="SO",3,4),FALSE)+VLOOKUP($F58,bedragll,IF($E58="SO",6,7),FALSE)*pers!I$12))),2)</f>
        <v>0</v>
      </c>
      <c r="AA60" s="1063">
        <f>ROUND(IF($E58=0,0,IF((geg!P$148-geg!O$148)&gt;geg!$I$17/2,(geg!P109+geg!P112-geg!P113),(geg!O109+geg!O112-geg!O113))*((VLOOKUP($F58,bedragll,IF($E58="SO",3,4),FALSE)+VLOOKUP($F58,bedragll,IF($E58="SO",6,7),FALSE)*pers!J$12))),2)</f>
        <v>0</v>
      </c>
    </row>
    <row r="61" spans="2:29">
      <c r="B61" s="92"/>
      <c r="C61" s="293"/>
      <c r="D61" s="213" t="s">
        <v>267</v>
      </c>
      <c r="E61" s="132"/>
      <c r="F61" s="156" t="s">
        <v>266</v>
      </c>
      <c r="G61" s="294"/>
      <c r="H61" s="133"/>
      <c r="I61" s="308">
        <f>ROUND(IF($E58=0,0,(geg!I115*(VLOOKUP($F58,TAB,2,FALSE)+VLOOKUP($F58,TAB,4,FALSE)*pers!I$12))),2)</f>
        <v>0</v>
      </c>
      <c r="J61" s="308">
        <f>ROUND(IF($E58=0,0,(geg!L115*(VLOOKUP($F58,TAB,2,FALSE)+VLOOKUP($F58,TAB,4,FALSE)*pers!J$12))),2)</f>
        <v>0</v>
      </c>
      <c r="K61" s="308">
        <f>ROUND(IF($E58=0,0,(geg!O115*(VLOOKUP($F58,TAB,2,FALSE)+VLOOKUP($F58,TAB,4,FALSE)*pers!K$12))),2)</f>
        <v>0</v>
      </c>
      <c r="L61" s="308">
        <f>ROUND(IF($E58=0,0,(geg!R115*(VLOOKUP($F58,TAB,2,FALSE)+VLOOKUP($F58,TAB,4,FALSE)*pers!L$12))),2)</f>
        <v>0</v>
      </c>
      <c r="M61" s="308">
        <f>ROUND(IF($E58=0,0,(geg!U115*(VLOOKUP($F58,TAB,2,FALSE)+VLOOKUP($F58,TAB,4,FALSE)*pers!M$12))),2)</f>
        <v>0</v>
      </c>
      <c r="N61" s="136"/>
      <c r="O61" s="97"/>
      <c r="Z61" s="1062">
        <f>ROUND(IF($E58=0,0,(geg!L115*(VLOOKUP($F58,TAB,2,FALSE)+VLOOKUP($F58,TAB,4,FALSE)*pers!I$12))),2)</f>
        <v>0</v>
      </c>
      <c r="AA61" s="1063">
        <f>ROUND(IF($E58=0,0,(geg!O115*(VLOOKUP($F58,TAB,2,FALSE)+VLOOKUP($F58,TAB,4,FALSE)*pers!J$12))),2)</f>
        <v>0</v>
      </c>
    </row>
    <row r="62" spans="2:29">
      <c r="B62" s="92"/>
      <c r="C62" s="293"/>
      <c r="D62" s="133"/>
      <c r="E62" s="133"/>
      <c r="F62" s="156" t="s">
        <v>268</v>
      </c>
      <c r="G62" s="294"/>
      <c r="H62" s="133"/>
      <c r="I62" s="308">
        <f>ROUND(IF($E58=0,0,(geg!I116*(VLOOKUP($F58,TAB,3,FALSE)+VLOOKUP($F58,TAB,5,FALSE)*pers!I$12))),2)</f>
        <v>0</v>
      </c>
      <c r="J62" s="308">
        <f>ROUND(IF($E58=0,0,(geg!L116*(VLOOKUP($F58,TAB,3,FALSE)+VLOOKUP($F58,TAB,5,FALSE)*pers!J$12))),2)</f>
        <v>0</v>
      </c>
      <c r="K62" s="308">
        <f>ROUND(IF($E58=0,0,(geg!O116*(VLOOKUP($F58,TAB,3,FALSE)+VLOOKUP($F58,TAB,5,FALSE)*pers!K$12))),2)</f>
        <v>0</v>
      </c>
      <c r="L62" s="308">
        <f>ROUND(IF($E58=0,0,(geg!R116*(VLOOKUP($F58,TAB,3,FALSE)+VLOOKUP($F58,TAB,5,FALSE)*pers!L$12))),2)</f>
        <v>0</v>
      </c>
      <c r="M62" s="308">
        <f>ROUND(IF($E58=0,0,(geg!U116*(VLOOKUP($F58,TAB,3,FALSE)+VLOOKUP($F58,TAB,5,FALSE)*pers!M$12))),2)</f>
        <v>0</v>
      </c>
      <c r="N62" s="136"/>
      <c r="O62" s="97"/>
      <c r="Z62" s="1062">
        <f>ROUND(IF($E58=0,0,(geg!L116*(VLOOKUP($F58,TAB,3,FALSE)+VLOOKUP($F58,TAB,5,FALSE)*pers!I$12))),2)</f>
        <v>0</v>
      </c>
      <c r="AA62" s="1063">
        <f>ROUND(IF($E58=0,0,(geg!O116*(VLOOKUP($F58,TAB,3,FALSE)+VLOOKUP($F58,TAB,5,FALSE)*pers!J$12))),2)</f>
        <v>0</v>
      </c>
    </row>
    <row r="63" spans="2:29">
      <c r="B63" s="92"/>
      <c r="C63" s="293"/>
      <c r="D63" s="133"/>
      <c r="E63" s="133"/>
      <c r="F63" s="156" t="s">
        <v>148</v>
      </c>
      <c r="G63" s="294"/>
      <c r="H63" s="133"/>
      <c r="I63" s="308">
        <f>IF($E58=0,0,IF((geg!J153-geg!I153)&gt;geg!$I$17/2,geg!J117,geg!I117)*(VLOOKUP($F58,PAB,IF($E58="SO",2,3),FALSE)+VLOOKUP($F58,PAB,IF($E58="SO",4,5),FALSE)*I$12))</f>
        <v>0</v>
      </c>
      <c r="J63" s="308">
        <f>IF($E58=0,0,IF((geg!M153-geg!L153)&gt;geg!$I$17/2,geg!M117,geg!L117)*(VLOOKUP($F58,PAB,IF($E58="SO",2,3),FALSE)+VLOOKUP($F58,PAB,IF($E58="SO",4,5),FALSE)*J$12))</f>
        <v>0</v>
      </c>
      <c r="K63" s="308">
        <f>IF($E58=0,0,IF((geg!P153-geg!O153)&gt;geg!$I$17/2,geg!P117,geg!O117)*(VLOOKUP($F58,PAB,IF($E58="SO",2,3),FALSE)+VLOOKUP($F58,PAB,IF($E58="SO",4,5),FALSE)*K$12))</f>
        <v>0</v>
      </c>
      <c r="L63" s="308">
        <f>IF($E58=0,0,IF((geg!S153-geg!R153)&gt;geg!$I$17/2,geg!S117,geg!R117)*(VLOOKUP($F58,PAB,IF($E58="SO",2,3),FALSE)+VLOOKUP($F58,PAB,IF($E58="SO",4,5),FALSE)*L$12))</f>
        <v>0</v>
      </c>
      <c r="M63" s="308">
        <f>IF($E58=0,0,IF((geg!V153-geg!U153)&gt;geg!$I$17/2,geg!V117,geg!U117)*(VLOOKUP($F58,PAB,IF($E58="SO",2,3),FALSE)+VLOOKUP($F58,PAB,IF($E58="SO",4,5),FALSE)*M$12))</f>
        <v>0</v>
      </c>
      <c r="N63" s="136"/>
      <c r="O63" s="97"/>
      <c r="Z63" s="1062">
        <f>IF($E58=0,0,IF((geg!M153-geg!L153)&gt;geg!$I$17/2,geg!M117,geg!L117)*(VLOOKUP($F58,PAB,IF($E58="SO",2,3),FALSE)+VLOOKUP($F58,PAB,IF($E58="SO",4,5),FALSE)*I$12))</f>
        <v>0</v>
      </c>
      <c r="AA63" s="1063">
        <f>IF($E58=0,0,IF((geg!P153-geg!O153)&gt;geg!$I$17/2,geg!P117,geg!O117)*(VLOOKUP($F58,PAB,IF($E58="SO",2,3),FALSE)+VLOOKUP($F58,PAB,IF($E58="SO",4,5),FALSE)*J$12))</f>
        <v>0</v>
      </c>
    </row>
    <row r="64" spans="2:29">
      <c r="B64" s="92"/>
      <c r="C64" s="317"/>
      <c r="D64" s="187"/>
      <c r="E64" s="187"/>
      <c r="F64" s="187"/>
      <c r="G64" s="187"/>
      <c r="H64" s="1057"/>
      <c r="I64" s="1058"/>
      <c r="J64" s="1058"/>
      <c r="K64" s="1058"/>
      <c r="L64" s="1058"/>
      <c r="M64" s="1058"/>
      <c r="N64" s="318"/>
      <c r="O64" s="97"/>
      <c r="Z64" s="1062"/>
      <c r="AA64" s="1063"/>
    </row>
    <row r="65" spans="2:27">
      <c r="B65" s="92"/>
      <c r="C65" s="317"/>
      <c r="D65" s="129"/>
      <c r="E65" s="129"/>
      <c r="F65" s="129"/>
      <c r="G65" s="129"/>
      <c r="H65" s="815"/>
      <c r="I65" s="1055"/>
      <c r="J65" s="1055"/>
      <c r="K65" s="1055"/>
      <c r="L65" s="1055"/>
      <c r="M65" s="1055"/>
      <c r="N65" s="318"/>
      <c r="O65" s="97"/>
      <c r="Z65" s="1062"/>
      <c r="AA65" s="1063"/>
    </row>
    <row r="66" spans="2:27">
      <c r="B66" s="92"/>
      <c r="C66" s="131"/>
      <c r="D66" s="322"/>
      <c r="E66" s="319" t="str">
        <f>+geg!I15</f>
        <v>VSO</v>
      </c>
      <c r="F66" s="138" t="str">
        <f>+geg!I16</f>
        <v>ZMOK</v>
      </c>
      <c r="G66" s="330" t="s">
        <v>642</v>
      </c>
      <c r="H66" s="133"/>
      <c r="I66" s="133"/>
      <c r="J66" s="133"/>
      <c r="K66" s="133"/>
      <c r="L66" s="133"/>
      <c r="M66" s="133"/>
      <c r="N66" s="136"/>
      <c r="O66" s="97"/>
      <c r="Z66" s="1062"/>
      <c r="AA66" s="1063"/>
    </row>
    <row r="67" spans="2:27">
      <c r="B67" s="92"/>
      <c r="C67" s="131"/>
      <c r="D67" s="155" t="s">
        <v>265</v>
      </c>
      <c r="E67" s="138"/>
      <c r="F67" s="138"/>
      <c r="G67" s="135"/>
      <c r="H67" s="133"/>
      <c r="I67" s="311">
        <f>IF(geg!I148=0,0,tab!$D77+ROUND(tab!$D78*I12,2))</f>
        <v>81080.070000000007</v>
      </c>
      <c r="J67" s="311">
        <f>IF(geg!L148=0,0,tab!$D77+ROUND(tab!$D78*J12,2))</f>
        <v>81080.070000000007</v>
      </c>
      <c r="K67" s="311">
        <f>IF(geg!O148=0,0,tab!$D77+ROUND(tab!$D78*K12,2))</f>
        <v>81080.070000000007</v>
      </c>
      <c r="L67" s="311">
        <f>IF(geg!R148=0,0,tab!$D77+ROUND(tab!$D78*L12,2))</f>
        <v>81080.070000000007</v>
      </c>
      <c r="M67" s="311">
        <f>IF(geg!U148=0,0,tab!$D77+ROUND(tab!$D78*M12,2))</f>
        <v>81080.070000000007</v>
      </c>
      <c r="N67" s="136"/>
      <c r="O67" s="97"/>
      <c r="Z67" s="1062">
        <f>IF(geg!L148=0,0,tab!$D77+ROUND(tab!$D78*I12,2))</f>
        <v>81080.070000000007</v>
      </c>
      <c r="AA67" s="1063">
        <f>IF(geg!O148=0,0,tab!$D77+ROUND(tab!$D78*J12,2))</f>
        <v>81080.070000000007</v>
      </c>
    </row>
    <row r="68" spans="2:27">
      <c r="B68" s="92"/>
      <c r="C68" s="131"/>
      <c r="D68" s="155" t="s">
        <v>242</v>
      </c>
      <c r="E68" s="138"/>
      <c r="F68" s="138"/>
      <c r="G68" s="135"/>
      <c r="H68" s="133"/>
      <c r="I68" s="311">
        <f t="shared" ref="I68:M69" si="0">+I21+I28+I35+I45+I52+I59</f>
        <v>0</v>
      </c>
      <c r="J68" s="311">
        <f t="shared" si="0"/>
        <v>0</v>
      </c>
      <c r="K68" s="311">
        <f t="shared" si="0"/>
        <v>0</v>
      </c>
      <c r="L68" s="311">
        <f t="shared" si="0"/>
        <v>0</v>
      </c>
      <c r="M68" s="311">
        <f t="shared" si="0"/>
        <v>0</v>
      </c>
      <c r="N68" s="136"/>
      <c r="O68" s="97"/>
      <c r="Z68" s="1063">
        <f>+Z21+Z28+Z35+Z45+Z52+Z59</f>
        <v>0</v>
      </c>
      <c r="AA68" s="1063">
        <f>+AA21+AA28+AA35+AA45+AA52+AA59</f>
        <v>0</v>
      </c>
    </row>
    <row r="69" spans="2:27">
      <c r="B69" s="92"/>
      <c r="C69" s="131"/>
      <c r="D69" s="155" t="s">
        <v>243</v>
      </c>
      <c r="E69" s="138"/>
      <c r="F69" s="138"/>
      <c r="G69" s="135"/>
      <c r="H69" s="133"/>
      <c r="I69" s="311">
        <f t="shared" si="0"/>
        <v>3078171.63</v>
      </c>
      <c r="J69" s="311">
        <f t="shared" si="0"/>
        <v>3078171.63</v>
      </c>
      <c r="K69" s="311">
        <f t="shared" si="0"/>
        <v>3078171.63</v>
      </c>
      <c r="L69" s="311">
        <f t="shared" si="0"/>
        <v>3078171.63</v>
      </c>
      <c r="M69" s="311">
        <f t="shared" si="0"/>
        <v>3078171.63</v>
      </c>
      <c r="N69" s="136"/>
      <c r="O69" s="97"/>
      <c r="Z69" s="1063">
        <f>+Z22+Z29+Z36+Z46+Z53+Z60</f>
        <v>3078171.63</v>
      </c>
      <c r="AA69" s="1063">
        <f>+AA22+AA29+AA36+AA46+AA53+AA60</f>
        <v>3078171.63</v>
      </c>
    </row>
    <row r="70" spans="2:27">
      <c r="B70" s="92"/>
      <c r="C70" s="131"/>
      <c r="D70" s="155" t="s">
        <v>244</v>
      </c>
      <c r="E70" s="138"/>
      <c r="F70" s="138"/>
      <c r="G70" s="135"/>
      <c r="H70" s="133"/>
      <c r="I70" s="311">
        <f>ROUND(IF($E20="",0,IF((geg!J148-geg!I148)&gt;geg!$I$17/2,geg!J149,geg!I149)*(tab!$D79+tab!$D80*pers!I$12)),2)</f>
        <v>0</v>
      </c>
      <c r="J70" s="311">
        <f>ROUND(IF($E20="",0,IF((geg!M148-geg!L148)&gt;geg!$I$17/2,geg!M149,geg!L149)*(tab!$D79+tab!$D80*pers!J$12)),2)</f>
        <v>0</v>
      </c>
      <c r="K70" s="311">
        <f>ROUND(IF($E20="",0,IF((geg!P148-geg!O148)&gt;geg!$I$17/2,geg!P149,geg!O149)*(tab!$D79+tab!$D80*pers!K$12)),2)</f>
        <v>0</v>
      </c>
      <c r="L70" s="311">
        <f>ROUND(IF($E20="",0,IF((geg!S148-geg!R148)&gt;geg!$I$17/2,geg!S149,geg!R149)*(tab!$D79+tab!$D80*pers!L$12)),2)</f>
        <v>0</v>
      </c>
      <c r="M70" s="311">
        <f>ROUND(IF($E20="",0,IF((geg!V148-geg!U148)&gt;geg!$I$17/2,geg!V149,geg!U149)*(tab!$D79+tab!$D80*pers!M$12)),2)</f>
        <v>0</v>
      </c>
      <c r="N70" s="136"/>
      <c r="O70" s="97"/>
      <c r="Z70" s="1062">
        <f>ROUND(IF($E20="",0,IF((geg!M148-geg!L148)&gt;geg!$I$17/2,geg!M149,geg!L149)*(tab!$D79+tab!$D80*pers!I$12)),2)</f>
        <v>0</v>
      </c>
      <c r="AA70" s="1063">
        <f>ROUND(IF($E20="",0,IF((geg!P148-geg!O148)&gt;geg!$I$17/2,geg!P149,geg!O149)*(tab!$D79+tab!$D80*pers!J$12)),2)</f>
        <v>0</v>
      </c>
    </row>
    <row r="71" spans="2:27">
      <c r="B71" s="92"/>
      <c r="C71" s="131"/>
      <c r="D71" s="213" t="s">
        <v>267</v>
      </c>
      <c r="E71" s="132"/>
      <c r="F71" s="156" t="s">
        <v>266</v>
      </c>
      <c r="G71" s="294"/>
      <c r="H71" s="133"/>
      <c r="I71" s="311">
        <f t="shared" ref="I71:M73" si="1">+I23+I30+I37+I47+I54+I61</f>
        <v>0</v>
      </c>
      <c r="J71" s="311">
        <f t="shared" si="1"/>
        <v>0</v>
      </c>
      <c r="K71" s="311">
        <f t="shared" si="1"/>
        <v>0</v>
      </c>
      <c r="L71" s="311">
        <f t="shared" si="1"/>
        <v>0</v>
      </c>
      <c r="M71" s="311">
        <f t="shared" si="1"/>
        <v>0</v>
      </c>
      <c r="N71" s="136"/>
      <c r="O71" s="97"/>
      <c r="Z71" s="1063">
        <f t="shared" ref="Z71:AA73" si="2">+Z23+Z30+Z37+Z47+Z54+Z61</f>
        <v>0</v>
      </c>
      <c r="AA71" s="1063">
        <f t="shared" si="2"/>
        <v>0</v>
      </c>
    </row>
    <row r="72" spans="2:27">
      <c r="B72" s="92"/>
      <c r="C72" s="131"/>
      <c r="D72" s="133"/>
      <c r="E72" s="138"/>
      <c r="F72" s="156" t="s">
        <v>268</v>
      </c>
      <c r="G72" s="294"/>
      <c r="H72" s="133"/>
      <c r="I72" s="311">
        <f t="shared" si="1"/>
        <v>0</v>
      </c>
      <c r="J72" s="311">
        <f t="shared" si="1"/>
        <v>0</v>
      </c>
      <c r="K72" s="311">
        <f t="shared" si="1"/>
        <v>0</v>
      </c>
      <c r="L72" s="311">
        <f t="shared" si="1"/>
        <v>0</v>
      </c>
      <c r="M72" s="311">
        <f t="shared" si="1"/>
        <v>0</v>
      </c>
      <c r="N72" s="136"/>
      <c r="O72" s="97"/>
      <c r="Z72" s="1063">
        <f t="shared" si="2"/>
        <v>0</v>
      </c>
      <c r="AA72" s="1063">
        <f t="shared" si="2"/>
        <v>0</v>
      </c>
    </row>
    <row r="73" spans="2:27">
      <c r="B73" s="92"/>
      <c r="C73" s="131"/>
      <c r="D73" s="133"/>
      <c r="E73" s="138"/>
      <c r="F73" s="156" t="s">
        <v>148</v>
      </c>
      <c r="G73" s="294"/>
      <c r="H73" s="133"/>
      <c r="I73" s="311">
        <f t="shared" si="1"/>
        <v>75069.719999999987</v>
      </c>
      <c r="J73" s="311">
        <f t="shared" si="1"/>
        <v>75069.719999999987</v>
      </c>
      <c r="K73" s="311">
        <f t="shared" si="1"/>
        <v>75069.719999999987</v>
      </c>
      <c r="L73" s="311">
        <f t="shared" si="1"/>
        <v>75069.719999999987</v>
      </c>
      <c r="M73" s="311">
        <f t="shared" si="1"/>
        <v>75069.719999999987</v>
      </c>
      <c r="N73" s="136"/>
      <c r="O73" s="97"/>
      <c r="Z73" s="1063">
        <f t="shared" si="2"/>
        <v>75069.719999999987</v>
      </c>
      <c r="AA73" s="1063">
        <f t="shared" si="2"/>
        <v>75069.719999999987</v>
      </c>
    </row>
    <row r="74" spans="2:27">
      <c r="B74" s="92"/>
      <c r="C74" s="131"/>
      <c r="D74" s="155" t="s">
        <v>245</v>
      </c>
      <c r="E74" s="133"/>
      <c r="F74" s="138"/>
      <c r="G74" s="135"/>
      <c r="H74" s="133"/>
      <c r="I74" s="311">
        <f>IF(geg!I27+geg!I29+geg!I79+geg!I81=0,0,IF(geg!I$148&lt;50,IF(geg!$J$159=1,2,1),IF(geg!$I$15="SOVSO",3,2))*tab!$D$95+tab!D96)</f>
        <v>37994.559999999998</v>
      </c>
      <c r="J74" s="311">
        <f>IF(geg!L27+geg!L29+geg!L79+geg!L81=0,0,IF(geg!L$148&lt;50,IF(geg!$J$159=1,2,1),IF(geg!$I$15="SOVSO",3,2))*tab!$D$95+tab!D96)</f>
        <v>37994.559999999998</v>
      </c>
      <c r="K74" s="311">
        <f>IF(geg!O27+geg!O29+geg!O79+geg!O81=0,0,IF(geg!O$148&lt;50,IF(geg!$J$159=1,2,1),IF(geg!$I$15="SOVSO",3,2))*tab!$D$95+tab!D96)</f>
        <v>37994.559999999998</v>
      </c>
      <c r="L74" s="311">
        <f>IF(geg!R27+geg!R29+geg!R79+geg!R81=0,0,IF(geg!R$148&lt;50,IF(geg!$J$159=1,2,1),IF(geg!$I$15="SOVSO",3,2))*tab!$D$95+tab!D96)</f>
        <v>37994.559999999998</v>
      </c>
      <c r="M74" s="311">
        <f>IF(geg!U27+geg!U29+geg!U79+geg!U81=0,0,IF(geg!U$148&lt;50,IF(geg!$J$159=1,2,1),IF(geg!$I$15="SOVSO",3,2))*tab!$D$95+tab!D96)</f>
        <v>37994.559999999998</v>
      </c>
      <c r="N74" s="136"/>
      <c r="O74" s="97"/>
      <c r="Z74" s="1062">
        <f>IF(geg!L27+geg!L29=0,0,IF(geg!L$148&lt;50,IF(geg!$J$159=1,2,1),IF(geg!$I$15="SOVSO",3,2))*tab!$D$95)</f>
        <v>0</v>
      </c>
      <c r="AA74" s="1063">
        <f>IF(geg!O27+geg!O29=0,0,IF(geg!O$148&lt;50,IF(geg!$J$159=1,2,1),IF(geg!$I$15="SOVSO",3,2))*tab!$D$95)</f>
        <v>0</v>
      </c>
    </row>
    <row r="75" spans="2:27">
      <c r="B75" s="92"/>
      <c r="C75" s="131"/>
      <c r="D75" s="156" t="s">
        <v>87</v>
      </c>
      <c r="E75" s="133"/>
      <c r="F75" s="138"/>
      <c r="G75" s="294"/>
      <c r="H75" s="133"/>
      <c r="I75" s="311">
        <f>+rugzak!G25</f>
        <v>0</v>
      </c>
      <c r="J75" s="311">
        <f>+rugzak!G134</f>
        <v>0</v>
      </c>
      <c r="K75" s="311">
        <f t="shared" ref="K75:M76" si="3">+J75</f>
        <v>0</v>
      </c>
      <c r="L75" s="311">
        <f t="shared" si="3"/>
        <v>0</v>
      </c>
      <c r="M75" s="311">
        <f t="shared" si="3"/>
        <v>0</v>
      </c>
      <c r="N75" s="136"/>
      <c r="O75" s="97"/>
      <c r="Z75" s="1063">
        <f>+J75</f>
        <v>0</v>
      </c>
      <c r="AA75" s="1063">
        <f>+K75</f>
        <v>0</v>
      </c>
    </row>
    <row r="76" spans="2:27">
      <c r="B76" s="92"/>
      <c r="C76" s="131"/>
      <c r="D76" s="156" t="s">
        <v>88</v>
      </c>
      <c r="E76" s="133"/>
      <c r="F76" s="138"/>
      <c r="G76" s="294"/>
      <c r="H76" s="133"/>
      <c r="I76" s="311">
        <f>+rugzak!G47</f>
        <v>0</v>
      </c>
      <c r="J76" s="311">
        <f>+rugzak!G155</f>
        <v>0</v>
      </c>
      <c r="K76" s="311">
        <f t="shared" si="3"/>
        <v>0</v>
      </c>
      <c r="L76" s="311">
        <f t="shared" si="3"/>
        <v>0</v>
      </c>
      <c r="M76" s="311">
        <f t="shared" si="3"/>
        <v>0</v>
      </c>
      <c r="N76" s="136"/>
      <c r="O76" s="97"/>
      <c r="Z76" s="1063">
        <f>+J76</f>
        <v>0</v>
      </c>
      <c r="AA76" s="1063">
        <f>+K76</f>
        <v>0</v>
      </c>
    </row>
    <row r="77" spans="2:27">
      <c r="B77" s="92"/>
      <c r="C77" s="131"/>
      <c r="D77" s="133" t="s">
        <v>144</v>
      </c>
      <c r="E77" s="133"/>
      <c r="F77" s="133"/>
      <c r="G77" s="133"/>
      <c r="H77" s="133"/>
      <c r="I77" s="311">
        <f>+rugzak!G81</f>
        <v>0</v>
      </c>
      <c r="J77" s="311">
        <f>+rugzak!G186</f>
        <v>0</v>
      </c>
      <c r="K77" s="311">
        <f t="shared" ref="K77:M78" si="4">+J77</f>
        <v>0</v>
      </c>
      <c r="L77" s="311">
        <f t="shared" si="4"/>
        <v>0</v>
      </c>
      <c r="M77" s="311">
        <f t="shared" si="4"/>
        <v>0</v>
      </c>
      <c r="N77" s="136"/>
      <c r="O77" s="97"/>
      <c r="Z77" s="1063"/>
      <c r="AA77" s="1063"/>
    </row>
    <row r="78" spans="2:27">
      <c r="B78" s="92"/>
      <c r="C78" s="131"/>
      <c r="D78" s="133" t="s">
        <v>145</v>
      </c>
      <c r="E78" s="133"/>
      <c r="F78" s="133"/>
      <c r="G78" s="133"/>
      <c r="H78" s="133"/>
      <c r="I78" s="311">
        <f>+rugzak!G103</f>
        <v>0</v>
      </c>
      <c r="J78" s="311">
        <f>+rugzak!G207</f>
        <v>0</v>
      </c>
      <c r="K78" s="311">
        <f t="shared" si="4"/>
        <v>0</v>
      </c>
      <c r="L78" s="311">
        <f t="shared" si="4"/>
        <v>0</v>
      </c>
      <c r="M78" s="311">
        <f t="shared" si="4"/>
        <v>0</v>
      </c>
      <c r="N78" s="136"/>
      <c r="O78" s="97"/>
      <c r="Z78" s="1063"/>
      <c r="AA78" s="1063"/>
    </row>
    <row r="79" spans="2:27">
      <c r="B79" s="92"/>
      <c r="C79" s="131"/>
      <c r="D79" s="296"/>
      <c r="E79" s="133"/>
      <c r="F79" s="138"/>
      <c r="G79" s="294"/>
      <c r="H79" s="133"/>
      <c r="I79" s="309">
        <f>SUM(I67:I78)</f>
        <v>3272315.98</v>
      </c>
      <c r="J79" s="309">
        <f>SUM(J67:J78)</f>
        <v>3272315.98</v>
      </c>
      <c r="K79" s="309">
        <f>SUM(K67:K78)</f>
        <v>3272315.98</v>
      </c>
      <c r="L79" s="309">
        <f>SUM(L67:L78)</f>
        <v>3272315.98</v>
      </c>
      <c r="M79" s="309">
        <f>SUM(M67:M78)</f>
        <v>3272315.98</v>
      </c>
      <c r="N79" s="136"/>
      <c r="O79" s="97"/>
      <c r="Z79" s="1065">
        <f>SUM(Z67:Z76)</f>
        <v>3234321.42</v>
      </c>
      <c r="AA79" s="1065">
        <f>SUM(AA67:AA76)</f>
        <v>3234321.42</v>
      </c>
    </row>
    <row r="80" spans="2:27">
      <c r="B80" s="92"/>
      <c r="C80" s="131"/>
      <c r="D80" s="187"/>
      <c r="E80" s="187"/>
      <c r="F80" s="187"/>
      <c r="G80" s="187"/>
      <c r="H80" s="1057"/>
      <c r="I80" s="1058"/>
      <c r="J80" s="1058"/>
      <c r="K80" s="1058"/>
      <c r="L80" s="1058"/>
      <c r="M80" s="1058"/>
      <c r="N80" s="136"/>
      <c r="O80" s="97"/>
      <c r="Z80" s="1066">
        <f>SUM(Z67:Z70)+Z73</f>
        <v>3234321.42</v>
      </c>
      <c r="AA80" s="1066">
        <f>SUM(AA67:AA70)+AA73</f>
        <v>3234321.42</v>
      </c>
    </row>
    <row r="81" spans="2:27">
      <c r="B81" s="92"/>
      <c r="C81" s="131"/>
      <c r="D81" s="129"/>
      <c r="E81" s="129"/>
      <c r="F81" s="129"/>
      <c r="G81" s="129"/>
      <c r="H81" s="815"/>
      <c r="I81" s="1055"/>
      <c r="J81" s="1055"/>
      <c r="K81" s="1055"/>
      <c r="L81" s="1055"/>
      <c r="M81" s="1055"/>
      <c r="N81" s="136"/>
      <c r="O81" s="97"/>
      <c r="Z81" s="1066"/>
      <c r="AA81" s="1066"/>
    </row>
    <row r="82" spans="2:27">
      <c r="B82" s="92"/>
      <c r="C82" s="131"/>
      <c r="D82" s="156"/>
      <c r="E82" s="133"/>
      <c r="F82" s="138"/>
      <c r="G82" s="294"/>
      <c r="H82" s="133"/>
      <c r="I82" s="298"/>
      <c r="J82" s="298"/>
      <c r="K82" s="298"/>
      <c r="L82" s="298"/>
      <c r="M82" s="298"/>
      <c r="N82" s="136"/>
      <c r="O82" s="97"/>
    </row>
    <row r="83" spans="2:27">
      <c r="B83" s="92"/>
      <c r="C83" s="131"/>
      <c r="D83" s="133" t="s">
        <v>258</v>
      </c>
      <c r="E83" s="133"/>
      <c r="F83" s="133"/>
      <c r="G83" s="170">
        <v>0</v>
      </c>
      <c r="H83" s="133"/>
      <c r="I83" s="308">
        <f>IF(G83=0,0,+tab!D163+G83*tab!D164)</f>
        <v>0</v>
      </c>
      <c r="J83" s="310">
        <f t="shared" ref="J83:M84" si="5">+I83</f>
        <v>0</v>
      </c>
      <c r="K83" s="310">
        <f t="shared" si="5"/>
        <v>0</v>
      </c>
      <c r="L83" s="310">
        <f t="shared" si="5"/>
        <v>0</v>
      </c>
      <c r="M83" s="310">
        <f t="shared" si="5"/>
        <v>0</v>
      </c>
      <c r="N83" s="136"/>
      <c r="O83" s="97"/>
    </row>
    <row r="84" spans="2:27">
      <c r="B84" s="92"/>
      <c r="C84" s="131"/>
      <c r="D84" s="133" t="s">
        <v>519</v>
      </c>
      <c r="E84" s="133"/>
      <c r="F84" s="133"/>
      <c r="G84" s="170">
        <v>0</v>
      </c>
      <c r="H84" s="133"/>
      <c r="I84" s="308">
        <f>IF(G84=0,0,+tab!D163+G84*tab!D164)</f>
        <v>0</v>
      </c>
      <c r="J84" s="310">
        <f t="shared" si="5"/>
        <v>0</v>
      </c>
      <c r="K84" s="310">
        <f t="shared" si="5"/>
        <v>0</v>
      </c>
      <c r="L84" s="310">
        <f t="shared" si="5"/>
        <v>0</v>
      </c>
      <c r="M84" s="310">
        <f t="shared" si="5"/>
        <v>0</v>
      </c>
      <c r="N84" s="136"/>
      <c r="O84" s="97"/>
    </row>
    <row r="85" spans="2:27">
      <c r="B85" s="92"/>
      <c r="C85" s="131"/>
      <c r="D85" s="296"/>
      <c r="E85" s="133"/>
      <c r="F85" s="133"/>
      <c r="G85" s="139"/>
      <c r="H85" s="133"/>
      <c r="I85" s="309">
        <f>SUM(I83:I84)</f>
        <v>0</v>
      </c>
      <c r="J85" s="309">
        <f>SUM(J83:J84)</f>
        <v>0</v>
      </c>
      <c r="K85" s="309">
        <f>SUM(K83:K84)</f>
        <v>0</v>
      </c>
      <c r="L85" s="309">
        <f>SUM(L83:L84)</f>
        <v>0</v>
      </c>
      <c r="M85" s="309">
        <f>SUM(M83:M84)</f>
        <v>0</v>
      </c>
      <c r="N85" s="136"/>
      <c r="O85" s="97"/>
    </row>
    <row r="86" spans="2:27">
      <c r="B86" s="92"/>
      <c r="C86" s="131"/>
      <c r="D86" s="133"/>
      <c r="E86" s="133"/>
      <c r="F86" s="133"/>
      <c r="G86" s="139"/>
      <c r="H86" s="133"/>
      <c r="I86" s="298"/>
      <c r="J86" s="298"/>
      <c r="K86" s="298"/>
      <c r="L86" s="298"/>
      <c r="M86" s="298"/>
      <c r="N86" s="136"/>
      <c r="O86" s="97"/>
    </row>
    <row r="87" spans="2:27">
      <c r="B87" s="92"/>
      <c r="C87" s="131"/>
      <c r="D87" s="296" t="s">
        <v>852</v>
      </c>
      <c r="E87" s="133"/>
      <c r="F87" s="138"/>
      <c r="G87" s="135"/>
      <c r="H87" s="133"/>
      <c r="I87" s="312">
        <f>I79+I85</f>
        <v>3272315.98</v>
      </c>
      <c r="J87" s="312">
        <f>J79+J85</f>
        <v>3272315.98</v>
      </c>
      <c r="K87" s="312">
        <f>K79+K85</f>
        <v>3272315.98</v>
      </c>
      <c r="L87" s="312">
        <f>L79+L85</f>
        <v>3272315.98</v>
      </c>
      <c r="M87" s="312">
        <f>M79+M85</f>
        <v>3272315.98</v>
      </c>
      <c r="N87" s="136"/>
      <c r="O87" s="97"/>
    </row>
    <row r="88" spans="2:27">
      <c r="B88" s="92"/>
      <c r="D88" s="65"/>
      <c r="G88" s="65"/>
      <c r="O88" s="97"/>
    </row>
    <row r="89" spans="2:27">
      <c r="B89" s="92"/>
      <c r="C89" s="93"/>
      <c r="D89" s="93"/>
      <c r="E89" s="93"/>
      <c r="F89" s="110"/>
      <c r="G89" s="96"/>
      <c r="H89" s="93"/>
      <c r="I89" s="264"/>
      <c r="J89" s="264"/>
      <c r="K89" s="264"/>
      <c r="L89" s="264"/>
      <c r="M89" s="264"/>
      <c r="N89" s="93"/>
      <c r="O89" s="97"/>
    </row>
    <row r="90" spans="2:27" s="68" customFormat="1" ht="15">
      <c r="B90" s="113"/>
      <c r="C90" s="114"/>
      <c r="D90" s="114"/>
      <c r="E90" s="114"/>
      <c r="F90" s="115"/>
      <c r="G90" s="265"/>
      <c r="H90" s="114"/>
      <c r="I90" s="266"/>
      <c r="J90" s="266"/>
      <c r="K90" s="266"/>
      <c r="L90" s="266"/>
      <c r="M90" s="266"/>
      <c r="N90" s="119" t="s">
        <v>555</v>
      </c>
      <c r="O90" s="120"/>
      <c r="Z90" s="193"/>
      <c r="AA90" s="193"/>
    </row>
    <row r="91" spans="2:27" s="68" customFormat="1">
      <c r="B91" s="87"/>
      <c r="C91" s="88"/>
      <c r="D91" s="88"/>
      <c r="E91" s="88"/>
      <c r="F91" s="121"/>
      <c r="G91" s="267"/>
      <c r="H91" s="88"/>
      <c r="I91" s="268"/>
      <c r="J91" s="268"/>
      <c r="K91" s="268"/>
      <c r="L91" s="268"/>
      <c r="M91" s="268"/>
      <c r="N91" s="88"/>
      <c r="O91" s="91"/>
      <c r="Z91" s="193"/>
      <c r="AA91" s="193"/>
    </row>
    <row r="92" spans="2:27" s="68" customFormat="1">
      <c r="B92" s="92"/>
      <c r="C92" s="93"/>
      <c r="D92" s="93"/>
      <c r="E92" s="93"/>
      <c r="F92" s="110"/>
      <c r="G92" s="96"/>
      <c r="H92" s="93"/>
      <c r="I92" s="264"/>
      <c r="J92" s="264"/>
      <c r="K92" s="264"/>
      <c r="L92" s="264"/>
      <c r="M92" s="264"/>
      <c r="N92" s="93"/>
      <c r="O92" s="97"/>
      <c r="Z92" s="193"/>
      <c r="AA92" s="193"/>
    </row>
    <row r="93" spans="2:27" s="68" customFormat="1">
      <c r="B93" s="92"/>
      <c r="C93" s="93"/>
      <c r="D93" s="93"/>
      <c r="E93" s="93"/>
      <c r="F93" s="110"/>
      <c r="G93" s="96"/>
      <c r="H93" s="93"/>
      <c r="I93" s="264"/>
      <c r="J93" s="264"/>
      <c r="K93" s="264"/>
      <c r="L93" s="264"/>
      <c r="M93" s="264"/>
      <c r="N93" s="93"/>
      <c r="O93" s="97"/>
      <c r="Z93" s="193"/>
      <c r="AA93" s="193"/>
    </row>
    <row r="94" spans="2:27" s="68" customFormat="1">
      <c r="B94" s="92"/>
      <c r="C94" s="93"/>
      <c r="D94" s="93"/>
      <c r="E94" s="93"/>
      <c r="F94" s="110"/>
      <c r="G94" s="96"/>
      <c r="H94" s="93"/>
      <c r="I94" s="305" t="str">
        <f>I8</f>
        <v>2012/13</v>
      </c>
      <c r="J94" s="305" t="str">
        <f>J8</f>
        <v>2013/14</v>
      </c>
      <c r="K94" s="1054" t="str">
        <f>K8</f>
        <v>2014/15</v>
      </c>
      <c r="L94" s="1067" t="str">
        <f>L8</f>
        <v>2015/16</v>
      </c>
      <c r="M94" s="1067" t="str">
        <f>M8</f>
        <v>2016/17</v>
      </c>
      <c r="N94" s="93"/>
      <c r="O94" s="97"/>
      <c r="Z94" s="193"/>
      <c r="AA94" s="193"/>
    </row>
    <row r="95" spans="2:27" s="68" customFormat="1">
      <c r="B95" s="92"/>
      <c r="C95" s="93"/>
      <c r="D95" s="93"/>
      <c r="E95" s="93"/>
      <c r="F95" s="110"/>
      <c r="G95" s="96"/>
      <c r="H95" s="93"/>
      <c r="I95" s="264"/>
      <c r="J95" s="264"/>
      <c r="K95" s="264"/>
      <c r="L95" s="264"/>
      <c r="M95" s="264"/>
      <c r="N95" s="93"/>
      <c r="O95" s="97"/>
      <c r="Z95" s="193"/>
      <c r="AA95" s="193"/>
    </row>
    <row r="96" spans="2:27">
      <c r="B96" s="92"/>
      <c r="C96" s="317"/>
      <c r="D96" s="129"/>
      <c r="E96" s="129"/>
      <c r="F96" s="129"/>
      <c r="G96" s="129"/>
      <c r="H96" s="815"/>
      <c r="I96" s="1055"/>
      <c r="J96" s="1055"/>
      <c r="K96" s="1055"/>
      <c r="L96" s="1055"/>
      <c r="M96" s="1055"/>
      <c r="N96" s="318"/>
      <c r="O96" s="97"/>
    </row>
    <row r="97" spans="2:15">
      <c r="B97" s="92"/>
      <c r="C97" s="131"/>
      <c r="D97" s="138" t="s">
        <v>248</v>
      </c>
      <c r="E97" s="133"/>
      <c r="F97" s="133"/>
      <c r="G97" s="135"/>
      <c r="H97" s="133"/>
      <c r="I97" s="290"/>
      <c r="J97" s="290"/>
      <c r="K97" s="290"/>
      <c r="L97" s="290"/>
      <c r="M97" s="290"/>
      <c r="N97" s="136"/>
      <c r="O97" s="97"/>
    </row>
    <row r="98" spans="2:15">
      <c r="B98" s="92"/>
      <c r="C98" s="131"/>
      <c r="D98" s="815"/>
      <c r="E98" s="133"/>
      <c r="F98" s="133"/>
      <c r="G98" s="135"/>
      <c r="H98" s="133"/>
      <c r="I98" s="290"/>
      <c r="J98" s="290"/>
      <c r="K98" s="290"/>
      <c r="L98" s="290"/>
      <c r="M98" s="290"/>
      <c r="N98" s="136"/>
      <c r="O98" s="97"/>
    </row>
    <row r="99" spans="2:15">
      <c r="B99" s="92"/>
      <c r="C99" s="131"/>
      <c r="D99" s="751" t="s">
        <v>102</v>
      </c>
      <c r="E99" s="133"/>
      <c r="F99" s="133"/>
      <c r="G99" s="135"/>
      <c r="H99" s="133"/>
      <c r="I99" s="290"/>
      <c r="J99" s="290"/>
      <c r="K99" s="290"/>
      <c r="L99" s="290"/>
      <c r="M99" s="290"/>
      <c r="N99" s="136"/>
      <c r="O99" s="97"/>
    </row>
    <row r="100" spans="2:15">
      <c r="B100" s="92"/>
      <c r="C100" s="131"/>
      <c r="D100" s="292" t="str">
        <f>+geg!C24</f>
        <v>1.</v>
      </c>
      <c r="E100" s="155">
        <f>+geg!D24</f>
        <v>0</v>
      </c>
      <c r="F100" s="155">
        <f>+geg!E24</f>
        <v>0</v>
      </c>
      <c r="G100" s="135"/>
      <c r="H100" s="133"/>
      <c r="I100" s="308">
        <f>IF($E100=0,0,+(geg!I27+geg!I29)*VLOOKUP($F100,BudgetPB,IF($E100="SO",2,3),FALSE)+(geg!I28+geg!I31)*tab!$H$220+(geg!I32+geg!I33)*tab!$G$220)</f>
        <v>0</v>
      </c>
      <c r="J100" s="308">
        <f>IF($E100=0,0,+(geg!L27+geg!L29)*VLOOKUP($F100,BudgetPB,IF($E100="SO",2,3),FALSE)+(geg!L28+geg!L31)*tab!$H$220+(geg!L32+geg!L33)*tab!$G$220)</f>
        <v>0</v>
      </c>
      <c r="K100" s="308">
        <f>IF($E100=0,0,+(geg!O27+geg!O29)*VLOOKUP($F100,BudgetPB,IF($E100="SO",2,3),FALSE)+(geg!O28+geg!O31)*tab!$H$220+(geg!O32+geg!O33)*tab!$G$220)</f>
        <v>0</v>
      </c>
      <c r="L100" s="308">
        <f>IF($E100=0,0,+(geg!R27+geg!R29)*VLOOKUP($F100,BudgetPB,IF($E100="SO",2,3),FALSE)+(geg!R28+geg!R31)*tab!$H$220+(geg!R32+geg!R33)*tab!$G$220)</f>
        <v>0</v>
      </c>
      <c r="M100" s="308">
        <f>IF($E100=0,0,+(geg!U27+geg!U29)*VLOOKUP($F100,BudgetPB,IF($E100="SO",2,3),FALSE)+(geg!U28+geg!U31)*tab!$H$220+(geg!U32+geg!U33)*tab!$G$220)</f>
        <v>0</v>
      </c>
      <c r="N100" s="136"/>
      <c r="O100" s="97"/>
    </row>
    <row r="101" spans="2:15">
      <c r="B101" s="92"/>
      <c r="C101" s="131"/>
      <c r="D101" s="292" t="str">
        <f>+geg!C38</f>
        <v>2.</v>
      </c>
      <c r="E101" s="155">
        <f>+geg!D38</f>
        <v>0</v>
      </c>
      <c r="F101" s="155">
        <f>+geg!E38</f>
        <v>0</v>
      </c>
      <c r="G101" s="135"/>
      <c r="H101" s="133"/>
      <c r="I101" s="308">
        <f>IF($E101=0,0,+(geg!I41+geg!I43)*VLOOKUP($F101,BudgetPB,IF($E101="SO",2,3),FALSE)+(geg!I42+geg!I45)*tab!$H$220+(geg!I46+geg!I47)*tab!$G$220)</f>
        <v>0</v>
      </c>
      <c r="J101" s="308">
        <f>IF($E101=0,0,+(geg!L41+geg!L43)*VLOOKUP($F101,BudgetPB,IF($E101="SO",2,3),FALSE)+(geg!L42+geg!L45)*tab!$H$220+(geg!L46+geg!L47)*tab!$G$220)</f>
        <v>0</v>
      </c>
      <c r="K101" s="308">
        <f>IF($E101=0,0,+(geg!O41+geg!O43)*VLOOKUP($F101,BudgetPB,IF($E101="SO",2,3),FALSE)+(geg!O42+geg!O45)*tab!$H$220+(geg!O46+geg!O47)*tab!$G$220)</f>
        <v>0</v>
      </c>
      <c r="L101" s="308">
        <f>IF($E101=0,0,+(geg!R41+geg!R43)*VLOOKUP($F101,BudgetPB,IF($E101="SO",2,3),FALSE)+(geg!R42+geg!R45)*tab!$H$220+(geg!R46+geg!R47)*tab!$G$220)</f>
        <v>0</v>
      </c>
      <c r="M101" s="308">
        <f>IF($E101=0,0,+(geg!U41+geg!U43)*VLOOKUP($F101,BudgetPB,IF($E101="SO",2,3),FALSE)+(geg!U42+geg!U45)*tab!$H$220+(geg!U46+geg!U47)*tab!$G$220)</f>
        <v>0</v>
      </c>
      <c r="N101" s="136"/>
      <c r="O101" s="97"/>
    </row>
    <row r="102" spans="2:15">
      <c r="B102" s="92"/>
      <c r="C102" s="131"/>
      <c r="D102" s="292" t="str">
        <f>+geg!C52</f>
        <v>3.</v>
      </c>
      <c r="E102" s="155">
        <f>+geg!D52</f>
        <v>0</v>
      </c>
      <c r="F102" s="155">
        <f>+geg!E52</f>
        <v>0</v>
      </c>
      <c r="G102" s="135"/>
      <c r="H102" s="133"/>
      <c r="I102" s="308">
        <f>IF($E102=0,0,+(geg!I55+geg!I57)*VLOOKUP($F102,BudgetPB,IF($E102="SO",2,3),FALSE)+(geg!I56+geg!I59)*tab!$H$220+(geg!I60+geg!I61)*tab!$G$220)</f>
        <v>0</v>
      </c>
      <c r="J102" s="308">
        <f>IF($E102=0,0,+(geg!L55+geg!L57)*VLOOKUP($F102,BudgetPB,IF($E102="SO",2,3),FALSE)+(geg!L56+geg!L59)*tab!$H$220+(geg!L60+geg!L61)*tab!$G$220)</f>
        <v>0</v>
      </c>
      <c r="K102" s="308">
        <f>IF($E102=0,0,+(geg!O55+geg!O57)*VLOOKUP($F102,BudgetPB,IF($E102="SO",2,3),FALSE)+(geg!O56+geg!O59)*tab!$H$220+(geg!O60+geg!O61)*tab!$G$220)</f>
        <v>0</v>
      </c>
      <c r="L102" s="308">
        <f>IF($E102=0,0,+(geg!R55+geg!R57)*VLOOKUP($F102,BudgetPB,IF($E102="SO",2,3),FALSE)+(geg!R56+geg!R59)*tab!$H$220+(geg!R60+geg!R61)*tab!$G$220)</f>
        <v>0</v>
      </c>
      <c r="M102" s="308">
        <f>IF($E102=0,0,+(geg!U55+geg!U57)*VLOOKUP($F102,BudgetPB,IF($E102="SO",2,3),FALSE)+(geg!U56+geg!U59)*tab!$H$220+(geg!U60+geg!U61)*tab!$G$220)</f>
        <v>0</v>
      </c>
      <c r="N102" s="136"/>
      <c r="O102" s="97"/>
    </row>
    <row r="103" spans="2:15">
      <c r="B103" s="92"/>
      <c r="C103" s="131"/>
      <c r="D103" s="751" t="s">
        <v>836</v>
      </c>
      <c r="E103" s="155"/>
      <c r="F103" s="155"/>
      <c r="G103" s="135"/>
      <c r="H103" s="133"/>
      <c r="I103" s="133"/>
      <c r="J103" s="133"/>
      <c r="K103" s="133"/>
      <c r="L103" s="133"/>
      <c r="M103" s="133"/>
      <c r="N103" s="136"/>
      <c r="O103" s="97"/>
    </row>
    <row r="104" spans="2:15">
      <c r="B104" s="92"/>
      <c r="C104" s="131"/>
      <c r="D104" s="292" t="str">
        <f>+geg!C76</f>
        <v>1.</v>
      </c>
      <c r="E104" s="155" t="str">
        <f>+geg!D76</f>
        <v>VSO</v>
      </c>
      <c r="F104" s="155" t="str">
        <f>+geg!E76</f>
        <v>ZMOK</v>
      </c>
      <c r="G104" s="135"/>
      <c r="H104" s="133"/>
      <c r="I104" s="308">
        <f>IF($E104=0,0,+(geg!I79+geg!I81)*VLOOKUP($F104,BudgetPB,IF($E104="SO",2,3),FALSE)+(geg!I80+geg!I83)*tab!$H$220+(geg!I84+geg!I85)*tab!$G$220)</f>
        <v>190313.37</v>
      </c>
      <c r="J104" s="308">
        <f>IF($E104=0,0,+(geg!L79+geg!L81)*VLOOKUP($F104,BudgetPB,IF($E104="SO",2,3),FALSE)+(geg!L80+geg!L83)*tab!$H$220+(geg!L84+geg!L85)*tab!$G$220)</f>
        <v>190313.37</v>
      </c>
      <c r="K104" s="308">
        <f>IF($E104=0,0,+(geg!O79+geg!O81)*VLOOKUP($F104,BudgetPB,IF($E104="SO",2,3),FALSE)+(geg!O80+geg!O83)*tab!$H$220+(geg!O84+geg!O85)*tab!$G$220)</f>
        <v>190313.37</v>
      </c>
      <c r="L104" s="308">
        <f>IF($E104=0,0,+(geg!R79+geg!R81)*VLOOKUP($F104,BudgetPB,IF($E104="SO",2,3),FALSE)+(geg!R80+geg!R83)*tab!$H$220+(geg!R84+geg!R85)*tab!$G$220)</f>
        <v>190313.37</v>
      </c>
      <c r="M104" s="308">
        <f>IF($E104=0,0,+(geg!U79+geg!U81)*VLOOKUP($F104,BudgetPB,IF($E104="SO",2,3),FALSE)+(geg!U80+geg!U83)*tab!$H$220+(geg!U84+geg!U85)*tab!$G$220)</f>
        <v>190313.37</v>
      </c>
      <c r="N104" s="136"/>
      <c r="O104" s="97"/>
    </row>
    <row r="105" spans="2:15">
      <c r="B105" s="92"/>
      <c r="C105" s="131"/>
      <c r="D105" s="292" t="str">
        <f>+geg!C90</f>
        <v>2.</v>
      </c>
      <c r="E105" s="155">
        <f>+geg!D90</f>
        <v>0</v>
      </c>
      <c r="F105" s="155">
        <f>+geg!E90</f>
        <v>0</v>
      </c>
      <c r="G105" s="135"/>
      <c r="H105" s="133"/>
      <c r="I105" s="308">
        <f>IF($E105=0,0,+(geg!I93+geg!I95)*VLOOKUP($F105,BudgetPB,IF($E105="SO",2,3),FALSE)+(geg!I94+geg!I97)*tab!$H$220+(geg!I98+geg!I99)*tab!$G$220)</f>
        <v>0</v>
      </c>
      <c r="J105" s="308">
        <f>IF($E105=0,0,+(geg!L93+geg!L95)*VLOOKUP($F105,BudgetPB,IF($E105="SO",2,3),FALSE)+(geg!L94+geg!L97)*tab!$H$220+(geg!L98+geg!L99)*tab!$G$220)</f>
        <v>0</v>
      </c>
      <c r="K105" s="308">
        <f>IF($E105=0,0,+(geg!O93+geg!O95)*VLOOKUP($F105,BudgetPB,IF($E105="SO",2,3),FALSE)+(geg!O94+geg!O97)*tab!$H$220+(geg!O98+geg!O99)*tab!$G$220)</f>
        <v>0</v>
      </c>
      <c r="L105" s="308">
        <f>IF($E105=0,0,+(geg!R93+geg!R95)*VLOOKUP($F105,BudgetPB,IF($E105="SO",2,3),FALSE)+(geg!R94+geg!R97)*tab!$H$220+(geg!R98+geg!R99)*tab!$G$220)</f>
        <v>0</v>
      </c>
      <c r="M105" s="308">
        <f>IF($E105=0,0,+(geg!U93+geg!U95)*VLOOKUP($F105,BudgetPB,IF($E105="SO",2,3),FALSE)+(geg!U94+geg!U97)*tab!$H$220+(geg!U98+geg!U99)*tab!$G$220)</f>
        <v>0</v>
      </c>
      <c r="N105" s="136"/>
      <c r="O105" s="97"/>
    </row>
    <row r="106" spans="2:15">
      <c r="B106" s="92"/>
      <c r="C106" s="131"/>
      <c r="D106" s="292" t="str">
        <f>+geg!C107</f>
        <v>3.</v>
      </c>
      <c r="E106" s="155">
        <f>+geg!D107</f>
        <v>0</v>
      </c>
      <c r="F106" s="155">
        <f>+geg!E107</f>
        <v>0</v>
      </c>
      <c r="G106" s="135"/>
      <c r="H106" s="133"/>
      <c r="I106" s="308">
        <f>IF($E106=0,0,+(geg!I110+geg!I112)*VLOOKUP($F106,BudgetPB,IF($E106="SO",2,3),FALSE)+(geg!I111+geg!I114)*tab!$H$220+(geg!I115+geg!I116)*tab!$G$220)</f>
        <v>0</v>
      </c>
      <c r="J106" s="308">
        <f>IF($E106=0,0,+(geg!L110+geg!L112)*VLOOKUP($F106,BudgetPB,IF($E106="SO",2,3),FALSE)+(geg!L111+geg!L114)*tab!$H$220+(geg!L115+geg!L116)*tab!$G$220)</f>
        <v>0</v>
      </c>
      <c r="K106" s="308">
        <f>IF($E106=0,0,+(geg!O110+geg!O112)*VLOOKUP($F106,BudgetPB,IF($E106="SO",2,3),FALSE)+(geg!O111+geg!O114)*tab!$H$220+(geg!O115+geg!O116)*tab!$G$220)</f>
        <v>0</v>
      </c>
      <c r="L106" s="308">
        <f>IF($E106=0,0,+(geg!R110+geg!R112)*VLOOKUP($F106,BudgetPB,IF($E106="SO",2,3),FALSE)+(geg!R111+geg!R114)*tab!$H$220+(geg!R115+geg!R116)*tab!$G$220)</f>
        <v>0</v>
      </c>
      <c r="M106" s="308">
        <f>IF($E106=0,0,+(geg!U110+geg!U112)*VLOOKUP($F106,BudgetPB,IF($E106="SO",2,3),FALSE)+(geg!U111+geg!U114)*tab!$H$220+(geg!U115+geg!U116)*tab!$G$220)</f>
        <v>0</v>
      </c>
      <c r="N106" s="136"/>
      <c r="O106" s="97"/>
    </row>
    <row r="107" spans="2:15">
      <c r="B107" s="92"/>
      <c r="C107" s="131"/>
      <c r="D107" s="292"/>
      <c r="E107" s="155"/>
      <c r="F107" s="155"/>
      <c r="G107" s="135"/>
      <c r="H107" s="133"/>
      <c r="I107" s="133"/>
      <c r="J107" s="133"/>
      <c r="K107" s="133"/>
      <c r="L107" s="133"/>
      <c r="M107" s="133"/>
      <c r="N107" s="136"/>
      <c r="O107" s="97"/>
    </row>
    <row r="108" spans="2:15">
      <c r="B108" s="92"/>
      <c r="C108" s="151"/>
      <c r="D108" s="155" t="s">
        <v>593</v>
      </c>
      <c r="E108" s="133"/>
      <c r="F108" s="133"/>
      <c r="G108" s="133"/>
      <c r="H108" s="133"/>
      <c r="I108" s="308">
        <f>(rugzak!K9+rugzak!K31+rugzak!K65+rugzak!K87)*(tab!G220)</f>
        <v>0</v>
      </c>
      <c r="J108" s="308">
        <f>(+rugzak!K27+rugzak!K49+rugzak!K83+rugzak!K105)*(tab!G220)</f>
        <v>0</v>
      </c>
      <c r="K108" s="308">
        <f>(+rugzak!K136+rugzak!K157+rugzak!K188+rugzak!K209)*(tab!G220)</f>
        <v>0</v>
      </c>
      <c r="L108" s="308">
        <f>+K108</f>
        <v>0</v>
      </c>
      <c r="M108" s="308">
        <f>+L108</f>
        <v>0</v>
      </c>
      <c r="N108" s="136"/>
      <c r="O108" s="97"/>
    </row>
    <row r="109" spans="2:15">
      <c r="B109" s="92"/>
      <c r="C109" s="151"/>
      <c r="D109" s="155"/>
      <c r="E109" s="133"/>
      <c r="F109" s="133"/>
      <c r="G109" s="133"/>
      <c r="H109" s="133"/>
      <c r="I109" s="133"/>
      <c r="J109" s="133"/>
      <c r="K109" s="133"/>
      <c r="L109" s="133"/>
      <c r="M109" s="133"/>
      <c r="N109" s="136"/>
      <c r="O109" s="97"/>
    </row>
    <row r="110" spans="2:15">
      <c r="B110" s="92"/>
      <c r="C110" s="131"/>
      <c r="D110" s="296"/>
      <c r="E110" s="133"/>
      <c r="F110" s="133"/>
      <c r="G110" s="135"/>
      <c r="H110" s="133"/>
      <c r="I110" s="309">
        <f>SUM(I100:I108)</f>
        <v>190313.37</v>
      </c>
      <c r="J110" s="309">
        <f>SUM(J100:J108)</f>
        <v>190313.37</v>
      </c>
      <c r="K110" s="309">
        <f>SUM(K100:K108)</f>
        <v>190313.37</v>
      </c>
      <c r="L110" s="309">
        <f>SUM(L100:L108)</f>
        <v>190313.37</v>
      </c>
      <c r="M110" s="309">
        <f>SUM(M100:M108)</f>
        <v>190313.37</v>
      </c>
      <c r="N110" s="136"/>
      <c r="O110" s="97"/>
    </row>
    <row r="111" spans="2:15">
      <c r="B111" s="92"/>
      <c r="C111" s="141"/>
      <c r="D111" s="187"/>
      <c r="E111" s="187"/>
      <c r="F111" s="187"/>
      <c r="G111" s="187"/>
      <c r="H111" s="1057"/>
      <c r="I111" s="1058"/>
      <c r="J111" s="1058"/>
      <c r="K111" s="1058"/>
      <c r="L111" s="1058"/>
      <c r="M111" s="1058"/>
      <c r="N111" s="147"/>
      <c r="O111" s="97"/>
    </row>
    <row r="112" spans="2:15">
      <c r="B112" s="92"/>
      <c r="C112" s="124"/>
      <c r="D112" s="65"/>
      <c r="G112" s="65"/>
      <c r="N112" s="130"/>
      <c r="O112" s="97"/>
    </row>
    <row r="113" spans="2:15">
      <c r="B113" s="92"/>
      <c r="C113" s="131"/>
      <c r="D113" s="138" t="s">
        <v>662</v>
      </c>
      <c r="E113" s="133"/>
      <c r="F113" s="133"/>
      <c r="G113" s="133"/>
      <c r="H113" s="133"/>
      <c r="I113" s="290"/>
      <c r="J113" s="290"/>
      <c r="K113" s="290"/>
      <c r="L113" s="290"/>
      <c r="M113" s="290"/>
      <c r="N113" s="136"/>
      <c r="O113" s="97"/>
    </row>
    <row r="114" spans="2:15">
      <c r="B114" s="92"/>
      <c r="C114" s="131"/>
      <c r="D114" s="133" t="s">
        <v>251</v>
      </c>
      <c r="E114" s="133"/>
      <c r="F114" s="133"/>
      <c r="G114" s="135"/>
      <c r="H114" s="133"/>
      <c r="I114" s="308">
        <f>IF((geg!L148-IF((geg!J153-geg!I153)&gt;geg!$I17/2,geg!J153,geg!I153))&gt;geg!$I17,(pers!Z80-pers!I80)*7/12,0)</f>
        <v>0</v>
      </c>
      <c r="J114" s="308">
        <f>IF((geg!O148-IF((geg!M153-geg!L153)&gt;geg!$I17/2,geg!M153,geg!L153))&gt;geg!$I17,(pers!AA80-pers!J80)*7/12,0)</f>
        <v>0</v>
      </c>
      <c r="K114" s="308">
        <f>IF((geg!R148-IF((geg!P153-geg!O153)&gt;geg!$I17/2,geg!P153,geg!O153))&gt;geg!$I17,(pers!L79-pers!K79)*7/12,0)</f>
        <v>0</v>
      </c>
      <c r="L114" s="308">
        <f>IF((geg!U148-IF((geg!S153-geg!R153)&gt;geg!$I17/2,geg!S153,geg!R153))&gt;geg!$I17,(pers!M79-pers!L79)*7/12,0)</f>
        <v>0</v>
      </c>
      <c r="M114" s="308">
        <v>0</v>
      </c>
      <c r="N114" s="136"/>
      <c r="O114" s="97"/>
    </row>
    <row r="115" spans="2:15">
      <c r="B115" s="92"/>
      <c r="C115" s="131"/>
      <c r="D115" s="187"/>
      <c r="E115" s="187"/>
      <c r="F115" s="187"/>
      <c r="G115" s="1057"/>
      <c r="H115" s="1058"/>
      <c r="I115" s="1058"/>
      <c r="J115" s="1058"/>
      <c r="K115" s="1058"/>
      <c r="L115" s="1058"/>
      <c r="M115" s="1058"/>
      <c r="N115" s="136"/>
      <c r="O115" s="97"/>
    </row>
    <row r="116" spans="2:15">
      <c r="B116" s="92"/>
      <c r="C116" s="131"/>
      <c r="D116" s="65"/>
      <c r="G116" s="65"/>
      <c r="N116" s="136"/>
      <c r="O116" s="97"/>
    </row>
    <row r="117" spans="2:15">
      <c r="B117" s="92"/>
      <c r="C117" s="131"/>
      <c r="D117" s="138" t="s">
        <v>681</v>
      </c>
      <c r="E117" s="133"/>
      <c r="F117" s="133"/>
      <c r="G117" s="135"/>
      <c r="H117" s="133"/>
      <c r="I117" s="290"/>
      <c r="J117" s="290"/>
      <c r="K117" s="290"/>
      <c r="L117" s="290"/>
      <c r="M117" s="290"/>
      <c r="N117" s="136"/>
      <c r="O117" s="97"/>
    </row>
    <row r="118" spans="2:15">
      <c r="B118" s="92"/>
      <c r="C118" s="131"/>
      <c r="D118" s="133" t="s">
        <v>682</v>
      </c>
      <c r="E118" s="133"/>
      <c r="F118" s="133"/>
      <c r="G118" s="135"/>
      <c r="H118" s="133"/>
      <c r="I118" s="310">
        <v>0</v>
      </c>
      <c r="J118" s="310">
        <f>+I118</f>
        <v>0</v>
      </c>
      <c r="K118" s="310">
        <f>+J118</f>
        <v>0</v>
      </c>
      <c r="L118" s="310">
        <f>+K118</f>
        <v>0</v>
      </c>
      <c r="M118" s="310">
        <f>+L118</f>
        <v>0</v>
      </c>
      <c r="N118" s="136"/>
      <c r="O118" s="97"/>
    </row>
    <row r="119" spans="2:15">
      <c r="B119" s="92"/>
      <c r="C119" s="131"/>
      <c r="D119" s="133" t="s">
        <v>683</v>
      </c>
      <c r="E119" s="133"/>
      <c r="F119" s="133"/>
      <c r="G119" s="133"/>
      <c r="H119" s="133"/>
      <c r="I119" s="310">
        <v>0</v>
      </c>
      <c r="J119" s="310">
        <f>+I119</f>
        <v>0</v>
      </c>
      <c r="K119" s="310">
        <f t="shared" ref="K119:M120" si="6">+J119</f>
        <v>0</v>
      </c>
      <c r="L119" s="310">
        <f t="shared" si="6"/>
        <v>0</v>
      </c>
      <c r="M119" s="310">
        <f t="shared" si="6"/>
        <v>0</v>
      </c>
      <c r="N119" s="136"/>
      <c r="O119" s="97"/>
    </row>
    <row r="120" spans="2:15">
      <c r="B120" s="92"/>
      <c r="C120" s="131"/>
      <c r="D120" s="133" t="s">
        <v>684</v>
      </c>
      <c r="E120" s="133"/>
      <c r="F120" s="133"/>
      <c r="G120" s="315"/>
      <c r="H120" s="133"/>
      <c r="I120" s="310">
        <v>0</v>
      </c>
      <c r="J120" s="310">
        <f>+I120</f>
        <v>0</v>
      </c>
      <c r="K120" s="310">
        <f t="shared" si="6"/>
        <v>0</v>
      </c>
      <c r="L120" s="310">
        <f t="shared" si="6"/>
        <v>0</v>
      </c>
      <c r="M120" s="310">
        <f t="shared" si="6"/>
        <v>0</v>
      </c>
      <c r="N120" s="136"/>
      <c r="O120" s="97"/>
    </row>
    <row r="121" spans="2:15">
      <c r="B121" s="92"/>
      <c r="C121" s="131"/>
      <c r="D121" s="133" t="s">
        <v>685</v>
      </c>
      <c r="E121" s="133"/>
      <c r="F121" s="133"/>
      <c r="G121" s="135"/>
      <c r="H121" s="133"/>
      <c r="I121" s="310">
        <v>0</v>
      </c>
      <c r="J121" s="310">
        <f>+I121</f>
        <v>0</v>
      </c>
      <c r="K121" s="310">
        <f t="shared" ref="K121:M122" si="7">+J121</f>
        <v>0</v>
      </c>
      <c r="L121" s="310">
        <f t="shared" si="7"/>
        <v>0</v>
      </c>
      <c r="M121" s="310">
        <f t="shared" si="7"/>
        <v>0</v>
      </c>
      <c r="N121" s="136"/>
      <c r="O121" s="97"/>
    </row>
    <row r="122" spans="2:15">
      <c r="B122" s="92"/>
      <c r="C122" s="131"/>
      <c r="D122" s="133" t="s">
        <v>545</v>
      </c>
      <c r="E122" s="133"/>
      <c r="F122" s="133"/>
      <c r="G122" s="135"/>
      <c r="H122" s="133"/>
      <c r="I122" s="310">
        <v>0</v>
      </c>
      <c r="J122" s="310">
        <f>+I122</f>
        <v>0</v>
      </c>
      <c r="K122" s="310">
        <f t="shared" si="7"/>
        <v>0</v>
      </c>
      <c r="L122" s="310">
        <f t="shared" si="7"/>
        <v>0</v>
      </c>
      <c r="M122" s="310">
        <f t="shared" si="7"/>
        <v>0</v>
      </c>
      <c r="N122" s="136"/>
      <c r="O122" s="97"/>
    </row>
    <row r="123" spans="2:15">
      <c r="B123" s="92"/>
      <c r="C123" s="131"/>
      <c r="D123" s="133"/>
      <c r="E123" s="133"/>
      <c r="F123" s="133"/>
      <c r="G123" s="135"/>
      <c r="H123" s="133"/>
      <c r="I123" s="346">
        <f>SUM(I118:I122)</f>
        <v>0</v>
      </c>
      <c r="J123" s="346">
        <f>SUM(J118:J122)</f>
        <v>0</v>
      </c>
      <c r="K123" s="346">
        <f>SUM(K118:K122)</f>
        <v>0</v>
      </c>
      <c r="L123" s="346">
        <f>SUM(L118:L122)</f>
        <v>0</v>
      </c>
      <c r="M123" s="346">
        <f>SUM(M118:M122)</f>
        <v>0</v>
      </c>
      <c r="N123" s="136"/>
      <c r="O123" s="97"/>
    </row>
    <row r="124" spans="2:15">
      <c r="B124" s="92"/>
      <c r="C124" s="131"/>
      <c r="D124" s="187"/>
      <c r="E124" s="187"/>
      <c r="F124" s="187"/>
      <c r="G124" s="187"/>
      <c r="H124" s="1057"/>
      <c r="I124" s="1058"/>
      <c r="J124" s="1058"/>
      <c r="K124" s="1058"/>
      <c r="L124" s="1058"/>
      <c r="M124" s="1058"/>
      <c r="N124" s="136"/>
      <c r="O124" s="97"/>
    </row>
    <row r="125" spans="2:15">
      <c r="B125" s="92"/>
      <c r="C125" s="131"/>
      <c r="D125" s="65"/>
      <c r="G125" s="65"/>
      <c r="N125" s="136"/>
      <c r="O125" s="97"/>
    </row>
    <row r="126" spans="2:15">
      <c r="B126" s="92"/>
      <c r="C126" s="131"/>
      <c r="D126" s="138" t="s">
        <v>696</v>
      </c>
      <c r="E126" s="133"/>
      <c r="F126" s="133"/>
      <c r="G126" s="133"/>
      <c r="H126" s="133"/>
      <c r="I126" s="316"/>
      <c r="J126" s="316"/>
      <c r="K126" s="316"/>
      <c r="L126" s="316"/>
      <c r="M126" s="316"/>
      <c r="N126" s="136"/>
      <c r="O126" s="97"/>
    </row>
    <row r="127" spans="2:15">
      <c r="B127" s="92"/>
      <c r="C127" s="131"/>
      <c r="D127" s="136" t="s">
        <v>833</v>
      </c>
      <c r="E127" s="1071"/>
      <c r="F127" s="1071"/>
      <c r="G127" s="131"/>
      <c r="H127" s="133"/>
      <c r="I127" s="1094">
        <f>tab!D105+(tab!D104*geg!I153)</f>
        <v>27513.99</v>
      </c>
      <c r="J127" s="1094">
        <f>tab!D105+(tab!D104*geg!L153)</f>
        <v>27513.99</v>
      </c>
      <c r="K127" s="1094">
        <f>tab!D105+(tab!D104*geg!O157)</f>
        <v>27513.99</v>
      </c>
      <c r="L127" s="1094">
        <f t="shared" ref="L127" si="8">+K127</f>
        <v>27513.99</v>
      </c>
      <c r="M127" s="1094">
        <f t="shared" ref="M127" si="9">+L127</f>
        <v>27513.99</v>
      </c>
      <c r="N127" s="136"/>
      <c r="O127" s="97"/>
    </row>
    <row r="128" spans="2:15">
      <c r="B128" s="92"/>
      <c r="C128" s="131"/>
      <c r="D128" s="160" t="s">
        <v>540</v>
      </c>
      <c r="E128" s="722"/>
      <c r="F128" s="722"/>
      <c r="G128" s="723"/>
      <c r="H128" s="133"/>
      <c r="I128" s="313">
        <v>0</v>
      </c>
      <c r="J128" s="313">
        <f>+I128</f>
        <v>0</v>
      </c>
      <c r="K128" s="313">
        <f>+J128</f>
        <v>0</v>
      </c>
      <c r="L128" s="313">
        <f t="shared" ref="K128:M129" si="10">+K128</f>
        <v>0</v>
      </c>
      <c r="M128" s="313">
        <f t="shared" si="10"/>
        <v>0</v>
      </c>
      <c r="N128" s="136"/>
      <c r="O128" s="97"/>
    </row>
    <row r="129" spans="2:27">
      <c r="B129" s="92"/>
      <c r="C129" s="131"/>
      <c r="D129" s="160" t="s">
        <v>510</v>
      </c>
      <c r="E129" s="149"/>
      <c r="F129" s="149"/>
      <c r="G129" s="149"/>
      <c r="H129" s="133"/>
      <c r="I129" s="313">
        <v>0</v>
      </c>
      <c r="J129" s="313">
        <f>+I129</f>
        <v>0</v>
      </c>
      <c r="K129" s="313">
        <f t="shared" si="10"/>
        <v>0</v>
      </c>
      <c r="L129" s="313">
        <f t="shared" si="10"/>
        <v>0</v>
      </c>
      <c r="M129" s="313">
        <f t="shared" si="10"/>
        <v>0</v>
      </c>
      <c r="N129" s="136"/>
      <c r="O129" s="97"/>
    </row>
    <row r="130" spans="2:27">
      <c r="B130" s="92"/>
      <c r="C130" s="131"/>
      <c r="D130" s="338"/>
      <c r="E130" s="339"/>
      <c r="F130" s="339"/>
      <c r="G130" s="340"/>
      <c r="H130" s="133"/>
      <c r="I130" s="313">
        <v>0</v>
      </c>
      <c r="J130" s="313">
        <f>+I130</f>
        <v>0</v>
      </c>
      <c r="K130" s="313">
        <f t="shared" ref="K130:M131" si="11">+J130</f>
        <v>0</v>
      </c>
      <c r="L130" s="313">
        <f t="shared" si="11"/>
        <v>0</v>
      </c>
      <c r="M130" s="313">
        <f t="shared" si="11"/>
        <v>0</v>
      </c>
      <c r="N130" s="136"/>
      <c r="O130" s="97"/>
    </row>
    <row r="131" spans="2:27">
      <c r="B131" s="92"/>
      <c r="C131" s="131"/>
      <c r="D131" s="338"/>
      <c r="E131" s="339"/>
      <c r="F131" s="339"/>
      <c r="G131" s="340"/>
      <c r="H131" s="133"/>
      <c r="I131" s="313">
        <v>0</v>
      </c>
      <c r="J131" s="313">
        <f>+I131</f>
        <v>0</v>
      </c>
      <c r="K131" s="313">
        <f t="shared" si="11"/>
        <v>0</v>
      </c>
      <c r="L131" s="313">
        <f t="shared" si="11"/>
        <v>0</v>
      </c>
      <c r="M131" s="313">
        <f t="shared" si="11"/>
        <v>0</v>
      </c>
      <c r="N131" s="136"/>
      <c r="O131" s="97"/>
    </row>
    <row r="132" spans="2:27">
      <c r="B132" s="92"/>
      <c r="C132" s="131"/>
      <c r="D132" s="338"/>
      <c r="E132" s="339"/>
      <c r="F132" s="339"/>
      <c r="G132" s="340"/>
      <c r="H132" s="133"/>
      <c r="I132" s="313">
        <v>0</v>
      </c>
      <c r="J132" s="313">
        <v>0</v>
      </c>
      <c r="K132" s="313">
        <v>0</v>
      </c>
      <c r="L132" s="313">
        <v>0</v>
      </c>
      <c r="M132" s="313">
        <v>0</v>
      </c>
      <c r="N132" s="136"/>
      <c r="O132" s="97"/>
    </row>
    <row r="133" spans="2:27" s="256" customFormat="1">
      <c r="B133" s="269"/>
      <c r="C133" s="317"/>
      <c r="D133" s="135"/>
      <c r="E133" s="135"/>
      <c r="F133" s="135"/>
      <c r="G133" s="135"/>
      <c r="H133" s="213"/>
      <c r="I133" s="346">
        <f>SUM(I127:I132)</f>
        <v>27513.99</v>
      </c>
      <c r="J133" s="346">
        <f>SUM(J127:J132)</f>
        <v>27513.99</v>
      </c>
      <c r="K133" s="346">
        <f>SUM(K127:K132)</f>
        <v>27513.99</v>
      </c>
      <c r="L133" s="346">
        <f>SUM(L127:L132)</f>
        <v>27513.99</v>
      </c>
      <c r="M133" s="346">
        <f>SUM(M127:M132)</f>
        <v>27513.99</v>
      </c>
      <c r="N133" s="318"/>
      <c r="O133" s="270"/>
      <c r="Z133" s="1040"/>
      <c r="AA133" s="1041"/>
    </row>
    <row r="134" spans="2:27" s="256" customFormat="1">
      <c r="B134" s="269"/>
      <c r="C134" s="317"/>
      <c r="D134" s="187"/>
      <c r="E134" s="187"/>
      <c r="F134" s="187"/>
      <c r="G134" s="187"/>
      <c r="H134" s="1057"/>
      <c r="I134" s="1058"/>
      <c r="J134" s="1058"/>
      <c r="K134" s="1059"/>
      <c r="L134" s="1059"/>
      <c r="M134" s="1059"/>
      <c r="N134" s="318"/>
      <c r="O134" s="270"/>
      <c r="Z134" s="1040"/>
      <c r="AA134" s="1041"/>
    </row>
    <row r="135" spans="2:27" s="256" customFormat="1">
      <c r="B135" s="269"/>
      <c r="C135" s="317"/>
      <c r="D135" s="129"/>
      <c r="E135" s="129"/>
      <c r="F135" s="129"/>
      <c r="G135" s="129"/>
      <c r="H135" s="815"/>
      <c r="I135" s="1055"/>
      <c r="J135" s="1055"/>
      <c r="K135" s="1056"/>
      <c r="L135" s="1056"/>
      <c r="M135" s="1056"/>
      <c r="N135" s="318"/>
      <c r="O135" s="270"/>
      <c r="Z135" s="1040"/>
      <c r="AA135" s="1041"/>
    </row>
    <row r="136" spans="2:27">
      <c r="B136" s="92"/>
      <c r="C136" s="131"/>
      <c r="D136" s="319" t="s">
        <v>697</v>
      </c>
      <c r="E136" s="133"/>
      <c r="F136" s="133"/>
      <c r="G136" s="138"/>
      <c r="H136" s="133"/>
      <c r="I136" s="316"/>
      <c r="J136" s="316"/>
      <c r="K136" s="316"/>
      <c r="L136" s="316"/>
      <c r="M136" s="316"/>
      <c r="N136" s="136"/>
      <c r="O136" s="97"/>
    </row>
    <row r="137" spans="2:27">
      <c r="B137" s="92"/>
      <c r="C137" s="131"/>
      <c r="D137" s="292" t="s">
        <v>698</v>
      </c>
      <c r="E137" s="133"/>
      <c r="F137" s="133"/>
      <c r="G137" s="135"/>
      <c r="H137" s="133"/>
      <c r="I137" s="316"/>
      <c r="J137" s="316"/>
      <c r="K137" s="316"/>
      <c r="L137" s="316"/>
      <c r="M137" s="316"/>
      <c r="N137" s="136"/>
      <c r="O137" s="97"/>
    </row>
    <row r="138" spans="2:27">
      <c r="B138" s="92"/>
      <c r="C138" s="131"/>
      <c r="D138" s="338"/>
      <c r="E138" s="339"/>
      <c r="F138" s="339"/>
      <c r="G138" s="340"/>
      <c r="H138" s="133"/>
      <c r="I138" s="314">
        <v>0</v>
      </c>
      <c r="J138" s="314">
        <f t="shared" ref="J138:M142" si="12">I138</f>
        <v>0</v>
      </c>
      <c r="K138" s="314">
        <f t="shared" si="12"/>
        <v>0</v>
      </c>
      <c r="L138" s="314">
        <f t="shared" si="12"/>
        <v>0</v>
      </c>
      <c r="M138" s="314">
        <f t="shared" si="12"/>
        <v>0</v>
      </c>
      <c r="N138" s="136"/>
      <c r="O138" s="97"/>
    </row>
    <row r="139" spans="2:27">
      <c r="B139" s="92"/>
      <c r="C139" s="131"/>
      <c r="D139" s="338"/>
      <c r="E139" s="339"/>
      <c r="F139" s="339"/>
      <c r="G139" s="340"/>
      <c r="H139" s="133"/>
      <c r="I139" s="314">
        <v>0</v>
      </c>
      <c r="J139" s="314">
        <f t="shared" si="12"/>
        <v>0</v>
      </c>
      <c r="K139" s="314">
        <f t="shared" si="12"/>
        <v>0</v>
      </c>
      <c r="L139" s="314">
        <f t="shared" si="12"/>
        <v>0</v>
      </c>
      <c r="M139" s="314">
        <f t="shared" si="12"/>
        <v>0</v>
      </c>
      <c r="N139" s="136"/>
      <c r="O139" s="97"/>
    </row>
    <row r="140" spans="2:27">
      <c r="B140" s="92"/>
      <c r="C140" s="131"/>
      <c r="D140" s="338"/>
      <c r="E140" s="339"/>
      <c r="F140" s="339"/>
      <c r="G140" s="340"/>
      <c r="H140" s="133"/>
      <c r="I140" s="314">
        <v>0</v>
      </c>
      <c r="J140" s="314">
        <f t="shared" si="12"/>
        <v>0</v>
      </c>
      <c r="K140" s="314">
        <f t="shared" si="12"/>
        <v>0</v>
      </c>
      <c r="L140" s="314">
        <f t="shared" si="12"/>
        <v>0</v>
      </c>
      <c r="M140" s="314">
        <f t="shared" si="12"/>
        <v>0</v>
      </c>
      <c r="N140" s="136"/>
      <c r="O140" s="97"/>
    </row>
    <row r="141" spans="2:27">
      <c r="B141" s="92"/>
      <c r="C141" s="131"/>
      <c r="D141" s="338"/>
      <c r="E141" s="339"/>
      <c r="F141" s="339"/>
      <c r="G141" s="340"/>
      <c r="H141" s="133"/>
      <c r="I141" s="314">
        <v>0</v>
      </c>
      <c r="J141" s="314">
        <f t="shared" si="12"/>
        <v>0</v>
      </c>
      <c r="K141" s="314">
        <f t="shared" si="12"/>
        <v>0</v>
      </c>
      <c r="L141" s="314">
        <f t="shared" si="12"/>
        <v>0</v>
      </c>
      <c r="M141" s="314">
        <f t="shared" si="12"/>
        <v>0</v>
      </c>
      <c r="N141" s="136"/>
      <c r="O141" s="97"/>
    </row>
    <row r="142" spans="2:27">
      <c r="B142" s="92"/>
      <c r="C142" s="131"/>
      <c r="D142" s="338"/>
      <c r="E142" s="339"/>
      <c r="F142" s="339"/>
      <c r="G142" s="340"/>
      <c r="H142" s="133"/>
      <c r="I142" s="314">
        <v>0</v>
      </c>
      <c r="J142" s="314">
        <f t="shared" si="12"/>
        <v>0</v>
      </c>
      <c r="K142" s="314">
        <f t="shared" si="12"/>
        <v>0</v>
      </c>
      <c r="L142" s="314">
        <f t="shared" si="12"/>
        <v>0</v>
      </c>
      <c r="M142" s="314">
        <f t="shared" si="12"/>
        <v>0</v>
      </c>
      <c r="N142" s="136"/>
      <c r="O142" s="97"/>
    </row>
    <row r="143" spans="2:27">
      <c r="B143" s="92"/>
      <c r="C143" s="131"/>
      <c r="D143" s="155"/>
      <c r="E143" s="133"/>
      <c r="F143" s="133"/>
      <c r="G143" s="135"/>
      <c r="H143" s="133"/>
      <c r="I143" s="346">
        <f>SUM(I138:I142)</f>
        <v>0</v>
      </c>
      <c r="J143" s="346">
        <f>SUM(J138:J142)</f>
        <v>0</v>
      </c>
      <c r="K143" s="346">
        <f>SUM(K138:K142)</f>
        <v>0</v>
      </c>
      <c r="L143" s="346">
        <f>SUM(L138:L142)</f>
        <v>0</v>
      </c>
      <c r="M143" s="346">
        <f>SUM(M138:M142)</f>
        <v>0</v>
      </c>
      <c r="N143" s="136"/>
      <c r="O143" s="97"/>
    </row>
    <row r="144" spans="2:27">
      <c r="B144" s="92"/>
      <c r="C144" s="131"/>
      <c r="D144" s="213" t="s">
        <v>699</v>
      </c>
      <c r="E144" s="133"/>
      <c r="F144" s="133"/>
      <c r="G144" s="135"/>
      <c r="H144" s="133"/>
      <c r="I144" s="320"/>
      <c r="J144" s="320"/>
      <c r="K144" s="320"/>
      <c r="L144" s="320"/>
      <c r="M144" s="320"/>
      <c r="N144" s="136"/>
      <c r="O144" s="97"/>
    </row>
    <row r="145" spans="2:27">
      <c r="B145" s="92"/>
      <c r="C145" s="131"/>
      <c r="D145" s="338"/>
      <c r="E145" s="339"/>
      <c r="F145" s="339"/>
      <c r="G145" s="340"/>
      <c r="H145" s="133"/>
      <c r="I145" s="314">
        <v>0</v>
      </c>
      <c r="J145" s="314">
        <f t="shared" ref="J145:M149" si="13">I145</f>
        <v>0</v>
      </c>
      <c r="K145" s="314">
        <f t="shared" si="13"/>
        <v>0</v>
      </c>
      <c r="L145" s="314">
        <f t="shared" si="13"/>
        <v>0</v>
      </c>
      <c r="M145" s="314">
        <f t="shared" si="13"/>
        <v>0</v>
      </c>
      <c r="N145" s="136"/>
      <c r="O145" s="97"/>
    </row>
    <row r="146" spans="2:27">
      <c r="B146" s="92"/>
      <c r="C146" s="131"/>
      <c r="D146" s="338"/>
      <c r="E146" s="339"/>
      <c r="F146" s="339"/>
      <c r="G146" s="340"/>
      <c r="H146" s="133"/>
      <c r="I146" s="314">
        <v>0</v>
      </c>
      <c r="J146" s="314">
        <f t="shared" si="13"/>
        <v>0</v>
      </c>
      <c r="K146" s="314">
        <f t="shared" si="13"/>
        <v>0</v>
      </c>
      <c r="L146" s="314">
        <f t="shared" si="13"/>
        <v>0</v>
      </c>
      <c r="M146" s="314">
        <f t="shared" si="13"/>
        <v>0</v>
      </c>
      <c r="N146" s="136"/>
      <c r="O146" s="97"/>
    </row>
    <row r="147" spans="2:27">
      <c r="B147" s="92"/>
      <c r="C147" s="131"/>
      <c r="D147" s="338"/>
      <c r="E147" s="339"/>
      <c r="F147" s="339"/>
      <c r="G147" s="340"/>
      <c r="H147" s="133"/>
      <c r="I147" s="314">
        <v>0</v>
      </c>
      <c r="J147" s="314">
        <f t="shared" si="13"/>
        <v>0</v>
      </c>
      <c r="K147" s="314">
        <f t="shared" si="13"/>
        <v>0</v>
      </c>
      <c r="L147" s="314">
        <f t="shared" si="13"/>
        <v>0</v>
      </c>
      <c r="M147" s="314">
        <f t="shared" si="13"/>
        <v>0</v>
      </c>
      <c r="N147" s="136"/>
      <c r="O147" s="97"/>
    </row>
    <row r="148" spans="2:27">
      <c r="B148" s="92"/>
      <c r="C148" s="131"/>
      <c r="D148" s="338"/>
      <c r="E148" s="339"/>
      <c r="F148" s="339"/>
      <c r="G148" s="340"/>
      <c r="H148" s="133"/>
      <c r="I148" s="314">
        <v>0</v>
      </c>
      <c r="J148" s="314">
        <f t="shared" si="13"/>
        <v>0</v>
      </c>
      <c r="K148" s="314">
        <f t="shared" si="13"/>
        <v>0</v>
      </c>
      <c r="L148" s="314">
        <f t="shared" si="13"/>
        <v>0</v>
      </c>
      <c r="M148" s="314">
        <f t="shared" si="13"/>
        <v>0</v>
      </c>
      <c r="N148" s="136"/>
      <c r="O148" s="97"/>
    </row>
    <row r="149" spans="2:27">
      <c r="B149" s="92"/>
      <c r="C149" s="131"/>
      <c r="D149" s="338"/>
      <c r="E149" s="339"/>
      <c r="F149" s="339"/>
      <c r="G149" s="340"/>
      <c r="H149" s="133"/>
      <c r="I149" s="314">
        <v>0</v>
      </c>
      <c r="J149" s="314">
        <f t="shared" si="13"/>
        <v>0</v>
      </c>
      <c r="K149" s="314">
        <f t="shared" si="13"/>
        <v>0</v>
      </c>
      <c r="L149" s="314">
        <f t="shared" si="13"/>
        <v>0</v>
      </c>
      <c r="M149" s="314">
        <f t="shared" si="13"/>
        <v>0</v>
      </c>
      <c r="N149" s="136"/>
      <c r="O149" s="97"/>
    </row>
    <row r="150" spans="2:27">
      <c r="B150" s="92"/>
      <c r="C150" s="131"/>
      <c r="D150" s="321"/>
      <c r="E150" s="133"/>
      <c r="F150" s="133"/>
      <c r="G150" s="135"/>
      <c r="H150" s="133"/>
      <c r="I150" s="346">
        <f>SUM(I146:I149)</f>
        <v>0</v>
      </c>
      <c r="J150" s="346">
        <f>SUM(J146:J149)</f>
        <v>0</v>
      </c>
      <c r="K150" s="346">
        <f>SUM(K146:K149)</f>
        <v>0</v>
      </c>
      <c r="L150" s="346">
        <f>SUM(L146:L149)</f>
        <v>0</v>
      </c>
      <c r="M150" s="346">
        <f>SUM(M146:M149)</f>
        <v>0</v>
      </c>
      <c r="N150" s="136"/>
      <c r="O150" s="97"/>
    </row>
    <row r="151" spans="2:27">
      <c r="B151" s="92"/>
      <c r="C151" s="131"/>
      <c r="D151" s="133"/>
      <c r="E151" s="133"/>
      <c r="F151" s="133"/>
      <c r="G151" s="135"/>
      <c r="H151" s="133"/>
      <c r="I151" s="316"/>
      <c r="J151" s="316"/>
      <c r="K151" s="316"/>
      <c r="L151" s="316"/>
      <c r="M151" s="316"/>
      <c r="N151" s="136"/>
      <c r="O151" s="97"/>
    </row>
    <row r="152" spans="2:27" s="256" customFormat="1">
      <c r="B152" s="269"/>
      <c r="C152" s="317"/>
      <c r="D152" s="322" t="s">
        <v>700</v>
      </c>
      <c r="E152" s="213"/>
      <c r="F152" s="213"/>
      <c r="G152" s="238"/>
      <c r="H152" s="213"/>
      <c r="I152" s="345">
        <f>I143-I150</f>
        <v>0</v>
      </c>
      <c r="J152" s="345">
        <f>J143-J150</f>
        <v>0</v>
      </c>
      <c r="K152" s="345">
        <f>K143-K150</f>
        <v>0</v>
      </c>
      <c r="L152" s="345">
        <f>L143-L150</f>
        <v>0</v>
      </c>
      <c r="M152" s="345">
        <f>M143-M150</f>
        <v>0</v>
      </c>
      <c r="N152" s="318"/>
      <c r="O152" s="270"/>
      <c r="Z152" s="1040"/>
      <c r="AA152" s="1041"/>
    </row>
    <row r="153" spans="2:27">
      <c r="B153" s="92"/>
      <c r="C153" s="131"/>
      <c r="D153" s="187"/>
      <c r="E153" s="187"/>
      <c r="F153" s="187"/>
      <c r="G153" s="187"/>
      <c r="H153" s="1057"/>
      <c r="I153" s="1058"/>
      <c r="J153" s="1058"/>
      <c r="K153" s="1059"/>
      <c r="L153" s="1059"/>
      <c r="M153" s="1059"/>
      <c r="N153" s="136"/>
      <c r="O153" s="97"/>
    </row>
    <row r="154" spans="2:27">
      <c r="B154" s="92"/>
      <c r="C154" s="131"/>
      <c r="D154" s="129"/>
      <c r="E154" s="129"/>
      <c r="F154" s="129"/>
      <c r="G154" s="129"/>
      <c r="H154" s="815"/>
      <c r="I154" s="1055"/>
      <c r="J154" s="1055"/>
      <c r="K154" s="1056"/>
      <c r="L154" s="1056"/>
      <c r="M154" s="1056"/>
      <c r="N154" s="136"/>
      <c r="O154" s="97"/>
    </row>
    <row r="155" spans="2:27">
      <c r="B155" s="92"/>
      <c r="C155" s="131"/>
      <c r="D155" s="138" t="s">
        <v>311</v>
      </c>
      <c r="E155" s="133"/>
      <c r="F155" s="133"/>
      <c r="G155" s="135"/>
      <c r="H155" s="133"/>
      <c r="I155" s="309">
        <f>I87+I110+I114+I123+I133-I152</f>
        <v>3490143.3400000003</v>
      </c>
      <c r="J155" s="309">
        <f>J87+J110+J114+J123+J133-J152</f>
        <v>3490143.3400000003</v>
      </c>
      <c r="K155" s="309">
        <f>K87+K110+K114+K123+K133-K152</f>
        <v>3490143.3400000003</v>
      </c>
      <c r="L155" s="309">
        <f>L87+L110+L114+L123+L133-L152</f>
        <v>3490143.3400000003</v>
      </c>
      <c r="M155" s="309">
        <f>M87+M110+M114+M123+M133-M152</f>
        <v>3490143.3400000003</v>
      </c>
      <c r="N155" s="136"/>
      <c r="O155" s="97"/>
    </row>
    <row r="156" spans="2:27">
      <c r="B156" s="92"/>
      <c r="C156" s="141"/>
      <c r="D156" s="144"/>
      <c r="E156" s="144"/>
      <c r="F156" s="144"/>
      <c r="G156" s="146"/>
      <c r="H156" s="144"/>
      <c r="I156" s="323"/>
      <c r="J156" s="323"/>
      <c r="K156" s="323"/>
      <c r="L156" s="323"/>
      <c r="M156" s="323"/>
      <c r="N156" s="147"/>
      <c r="O156" s="97"/>
    </row>
    <row r="157" spans="2:27">
      <c r="B157" s="92"/>
      <c r="C157" s="93"/>
      <c r="D157" s="93"/>
      <c r="E157" s="93"/>
      <c r="F157" s="93"/>
      <c r="G157" s="95"/>
      <c r="H157" s="93"/>
      <c r="I157" s="273"/>
      <c r="J157" s="273"/>
      <c r="K157" s="273"/>
      <c r="L157" s="273"/>
      <c r="M157" s="273"/>
      <c r="N157" s="93"/>
      <c r="O157" s="97"/>
    </row>
    <row r="158" spans="2:27">
      <c r="B158" s="92"/>
      <c r="C158" s="133"/>
      <c r="D158" s="133"/>
      <c r="E158" s="133"/>
      <c r="F158" s="133"/>
      <c r="G158" s="135"/>
      <c r="H158" s="133"/>
      <c r="I158" s="290"/>
      <c r="J158" s="290"/>
      <c r="K158" s="290"/>
      <c r="L158" s="290"/>
      <c r="M158" s="290"/>
      <c r="N158" s="133"/>
      <c r="O158" s="97"/>
    </row>
    <row r="159" spans="2:27">
      <c r="B159" s="92"/>
      <c r="C159" s="133"/>
      <c r="D159" s="174" t="s">
        <v>704</v>
      </c>
      <c r="E159" s="133"/>
      <c r="F159" s="133"/>
      <c r="G159" s="135"/>
      <c r="H159" s="133"/>
      <c r="I159" s="290"/>
      <c r="J159" s="290"/>
      <c r="K159" s="290"/>
      <c r="L159" s="290"/>
      <c r="M159" s="290"/>
      <c r="N159" s="133"/>
      <c r="O159" s="97"/>
    </row>
    <row r="160" spans="2:27">
      <c r="B160" s="92"/>
      <c r="C160" s="133"/>
      <c r="D160" s="133"/>
      <c r="E160" s="133"/>
      <c r="F160" s="133"/>
      <c r="G160" s="135"/>
      <c r="H160" s="133"/>
      <c r="I160" s="290"/>
      <c r="J160" s="290"/>
      <c r="K160" s="290"/>
      <c r="L160" s="290"/>
      <c r="M160" s="290"/>
      <c r="N160" s="133"/>
      <c r="O160" s="97"/>
    </row>
    <row r="161" spans="2:15">
      <c r="B161" s="92"/>
      <c r="C161" s="133"/>
      <c r="D161" s="338"/>
      <c r="E161" s="339"/>
      <c r="F161" s="339"/>
      <c r="G161" s="340"/>
      <c r="H161" s="133"/>
      <c r="I161" s="310">
        <v>0</v>
      </c>
      <c r="J161" s="310">
        <f t="shared" ref="J161:M165" si="14">+I161</f>
        <v>0</v>
      </c>
      <c r="K161" s="310">
        <f t="shared" si="14"/>
        <v>0</v>
      </c>
      <c r="L161" s="310">
        <f t="shared" si="14"/>
        <v>0</v>
      </c>
      <c r="M161" s="310">
        <f t="shared" si="14"/>
        <v>0</v>
      </c>
      <c r="N161" s="133"/>
      <c r="O161" s="97"/>
    </row>
    <row r="162" spans="2:15">
      <c r="B162" s="92"/>
      <c r="C162" s="133"/>
      <c r="D162" s="338"/>
      <c r="E162" s="339"/>
      <c r="F162" s="339"/>
      <c r="G162" s="340"/>
      <c r="H162" s="133"/>
      <c r="I162" s="310">
        <v>0</v>
      </c>
      <c r="J162" s="310">
        <f t="shared" si="14"/>
        <v>0</v>
      </c>
      <c r="K162" s="310">
        <f t="shared" si="14"/>
        <v>0</v>
      </c>
      <c r="L162" s="310">
        <f t="shared" si="14"/>
        <v>0</v>
      </c>
      <c r="M162" s="310">
        <f t="shared" si="14"/>
        <v>0</v>
      </c>
      <c r="N162" s="133"/>
      <c r="O162" s="97"/>
    </row>
    <row r="163" spans="2:15">
      <c r="B163" s="92"/>
      <c r="C163" s="133"/>
      <c r="D163" s="338"/>
      <c r="E163" s="339"/>
      <c r="F163" s="339"/>
      <c r="G163" s="340"/>
      <c r="H163" s="133"/>
      <c r="I163" s="310">
        <v>0</v>
      </c>
      <c r="J163" s="310">
        <f t="shared" si="14"/>
        <v>0</v>
      </c>
      <c r="K163" s="310">
        <f t="shared" si="14"/>
        <v>0</v>
      </c>
      <c r="L163" s="310">
        <f t="shared" si="14"/>
        <v>0</v>
      </c>
      <c r="M163" s="310">
        <f t="shared" si="14"/>
        <v>0</v>
      </c>
      <c r="N163" s="133"/>
      <c r="O163" s="97"/>
    </row>
    <row r="164" spans="2:15">
      <c r="B164" s="92"/>
      <c r="C164" s="133"/>
      <c r="D164" s="338"/>
      <c r="E164" s="339"/>
      <c r="F164" s="339"/>
      <c r="G164" s="340"/>
      <c r="H164" s="133"/>
      <c r="I164" s="310">
        <v>0</v>
      </c>
      <c r="J164" s="310">
        <f t="shared" si="14"/>
        <v>0</v>
      </c>
      <c r="K164" s="310">
        <f t="shared" si="14"/>
        <v>0</v>
      </c>
      <c r="L164" s="310">
        <f t="shared" si="14"/>
        <v>0</v>
      </c>
      <c r="M164" s="310">
        <f t="shared" si="14"/>
        <v>0</v>
      </c>
      <c r="N164" s="133"/>
      <c r="O164" s="97"/>
    </row>
    <row r="165" spans="2:15">
      <c r="B165" s="92"/>
      <c r="C165" s="133"/>
      <c r="D165" s="338"/>
      <c r="E165" s="339"/>
      <c r="F165" s="339"/>
      <c r="G165" s="340"/>
      <c r="H165" s="133"/>
      <c r="I165" s="310">
        <v>0</v>
      </c>
      <c r="J165" s="310">
        <f t="shared" si="14"/>
        <v>0</v>
      </c>
      <c r="K165" s="310">
        <f t="shared" si="14"/>
        <v>0</v>
      </c>
      <c r="L165" s="310">
        <f t="shared" si="14"/>
        <v>0</v>
      </c>
      <c r="M165" s="310">
        <f t="shared" si="14"/>
        <v>0</v>
      </c>
      <c r="N165" s="133"/>
      <c r="O165" s="97"/>
    </row>
    <row r="166" spans="2:15">
      <c r="B166" s="92"/>
      <c r="C166" s="133"/>
      <c r="D166" s="133"/>
      <c r="E166" s="133"/>
      <c r="F166" s="133"/>
      <c r="G166" s="135"/>
      <c r="H166" s="133"/>
      <c r="I166" s="290"/>
      <c r="J166" s="290"/>
      <c r="K166" s="290"/>
      <c r="L166" s="290"/>
      <c r="M166" s="290"/>
      <c r="N166" s="133"/>
      <c r="O166" s="97"/>
    </row>
    <row r="167" spans="2:15">
      <c r="B167" s="92"/>
      <c r="C167" s="133"/>
      <c r="D167" s="138" t="s">
        <v>311</v>
      </c>
      <c r="E167" s="133"/>
      <c r="F167" s="133"/>
      <c r="G167" s="139"/>
      <c r="H167" s="133"/>
      <c r="I167" s="309">
        <f>SUM(I161:I165)</f>
        <v>0</v>
      </c>
      <c r="J167" s="309">
        <f>SUM(J161:J165)</f>
        <v>0</v>
      </c>
      <c r="K167" s="309">
        <f>SUM(K161:K165)</f>
        <v>0</v>
      </c>
      <c r="L167" s="309">
        <f>SUM(L161:L165)</f>
        <v>0</v>
      </c>
      <c r="M167" s="309">
        <f>SUM(M161:M165)</f>
        <v>0</v>
      </c>
      <c r="N167" s="133"/>
      <c r="O167" s="97"/>
    </row>
    <row r="168" spans="2:15">
      <c r="B168" s="92"/>
      <c r="C168" s="133"/>
      <c r="D168" s="133"/>
      <c r="E168" s="133"/>
      <c r="F168" s="133"/>
      <c r="G168" s="135"/>
      <c r="H168" s="133"/>
      <c r="I168" s="290"/>
      <c r="J168" s="290"/>
      <c r="K168" s="290"/>
      <c r="L168" s="290"/>
      <c r="M168" s="290"/>
      <c r="N168" s="133"/>
      <c r="O168" s="97"/>
    </row>
    <row r="169" spans="2:15">
      <c r="B169" s="92"/>
      <c r="C169" s="93"/>
      <c r="D169" s="93"/>
      <c r="E169" s="93"/>
      <c r="F169" s="93"/>
      <c r="G169" s="95"/>
      <c r="H169" s="93"/>
      <c r="I169" s="273"/>
      <c r="J169" s="273"/>
      <c r="K169" s="273"/>
      <c r="L169" s="273"/>
      <c r="M169" s="273"/>
      <c r="N169" s="93"/>
      <c r="O169" s="97"/>
    </row>
    <row r="170" spans="2:15" ht="15">
      <c r="B170" s="113"/>
      <c r="C170" s="114"/>
      <c r="D170" s="275"/>
      <c r="E170" s="114"/>
      <c r="F170" s="114"/>
      <c r="G170" s="118"/>
      <c r="H170" s="114"/>
      <c r="I170" s="114"/>
      <c r="J170" s="114"/>
      <c r="K170" s="114"/>
      <c r="L170" s="114"/>
      <c r="M170" s="114"/>
      <c r="N170" s="119" t="s">
        <v>555</v>
      </c>
      <c r="O170" s="120"/>
    </row>
    <row r="171" spans="2:15">
      <c r="B171" s="87"/>
      <c r="C171" s="88"/>
      <c r="D171" s="257"/>
      <c r="E171" s="88"/>
      <c r="F171" s="88"/>
      <c r="G171" s="90"/>
      <c r="H171" s="88"/>
      <c r="I171" s="88"/>
      <c r="J171" s="88"/>
      <c r="K171" s="88"/>
      <c r="L171" s="88"/>
      <c r="M171" s="88"/>
      <c r="N171" s="88"/>
      <c r="O171" s="91"/>
    </row>
    <row r="172" spans="2:15">
      <c r="B172" s="92"/>
      <c r="C172" s="93"/>
      <c r="D172" s="258"/>
      <c r="E172" s="93"/>
      <c r="F172" s="93"/>
      <c r="G172" s="95"/>
      <c r="H172" s="93"/>
      <c r="I172" s="93"/>
      <c r="J172" s="93"/>
      <c r="K172" s="93"/>
      <c r="L172" s="93"/>
      <c r="M172" s="93"/>
      <c r="N172" s="93"/>
      <c r="O172" s="97"/>
    </row>
    <row r="173" spans="2:15">
      <c r="B173" s="92"/>
      <c r="C173" s="93"/>
      <c r="D173" s="333"/>
      <c r="E173" s="167"/>
      <c r="F173" s="167"/>
      <c r="G173" s="165"/>
      <c r="H173" s="167"/>
      <c r="I173" s="305" t="str">
        <f>I8</f>
        <v>2012/13</v>
      </c>
      <c r="J173" s="305" t="str">
        <f>J8</f>
        <v>2013/14</v>
      </c>
      <c r="K173" s="305" t="str">
        <f>K8</f>
        <v>2014/15</v>
      </c>
      <c r="L173" s="1067" t="str">
        <f>L8</f>
        <v>2015/16</v>
      </c>
      <c r="M173" s="1067" t="str">
        <f>M8</f>
        <v>2016/17</v>
      </c>
      <c r="N173" s="93"/>
      <c r="O173" s="97"/>
    </row>
    <row r="174" spans="2:15">
      <c r="B174" s="92"/>
      <c r="C174" s="93"/>
      <c r="D174" s="333"/>
      <c r="E174" s="167"/>
      <c r="F174" s="167"/>
      <c r="G174" s="165"/>
      <c r="H174" s="167"/>
      <c r="I174" s="164"/>
      <c r="J174" s="164"/>
      <c r="K174" s="164"/>
      <c r="L174" s="1069"/>
      <c r="M174" s="1069"/>
      <c r="N174" s="93"/>
      <c r="O174" s="97"/>
    </row>
    <row r="175" spans="2:15">
      <c r="B175" s="92"/>
      <c r="C175" s="133"/>
      <c r="D175" s="133"/>
      <c r="E175" s="133"/>
      <c r="F175" s="133"/>
      <c r="G175" s="135"/>
      <c r="H175" s="133"/>
      <c r="I175" s="290"/>
      <c r="J175" s="290"/>
      <c r="K175" s="290"/>
      <c r="L175" s="290"/>
      <c r="M175" s="290"/>
      <c r="N175" s="133"/>
      <c r="O175" s="97"/>
    </row>
    <row r="176" spans="2:15">
      <c r="B176" s="92"/>
      <c r="C176" s="133"/>
      <c r="D176" s="174" t="s">
        <v>595</v>
      </c>
      <c r="E176" s="133"/>
      <c r="F176" s="133"/>
      <c r="G176" s="135"/>
      <c r="H176" s="133"/>
      <c r="I176" s="290"/>
      <c r="J176" s="290"/>
      <c r="K176" s="290"/>
      <c r="L176" s="290"/>
      <c r="M176" s="290"/>
      <c r="N176" s="133"/>
      <c r="O176" s="97"/>
    </row>
    <row r="177" spans="2:15">
      <c r="B177" s="92"/>
      <c r="C177" s="133"/>
      <c r="D177" s="133"/>
      <c r="E177" s="133"/>
      <c r="F177" s="133"/>
      <c r="G177" s="135"/>
      <c r="H177" s="133"/>
      <c r="I177" s="290"/>
      <c r="J177" s="290"/>
      <c r="K177" s="290"/>
      <c r="L177" s="290"/>
      <c r="M177" s="290"/>
      <c r="N177" s="133"/>
      <c r="O177" s="97"/>
    </row>
    <row r="178" spans="2:15">
      <c r="B178" s="92"/>
      <c r="C178" s="133"/>
      <c r="D178" s="160" t="s">
        <v>709</v>
      </c>
      <c r="E178" s="722"/>
      <c r="F178" s="722"/>
      <c r="G178" s="723"/>
      <c r="H178" s="133"/>
      <c r="I178" s="310">
        <v>0</v>
      </c>
      <c r="J178" s="310">
        <f t="shared" ref="J178:J187" si="15">+I178</f>
        <v>0</v>
      </c>
      <c r="K178" s="310">
        <f t="shared" ref="K178:M183" si="16">+J178</f>
        <v>0</v>
      </c>
      <c r="L178" s="310">
        <f t="shared" si="16"/>
        <v>0</v>
      </c>
      <c r="M178" s="310">
        <f t="shared" si="16"/>
        <v>0</v>
      </c>
      <c r="N178" s="133"/>
      <c r="O178" s="97"/>
    </row>
    <row r="179" spans="2:15">
      <c r="B179" s="92"/>
      <c r="C179" s="133"/>
      <c r="D179" s="160" t="s">
        <v>234</v>
      </c>
      <c r="E179" s="722"/>
      <c r="F179" s="722"/>
      <c r="G179" s="723"/>
      <c r="H179" s="133"/>
      <c r="I179" s="310">
        <v>0</v>
      </c>
      <c r="J179" s="310">
        <f t="shared" si="15"/>
        <v>0</v>
      </c>
      <c r="K179" s="310">
        <f t="shared" ref="K179:M180" si="17">+J179</f>
        <v>0</v>
      </c>
      <c r="L179" s="310">
        <f t="shared" si="17"/>
        <v>0</v>
      </c>
      <c r="M179" s="310">
        <f t="shared" si="17"/>
        <v>0</v>
      </c>
      <c r="N179" s="133"/>
      <c r="O179" s="97"/>
    </row>
    <row r="180" spans="2:15">
      <c r="B180" s="92"/>
      <c r="C180" s="133"/>
      <c r="D180" s="160" t="s">
        <v>235</v>
      </c>
      <c r="E180" s="722"/>
      <c r="F180" s="722"/>
      <c r="G180" s="723"/>
      <c r="H180" s="133"/>
      <c r="I180" s="310">
        <v>0</v>
      </c>
      <c r="J180" s="310">
        <f t="shared" si="15"/>
        <v>0</v>
      </c>
      <c r="K180" s="310">
        <f t="shared" si="17"/>
        <v>0</v>
      </c>
      <c r="L180" s="310">
        <f t="shared" si="17"/>
        <v>0</v>
      </c>
      <c r="M180" s="310">
        <f t="shared" si="17"/>
        <v>0</v>
      </c>
      <c r="N180" s="133"/>
      <c r="O180" s="97"/>
    </row>
    <row r="181" spans="2:15">
      <c r="B181" s="92"/>
      <c r="C181" s="133"/>
      <c r="D181" s="338"/>
      <c r="E181" s="339"/>
      <c r="F181" s="339"/>
      <c r="G181" s="340"/>
      <c r="H181" s="133"/>
      <c r="I181" s="310">
        <v>0</v>
      </c>
      <c r="J181" s="310">
        <f t="shared" si="15"/>
        <v>0</v>
      </c>
      <c r="K181" s="310">
        <f t="shared" si="16"/>
        <v>0</v>
      </c>
      <c r="L181" s="310">
        <f t="shared" si="16"/>
        <v>0</v>
      </c>
      <c r="M181" s="310">
        <f t="shared" si="16"/>
        <v>0</v>
      </c>
      <c r="N181" s="133"/>
      <c r="O181" s="97"/>
    </row>
    <row r="182" spans="2:15">
      <c r="B182" s="92"/>
      <c r="C182" s="133"/>
      <c r="D182" s="338"/>
      <c r="E182" s="339"/>
      <c r="F182" s="339"/>
      <c r="G182" s="340"/>
      <c r="H182" s="133"/>
      <c r="I182" s="310">
        <v>0</v>
      </c>
      <c r="J182" s="310">
        <f t="shared" si="15"/>
        <v>0</v>
      </c>
      <c r="K182" s="310">
        <f t="shared" si="16"/>
        <v>0</v>
      </c>
      <c r="L182" s="310">
        <f t="shared" si="16"/>
        <v>0</v>
      </c>
      <c r="M182" s="310">
        <f t="shared" si="16"/>
        <v>0</v>
      </c>
      <c r="N182" s="133"/>
      <c r="O182" s="97"/>
    </row>
    <row r="183" spans="2:15">
      <c r="B183" s="92"/>
      <c r="C183" s="133"/>
      <c r="D183" s="338"/>
      <c r="E183" s="339"/>
      <c r="F183" s="339"/>
      <c r="G183" s="340"/>
      <c r="H183" s="133"/>
      <c r="I183" s="310">
        <v>0</v>
      </c>
      <c r="J183" s="310">
        <f t="shared" si="15"/>
        <v>0</v>
      </c>
      <c r="K183" s="310">
        <f t="shared" si="16"/>
        <v>0</v>
      </c>
      <c r="L183" s="310">
        <f t="shared" si="16"/>
        <v>0</v>
      </c>
      <c r="M183" s="310">
        <f t="shared" si="16"/>
        <v>0</v>
      </c>
      <c r="N183" s="133"/>
      <c r="O183" s="97"/>
    </row>
    <row r="184" spans="2:15">
      <c r="B184" s="92"/>
      <c r="C184" s="133"/>
      <c r="D184" s="338"/>
      <c r="E184" s="339"/>
      <c r="F184" s="339"/>
      <c r="G184" s="340"/>
      <c r="H184" s="133"/>
      <c r="I184" s="310">
        <v>0</v>
      </c>
      <c r="J184" s="310">
        <f t="shared" si="15"/>
        <v>0</v>
      </c>
      <c r="K184" s="310">
        <f t="shared" ref="K184:M184" si="18">+J184</f>
        <v>0</v>
      </c>
      <c r="L184" s="310">
        <f t="shared" si="18"/>
        <v>0</v>
      </c>
      <c r="M184" s="310">
        <f t="shared" si="18"/>
        <v>0</v>
      </c>
      <c r="N184" s="133"/>
      <c r="O184" s="97"/>
    </row>
    <row r="185" spans="2:15">
      <c r="B185" s="92"/>
      <c r="C185" s="133"/>
      <c r="D185" s="338"/>
      <c r="E185" s="339"/>
      <c r="F185" s="339"/>
      <c r="G185" s="340"/>
      <c r="H185" s="133"/>
      <c r="I185" s="310">
        <v>0</v>
      </c>
      <c r="J185" s="310">
        <f t="shared" si="15"/>
        <v>0</v>
      </c>
      <c r="K185" s="310">
        <f>+J185</f>
        <v>0</v>
      </c>
      <c r="L185" s="310">
        <f>+K185</f>
        <v>0</v>
      </c>
      <c r="M185" s="310">
        <f>+L185</f>
        <v>0</v>
      </c>
      <c r="N185" s="133"/>
      <c r="O185" s="97"/>
    </row>
    <row r="186" spans="2:15">
      <c r="B186" s="92"/>
      <c r="C186" s="133"/>
      <c r="D186" s="338"/>
      <c r="E186" s="339"/>
      <c r="F186" s="339"/>
      <c r="G186" s="340"/>
      <c r="H186" s="133"/>
      <c r="I186" s="310">
        <v>0</v>
      </c>
      <c r="J186" s="310">
        <f t="shared" si="15"/>
        <v>0</v>
      </c>
      <c r="K186" s="310">
        <f t="shared" ref="K186:M187" si="19">+J186</f>
        <v>0</v>
      </c>
      <c r="L186" s="310">
        <f t="shared" si="19"/>
        <v>0</v>
      </c>
      <c r="M186" s="310">
        <f t="shared" si="19"/>
        <v>0</v>
      </c>
      <c r="N186" s="133"/>
      <c r="O186" s="97"/>
    </row>
    <row r="187" spans="2:15">
      <c r="B187" s="92"/>
      <c r="C187" s="133"/>
      <c r="D187" s="338"/>
      <c r="E187" s="339"/>
      <c r="F187" s="339"/>
      <c r="G187" s="340"/>
      <c r="H187" s="133"/>
      <c r="I187" s="310">
        <v>0</v>
      </c>
      <c r="J187" s="310">
        <f t="shared" si="15"/>
        <v>0</v>
      </c>
      <c r="K187" s="310">
        <f t="shared" si="19"/>
        <v>0</v>
      </c>
      <c r="L187" s="310">
        <f t="shared" si="19"/>
        <v>0</v>
      </c>
      <c r="M187" s="310">
        <f t="shared" si="19"/>
        <v>0</v>
      </c>
      <c r="N187" s="133"/>
      <c r="O187" s="97"/>
    </row>
    <row r="188" spans="2:15">
      <c r="B188" s="92"/>
      <c r="C188" s="133"/>
      <c r="D188" s="133"/>
      <c r="E188" s="133"/>
      <c r="F188" s="133"/>
      <c r="G188" s="135"/>
      <c r="H188" s="133"/>
      <c r="I188" s="290"/>
      <c r="J188" s="290"/>
      <c r="K188" s="290"/>
      <c r="L188" s="290"/>
      <c r="M188" s="290"/>
      <c r="N188" s="133"/>
      <c r="O188" s="97"/>
    </row>
    <row r="189" spans="2:15">
      <c r="B189" s="92"/>
      <c r="C189" s="133"/>
      <c r="D189" s="138" t="s">
        <v>311</v>
      </c>
      <c r="E189" s="133"/>
      <c r="F189" s="133"/>
      <c r="G189" s="139"/>
      <c r="H189" s="133"/>
      <c r="I189" s="309">
        <f>SUM(I178:I187)</f>
        <v>0</v>
      </c>
      <c r="J189" s="309">
        <f>SUM(J178:J187)</f>
        <v>0</v>
      </c>
      <c r="K189" s="309">
        <f>SUM(K178:K187)</f>
        <v>0</v>
      </c>
      <c r="L189" s="309">
        <f>SUM(L178:L187)</f>
        <v>0</v>
      </c>
      <c r="M189" s="309">
        <f>SUM(M178:M187)</f>
        <v>0</v>
      </c>
      <c r="N189" s="133"/>
      <c r="O189" s="97"/>
    </row>
    <row r="190" spans="2:15">
      <c r="B190" s="92"/>
      <c r="C190" s="133"/>
      <c r="D190" s="133"/>
      <c r="E190" s="133"/>
      <c r="F190" s="133"/>
      <c r="G190" s="139"/>
      <c r="H190" s="133"/>
      <c r="I190" s="316"/>
      <c r="J190" s="316"/>
      <c r="K190" s="316"/>
      <c r="L190" s="316"/>
      <c r="M190" s="316"/>
      <c r="N190" s="133"/>
      <c r="O190" s="97"/>
    </row>
    <row r="191" spans="2:15">
      <c r="B191" s="92"/>
      <c r="C191" s="93"/>
      <c r="D191" s="333"/>
      <c r="E191" s="167"/>
      <c r="F191" s="167"/>
      <c r="G191" s="1082"/>
      <c r="H191" s="167"/>
      <c r="I191" s="1083"/>
      <c r="J191" s="1083"/>
      <c r="K191" s="1083"/>
      <c r="L191" s="1083"/>
      <c r="M191" s="1083"/>
      <c r="N191" s="93"/>
      <c r="O191" s="97"/>
    </row>
    <row r="192" spans="2:15">
      <c r="B192" s="92"/>
      <c r="C192" s="133"/>
      <c r="D192" s="137"/>
      <c r="E192" s="133"/>
      <c r="F192" s="133"/>
      <c r="G192" s="135"/>
      <c r="H192" s="133"/>
      <c r="I192" s="133"/>
      <c r="J192" s="133"/>
      <c r="K192" s="133"/>
      <c r="L192" s="133"/>
      <c r="M192" s="133"/>
      <c r="N192" s="133"/>
      <c r="O192" s="97"/>
    </row>
    <row r="193" spans="2:24">
      <c r="B193" s="92"/>
      <c r="C193" s="133"/>
      <c r="D193" s="319" t="s">
        <v>705</v>
      </c>
      <c r="E193" s="133"/>
      <c r="F193" s="133"/>
      <c r="G193" s="135"/>
      <c r="H193" s="133"/>
      <c r="I193" s="309">
        <f>I155+I167+I189</f>
        <v>3490143.3400000003</v>
      </c>
      <c r="J193" s="309">
        <f>J155+J167+J189</f>
        <v>3490143.3400000003</v>
      </c>
      <c r="K193" s="309">
        <f>K155+K167+K189</f>
        <v>3490143.3400000003</v>
      </c>
      <c r="L193" s="309">
        <f>L155+L167+L189</f>
        <v>3490143.3400000003</v>
      </c>
      <c r="M193" s="309">
        <f>M155+M167+M189</f>
        <v>3490143.3400000003</v>
      </c>
      <c r="N193" s="133"/>
      <c r="O193" s="97"/>
    </row>
    <row r="194" spans="2:24">
      <c r="B194" s="92"/>
      <c r="C194" s="133"/>
      <c r="D194" s="137"/>
      <c r="E194" s="133"/>
      <c r="F194" s="133"/>
      <c r="G194" s="135"/>
      <c r="H194" s="133"/>
      <c r="I194" s="133"/>
      <c r="J194" s="133"/>
      <c r="K194" s="133"/>
      <c r="L194" s="133"/>
      <c r="M194" s="133"/>
      <c r="N194" s="133"/>
      <c r="O194" s="97"/>
    </row>
    <row r="195" spans="2:24">
      <c r="B195" s="92"/>
      <c r="C195" s="93"/>
      <c r="D195" s="93"/>
      <c r="E195" s="93"/>
      <c r="F195" s="93"/>
      <c r="G195" s="96"/>
      <c r="H195" s="93"/>
      <c r="I195" s="274"/>
      <c r="J195" s="274"/>
      <c r="K195" s="274"/>
      <c r="L195" s="274"/>
      <c r="M195" s="274"/>
      <c r="N195" s="93"/>
      <c r="O195" s="97"/>
    </row>
    <row r="196" spans="2:24">
      <c r="B196" s="92"/>
      <c r="C196" s="93"/>
      <c r="D196" s="93"/>
      <c r="E196" s="93"/>
      <c r="F196" s="93"/>
      <c r="G196" s="96"/>
      <c r="H196" s="93"/>
      <c r="I196" s="274"/>
      <c r="J196" s="274"/>
      <c r="K196" s="274"/>
      <c r="L196" s="274"/>
      <c r="M196" s="274"/>
      <c r="N196" s="93"/>
      <c r="O196" s="97"/>
    </row>
    <row r="197" spans="2:24">
      <c r="B197" s="92"/>
      <c r="C197" s="133"/>
      <c r="D197" s="334"/>
      <c r="E197" s="1084"/>
      <c r="F197" s="1084"/>
      <c r="G197" s="335"/>
      <c r="H197" s="336"/>
      <c r="I197" s="336"/>
      <c r="J197" s="336"/>
      <c r="K197" s="337"/>
      <c r="L197" s="337"/>
      <c r="M197" s="337"/>
      <c r="N197" s="133"/>
      <c r="O197" s="97"/>
    </row>
    <row r="198" spans="2:24">
      <c r="B198" s="92"/>
      <c r="C198" s="133"/>
      <c r="D198" s="239" t="s">
        <v>236</v>
      </c>
      <c r="E198" s="239"/>
      <c r="F198" s="239"/>
      <c r="G198" s="335"/>
      <c r="H198" s="336"/>
      <c r="I198" s="336"/>
      <c r="J198" s="336"/>
      <c r="K198" s="337"/>
      <c r="L198" s="337"/>
      <c r="M198" s="337"/>
      <c r="N198" s="133"/>
      <c r="O198" s="97"/>
    </row>
    <row r="199" spans="2:24">
      <c r="B199" s="92"/>
      <c r="C199" s="133"/>
      <c r="D199" s="137"/>
      <c r="E199" s="319"/>
      <c r="F199" s="319"/>
      <c r="G199" s="135"/>
      <c r="H199" s="324"/>
      <c r="I199" s="324"/>
      <c r="J199" s="324"/>
      <c r="K199" s="325"/>
      <c r="L199" s="325"/>
      <c r="M199" s="325"/>
      <c r="N199" s="133"/>
      <c r="O199" s="97"/>
    </row>
    <row r="200" spans="2:24">
      <c r="B200" s="92"/>
      <c r="C200" s="133"/>
      <c r="D200" s="292" t="s">
        <v>61</v>
      </c>
      <c r="E200" s="319"/>
      <c r="F200" s="319"/>
      <c r="G200" s="135"/>
      <c r="H200" s="324"/>
      <c r="I200" s="324"/>
      <c r="J200" s="324"/>
      <c r="K200" s="325"/>
      <c r="L200" s="325"/>
      <c r="M200" s="325"/>
      <c r="N200" s="133"/>
      <c r="O200" s="97"/>
    </row>
    <row r="201" spans="2:24">
      <c r="B201" s="92"/>
      <c r="C201" s="133"/>
      <c r="D201" s="326" t="s">
        <v>396</v>
      </c>
      <c r="E201" s="133"/>
      <c r="F201" s="327"/>
      <c r="G201" s="135"/>
      <c r="H201" s="133"/>
      <c r="I201" s="332">
        <f>SUM(dir!$T$16:$T$30)</f>
        <v>0</v>
      </c>
      <c r="J201" s="332">
        <f>SUM(dir!$T$43:$T$57)</f>
        <v>0</v>
      </c>
      <c r="K201" s="332">
        <f>SUM(dir!$T$71:$T$85)</f>
        <v>0</v>
      </c>
      <c r="L201" s="332">
        <f>SUM(dir!$T$98:$T$112)</f>
        <v>0</v>
      </c>
      <c r="M201" s="332">
        <f>SUM(dir!T125:T139)</f>
        <v>0</v>
      </c>
      <c r="N201" s="133"/>
      <c r="O201" s="97"/>
    </row>
    <row r="202" spans="2:24">
      <c r="B202" s="92"/>
      <c r="C202" s="133"/>
      <c r="D202" s="326" t="s">
        <v>397</v>
      </c>
      <c r="E202" s="133"/>
      <c r="F202" s="327"/>
      <c r="G202" s="135"/>
      <c r="H202" s="133"/>
      <c r="I202" s="332">
        <f>SUM(op!$T$16:$T$115)</f>
        <v>69062.399999999994</v>
      </c>
      <c r="J202" s="332">
        <f>SUM(op!$T$128:$T$227)</f>
        <v>69062.399999999994</v>
      </c>
      <c r="K202" s="332">
        <f>SUM(op!$T$240:$T$339)</f>
        <v>69062.399999999994</v>
      </c>
      <c r="L202" s="332">
        <f>SUM(op!$T$352:$T$451)</f>
        <v>69062.399999999994</v>
      </c>
      <c r="M202" s="332">
        <f>SUM(op!T464:T563)</f>
        <v>69062.399999999994</v>
      </c>
      <c r="N202" s="133"/>
      <c r="O202" s="97"/>
    </row>
    <row r="203" spans="2:24">
      <c r="B203" s="92"/>
      <c r="C203" s="133"/>
      <c r="D203" s="326" t="s">
        <v>398</v>
      </c>
      <c r="E203" s="133"/>
      <c r="F203" s="327"/>
      <c r="G203" s="135"/>
      <c r="H203" s="133"/>
      <c r="I203" s="332">
        <f>SUM(oop!$T$16:$T$65)</f>
        <v>0</v>
      </c>
      <c r="J203" s="332">
        <f>SUM(oop!$T$78:$T$127)</f>
        <v>0</v>
      </c>
      <c r="K203" s="332">
        <f>SUM(oop!$T$140:$T$189)</f>
        <v>0</v>
      </c>
      <c r="L203" s="332">
        <f>SUM(oop!$T$202:$T$251)</f>
        <v>0</v>
      </c>
      <c r="M203" s="332">
        <f>SUM(oop!T264:T313)</f>
        <v>0</v>
      </c>
      <c r="N203" s="133"/>
      <c r="O203" s="97"/>
    </row>
    <row r="204" spans="2:24">
      <c r="B204" s="92"/>
      <c r="C204" s="133"/>
      <c r="D204" s="329"/>
      <c r="E204" s="133"/>
      <c r="F204" s="327"/>
      <c r="G204" s="135"/>
      <c r="H204" s="138"/>
      <c r="I204" s="245">
        <f>SUM(I201:I203)</f>
        <v>69062.399999999994</v>
      </c>
      <c r="J204" s="245">
        <f>SUM(J201:J203)</f>
        <v>69062.399999999994</v>
      </c>
      <c r="K204" s="245">
        <f>SUM(K201:K203)</f>
        <v>69062.399999999994</v>
      </c>
      <c r="L204" s="245">
        <f>SUM(L201:L203)</f>
        <v>69062.399999999994</v>
      </c>
      <c r="M204" s="245">
        <f>SUM(M201:M203)</f>
        <v>69062.399999999994</v>
      </c>
      <c r="N204" s="138"/>
      <c r="O204" s="280"/>
      <c r="P204" s="217"/>
      <c r="Q204" s="217"/>
      <c r="R204" s="217"/>
      <c r="S204" s="217"/>
      <c r="T204" s="217"/>
      <c r="U204" s="217"/>
      <c r="V204" s="217"/>
      <c r="W204" s="217"/>
      <c r="X204" s="217"/>
    </row>
    <row r="205" spans="2:24">
      <c r="B205" s="92"/>
      <c r="C205" s="133"/>
      <c r="D205" s="292" t="s">
        <v>596</v>
      </c>
      <c r="E205" s="133"/>
      <c r="F205" s="133"/>
      <c r="G205" s="135"/>
      <c r="H205" s="133"/>
      <c r="I205" s="135"/>
      <c r="J205" s="135"/>
      <c r="K205" s="135"/>
      <c r="L205" s="135"/>
      <c r="M205" s="135"/>
      <c r="N205" s="133"/>
      <c r="O205" s="97"/>
    </row>
    <row r="206" spans="2:24">
      <c r="B206" s="92"/>
      <c r="C206" s="133"/>
      <c r="D206" s="160" t="s">
        <v>570</v>
      </c>
      <c r="E206" s="722"/>
      <c r="F206" s="722"/>
      <c r="G206" s="723"/>
      <c r="H206" s="133"/>
      <c r="I206" s="341">
        <v>0</v>
      </c>
      <c r="J206" s="313">
        <f t="shared" ref="J206:J225" si="20">I206</f>
        <v>0</v>
      </c>
      <c r="K206" s="313">
        <f t="shared" ref="K206:M221" si="21">J206</f>
        <v>0</v>
      </c>
      <c r="L206" s="313">
        <f t="shared" si="21"/>
        <v>0</v>
      </c>
      <c r="M206" s="313">
        <f t="shared" si="21"/>
        <v>0</v>
      </c>
      <c r="N206" s="133"/>
      <c r="O206" s="97"/>
    </row>
    <row r="207" spans="2:24">
      <c r="B207" s="92"/>
      <c r="C207" s="133"/>
      <c r="D207" s="338" t="s">
        <v>556</v>
      </c>
      <c r="E207" s="339"/>
      <c r="F207" s="339"/>
      <c r="G207" s="340"/>
      <c r="H207" s="133"/>
      <c r="I207" s="341">
        <v>0</v>
      </c>
      <c r="J207" s="313">
        <f t="shared" si="20"/>
        <v>0</v>
      </c>
      <c r="K207" s="313">
        <f t="shared" si="21"/>
        <v>0</v>
      </c>
      <c r="L207" s="313">
        <f t="shared" si="21"/>
        <v>0</v>
      </c>
      <c r="M207" s="313">
        <f t="shared" si="21"/>
        <v>0</v>
      </c>
      <c r="N207" s="133"/>
      <c r="O207" s="97"/>
    </row>
    <row r="208" spans="2:24">
      <c r="B208" s="92"/>
      <c r="C208" s="133"/>
      <c r="D208" s="338" t="s">
        <v>557</v>
      </c>
      <c r="E208" s="339"/>
      <c r="F208" s="339"/>
      <c r="G208" s="340"/>
      <c r="H208" s="133"/>
      <c r="I208" s="341">
        <v>0</v>
      </c>
      <c r="J208" s="313">
        <f t="shared" si="20"/>
        <v>0</v>
      </c>
      <c r="K208" s="313">
        <f t="shared" si="21"/>
        <v>0</v>
      </c>
      <c r="L208" s="313">
        <f t="shared" si="21"/>
        <v>0</v>
      </c>
      <c r="M208" s="313">
        <f t="shared" si="21"/>
        <v>0</v>
      </c>
      <c r="N208" s="133"/>
      <c r="O208" s="97"/>
    </row>
    <row r="209" spans="2:15">
      <c r="B209" s="92"/>
      <c r="C209" s="133"/>
      <c r="D209" s="338" t="s">
        <v>558</v>
      </c>
      <c r="E209" s="339"/>
      <c r="F209" s="339"/>
      <c r="G209" s="340"/>
      <c r="H209" s="133"/>
      <c r="I209" s="342">
        <v>0</v>
      </c>
      <c r="J209" s="313">
        <f t="shared" si="20"/>
        <v>0</v>
      </c>
      <c r="K209" s="313">
        <f t="shared" si="21"/>
        <v>0</v>
      </c>
      <c r="L209" s="313">
        <f t="shared" si="21"/>
        <v>0</v>
      </c>
      <c r="M209" s="313">
        <f t="shared" si="21"/>
        <v>0</v>
      </c>
      <c r="N209" s="133"/>
      <c r="O209" s="97"/>
    </row>
    <row r="210" spans="2:15">
      <c r="B210" s="92"/>
      <c r="C210" s="133"/>
      <c r="D210" s="338" t="s">
        <v>559</v>
      </c>
      <c r="E210" s="339"/>
      <c r="F210" s="339"/>
      <c r="G210" s="340"/>
      <c r="H210" s="133"/>
      <c r="I210" s="342">
        <v>0</v>
      </c>
      <c r="J210" s="313">
        <f t="shared" si="20"/>
        <v>0</v>
      </c>
      <c r="K210" s="313">
        <f t="shared" si="21"/>
        <v>0</v>
      </c>
      <c r="L210" s="313">
        <f t="shared" si="21"/>
        <v>0</v>
      </c>
      <c r="M210" s="313">
        <f t="shared" si="21"/>
        <v>0</v>
      </c>
      <c r="N210" s="133"/>
      <c r="O210" s="97"/>
    </row>
    <row r="211" spans="2:15">
      <c r="B211" s="92"/>
      <c r="C211" s="133"/>
      <c r="D211" s="338" t="s">
        <v>560</v>
      </c>
      <c r="E211" s="339"/>
      <c r="F211" s="339"/>
      <c r="G211" s="340"/>
      <c r="H211" s="133"/>
      <c r="I211" s="342">
        <v>0</v>
      </c>
      <c r="J211" s="313">
        <f t="shared" si="20"/>
        <v>0</v>
      </c>
      <c r="K211" s="313">
        <f t="shared" si="21"/>
        <v>0</v>
      </c>
      <c r="L211" s="313">
        <f t="shared" si="21"/>
        <v>0</v>
      </c>
      <c r="M211" s="313">
        <f t="shared" si="21"/>
        <v>0</v>
      </c>
      <c r="N211" s="133"/>
      <c r="O211" s="97"/>
    </row>
    <row r="212" spans="2:15">
      <c r="B212" s="92"/>
      <c r="C212" s="133"/>
      <c r="D212" s="338" t="s">
        <v>561</v>
      </c>
      <c r="E212" s="339"/>
      <c r="F212" s="339"/>
      <c r="G212" s="340"/>
      <c r="H212" s="133"/>
      <c r="I212" s="342">
        <v>0</v>
      </c>
      <c r="J212" s="313">
        <f t="shared" si="20"/>
        <v>0</v>
      </c>
      <c r="K212" s="313">
        <f t="shared" si="21"/>
        <v>0</v>
      </c>
      <c r="L212" s="313">
        <f t="shared" si="21"/>
        <v>0</v>
      </c>
      <c r="M212" s="313">
        <f t="shared" si="21"/>
        <v>0</v>
      </c>
      <c r="N212" s="133"/>
      <c r="O212" s="97"/>
    </row>
    <row r="213" spans="2:15">
      <c r="B213" s="92"/>
      <c r="C213" s="133"/>
      <c r="D213" s="338" t="s">
        <v>562</v>
      </c>
      <c r="E213" s="339"/>
      <c r="F213" s="339"/>
      <c r="G213" s="340"/>
      <c r="H213" s="133"/>
      <c r="I213" s="342">
        <v>0</v>
      </c>
      <c r="J213" s="313">
        <f t="shared" si="20"/>
        <v>0</v>
      </c>
      <c r="K213" s="313">
        <f t="shared" si="21"/>
        <v>0</v>
      </c>
      <c r="L213" s="313">
        <f t="shared" si="21"/>
        <v>0</v>
      </c>
      <c r="M213" s="313">
        <f t="shared" si="21"/>
        <v>0</v>
      </c>
      <c r="N213" s="133"/>
      <c r="O213" s="97"/>
    </row>
    <row r="214" spans="2:15">
      <c r="B214" s="92"/>
      <c r="C214" s="133"/>
      <c r="D214" s="338" t="s">
        <v>563</v>
      </c>
      <c r="E214" s="339"/>
      <c r="F214" s="339"/>
      <c r="G214" s="340"/>
      <c r="H214" s="133"/>
      <c r="I214" s="342">
        <v>0</v>
      </c>
      <c r="J214" s="313">
        <f t="shared" si="20"/>
        <v>0</v>
      </c>
      <c r="K214" s="313">
        <f t="shared" si="21"/>
        <v>0</v>
      </c>
      <c r="L214" s="313">
        <f t="shared" si="21"/>
        <v>0</v>
      </c>
      <c r="M214" s="313">
        <f t="shared" si="21"/>
        <v>0</v>
      </c>
      <c r="N214" s="133"/>
      <c r="O214" s="97"/>
    </row>
    <row r="215" spans="2:15">
      <c r="B215" s="92"/>
      <c r="C215" s="133"/>
      <c r="D215" s="338" t="s">
        <v>564</v>
      </c>
      <c r="E215" s="339"/>
      <c r="F215" s="339"/>
      <c r="G215" s="340"/>
      <c r="H215" s="133"/>
      <c r="I215" s="342">
        <v>0</v>
      </c>
      <c r="J215" s="313">
        <f t="shared" si="20"/>
        <v>0</v>
      </c>
      <c r="K215" s="313">
        <f t="shared" si="21"/>
        <v>0</v>
      </c>
      <c r="L215" s="313">
        <f t="shared" si="21"/>
        <v>0</v>
      </c>
      <c r="M215" s="313">
        <f t="shared" si="21"/>
        <v>0</v>
      </c>
      <c r="N215" s="133"/>
      <c r="O215" s="97"/>
    </row>
    <row r="216" spans="2:15">
      <c r="B216" s="92"/>
      <c r="C216" s="133"/>
      <c r="D216" s="338" t="s">
        <v>565</v>
      </c>
      <c r="E216" s="339"/>
      <c r="F216" s="339"/>
      <c r="G216" s="340"/>
      <c r="H216" s="133"/>
      <c r="I216" s="342">
        <v>0</v>
      </c>
      <c r="J216" s="313">
        <f t="shared" si="20"/>
        <v>0</v>
      </c>
      <c r="K216" s="313">
        <f t="shared" si="21"/>
        <v>0</v>
      </c>
      <c r="L216" s="313">
        <f t="shared" si="21"/>
        <v>0</v>
      </c>
      <c r="M216" s="313">
        <f t="shared" si="21"/>
        <v>0</v>
      </c>
      <c r="N216" s="133"/>
      <c r="O216" s="97"/>
    </row>
    <row r="217" spans="2:15">
      <c r="B217" s="92"/>
      <c r="C217" s="133"/>
      <c r="D217" s="338" t="s">
        <v>566</v>
      </c>
      <c r="E217" s="339"/>
      <c r="F217" s="339"/>
      <c r="G217" s="340"/>
      <c r="H217" s="133"/>
      <c r="I217" s="342">
        <v>0</v>
      </c>
      <c r="J217" s="313">
        <f t="shared" si="20"/>
        <v>0</v>
      </c>
      <c r="K217" s="313">
        <f t="shared" si="21"/>
        <v>0</v>
      </c>
      <c r="L217" s="313">
        <f t="shared" si="21"/>
        <v>0</v>
      </c>
      <c r="M217" s="313">
        <f t="shared" si="21"/>
        <v>0</v>
      </c>
      <c r="N217" s="133"/>
      <c r="O217" s="97"/>
    </row>
    <row r="218" spans="2:15">
      <c r="B218" s="92"/>
      <c r="C218" s="133"/>
      <c r="D218" s="338" t="s">
        <v>567</v>
      </c>
      <c r="E218" s="339"/>
      <c r="F218" s="339"/>
      <c r="G218" s="340"/>
      <c r="H218" s="133"/>
      <c r="I218" s="342">
        <v>0</v>
      </c>
      <c r="J218" s="313">
        <f t="shared" si="20"/>
        <v>0</v>
      </c>
      <c r="K218" s="313">
        <f t="shared" si="21"/>
        <v>0</v>
      </c>
      <c r="L218" s="313">
        <f t="shared" si="21"/>
        <v>0</v>
      </c>
      <c r="M218" s="313">
        <f t="shared" si="21"/>
        <v>0</v>
      </c>
      <c r="N218" s="133"/>
      <c r="O218" s="97"/>
    </row>
    <row r="219" spans="2:15">
      <c r="B219" s="92"/>
      <c r="C219" s="133"/>
      <c r="D219" s="338" t="s">
        <v>568</v>
      </c>
      <c r="E219" s="339"/>
      <c r="F219" s="339"/>
      <c r="G219" s="340"/>
      <c r="H219" s="133"/>
      <c r="I219" s="342">
        <v>0</v>
      </c>
      <c r="J219" s="313">
        <f t="shared" si="20"/>
        <v>0</v>
      </c>
      <c r="K219" s="313">
        <f t="shared" si="21"/>
        <v>0</v>
      </c>
      <c r="L219" s="313">
        <f t="shared" si="21"/>
        <v>0</v>
      </c>
      <c r="M219" s="313">
        <f t="shared" si="21"/>
        <v>0</v>
      </c>
      <c r="N219" s="133"/>
      <c r="O219" s="97"/>
    </row>
    <row r="220" spans="2:15">
      <c r="B220" s="92"/>
      <c r="C220" s="133"/>
      <c r="D220" s="338" t="s">
        <v>569</v>
      </c>
      <c r="E220" s="339"/>
      <c r="F220" s="339"/>
      <c r="G220" s="340"/>
      <c r="H220" s="133"/>
      <c r="I220" s="342">
        <v>0</v>
      </c>
      <c r="J220" s="313">
        <f t="shared" si="20"/>
        <v>0</v>
      </c>
      <c r="K220" s="313">
        <f t="shared" si="21"/>
        <v>0</v>
      </c>
      <c r="L220" s="313">
        <f t="shared" si="21"/>
        <v>0</v>
      </c>
      <c r="M220" s="313">
        <f t="shared" si="21"/>
        <v>0</v>
      </c>
      <c r="N220" s="133"/>
      <c r="O220" s="97"/>
    </row>
    <row r="221" spans="2:15">
      <c r="B221" s="92"/>
      <c r="C221" s="133"/>
      <c r="D221" s="338"/>
      <c r="E221" s="339"/>
      <c r="F221" s="339"/>
      <c r="G221" s="340"/>
      <c r="H221" s="133"/>
      <c r="I221" s="342">
        <v>0</v>
      </c>
      <c r="J221" s="313">
        <f t="shared" si="20"/>
        <v>0</v>
      </c>
      <c r="K221" s="313">
        <f t="shared" si="21"/>
        <v>0</v>
      </c>
      <c r="L221" s="313">
        <f t="shared" si="21"/>
        <v>0</v>
      </c>
      <c r="M221" s="313">
        <f t="shared" si="21"/>
        <v>0</v>
      </c>
      <c r="N221" s="133"/>
      <c r="O221" s="97"/>
    </row>
    <row r="222" spans="2:15">
      <c r="B222" s="92"/>
      <c r="C222" s="133"/>
      <c r="D222" s="338"/>
      <c r="E222" s="339"/>
      <c r="F222" s="339"/>
      <c r="G222" s="340"/>
      <c r="H222" s="133"/>
      <c r="I222" s="342">
        <v>0</v>
      </c>
      <c r="J222" s="313">
        <f t="shared" si="20"/>
        <v>0</v>
      </c>
      <c r="K222" s="313">
        <f t="shared" ref="K222:M225" si="22">J222</f>
        <v>0</v>
      </c>
      <c r="L222" s="313">
        <f t="shared" si="22"/>
        <v>0</v>
      </c>
      <c r="M222" s="313">
        <f t="shared" si="22"/>
        <v>0</v>
      </c>
      <c r="N222" s="133"/>
      <c r="O222" s="97"/>
    </row>
    <row r="223" spans="2:15">
      <c r="B223" s="92"/>
      <c r="C223" s="133"/>
      <c r="D223" s="338"/>
      <c r="E223" s="339"/>
      <c r="F223" s="339"/>
      <c r="G223" s="340"/>
      <c r="H223" s="133"/>
      <c r="I223" s="342">
        <v>0</v>
      </c>
      <c r="J223" s="313">
        <f t="shared" si="20"/>
        <v>0</v>
      </c>
      <c r="K223" s="313">
        <f t="shared" si="22"/>
        <v>0</v>
      </c>
      <c r="L223" s="313">
        <f t="shared" si="22"/>
        <v>0</v>
      </c>
      <c r="M223" s="313">
        <f t="shared" si="22"/>
        <v>0</v>
      </c>
      <c r="N223" s="133"/>
      <c r="O223" s="97"/>
    </row>
    <row r="224" spans="2:15">
      <c r="B224" s="92"/>
      <c r="C224" s="133"/>
      <c r="D224" s="338"/>
      <c r="E224" s="339"/>
      <c r="F224" s="339"/>
      <c r="G224" s="340"/>
      <c r="H224" s="133"/>
      <c r="I224" s="341">
        <v>0</v>
      </c>
      <c r="J224" s="313">
        <f t="shared" si="20"/>
        <v>0</v>
      </c>
      <c r="K224" s="313">
        <f t="shared" si="22"/>
        <v>0</v>
      </c>
      <c r="L224" s="313">
        <f t="shared" si="22"/>
        <v>0</v>
      </c>
      <c r="M224" s="313">
        <f t="shared" si="22"/>
        <v>0</v>
      </c>
      <c r="N224" s="133"/>
      <c r="O224" s="97"/>
    </row>
    <row r="225" spans="2:15">
      <c r="B225" s="92"/>
      <c r="C225" s="133"/>
      <c r="D225" s="338"/>
      <c r="E225" s="339"/>
      <c r="F225" s="339"/>
      <c r="G225" s="340"/>
      <c r="H225" s="133"/>
      <c r="I225" s="342">
        <v>0</v>
      </c>
      <c r="J225" s="313">
        <f t="shared" si="20"/>
        <v>0</v>
      </c>
      <c r="K225" s="313">
        <f t="shared" si="22"/>
        <v>0</v>
      </c>
      <c r="L225" s="313">
        <f t="shared" si="22"/>
        <v>0</v>
      </c>
      <c r="M225" s="313">
        <f t="shared" si="22"/>
        <v>0</v>
      </c>
      <c r="N225" s="133"/>
      <c r="O225" s="97"/>
    </row>
    <row r="226" spans="2:15">
      <c r="B226" s="92"/>
      <c r="C226" s="133"/>
      <c r="D226" s="133"/>
      <c r="E226" s="133"/>
      <c r="F226" s="133"/>
      <c r="G226" s="133"/>
      <c r="H226" s="133"/>
      <c r="I226" s="344">
        <f>SUM(I206:I225)</f>
        <v>0</v>
      </c>
      <c r="J226" s="344">
        <f>SUM(J206:J225)</f>
        <v>0</v>
      </c>
      <c r="K226" s="344">
        <f>SUM(K206:K225)</f>
        <v>0</v>
      </c>
      <c r="L226" s="344">
        <f>SUM(L206:L225)</f>
        <v>0</v>
      </c>
      <c r="M226" s="344">
        <f>SUM(M206:M225)</f>
        <v>0</v>
      </c>
      <c r="N226" s="133"/>
      <c r="O226" s="97"/>
    </row>
    <row r="227" spans="2:15">
      <c r="B227" s="92"/>
      <c r="C227" s="133"/>
      <c r="D227" s="137"/>
      <c r="E227" s="133"/>
      <c r="F227" s="133"/>
      <c r="G227" s="135"/>
      <c r="H227" s="133"/>
      <c r="I227" s="135"/>
      <c r="J227" s="135"/>
      <c r="K227" s="135"/>
      <c r="L227" s="135"/>
      <c r="M227" s="135"/>
      <c r="N227" s="133"/>
      <c r="O227" s="97"/>
    </row>
    <row r="228" spans="2:15">
      <c r="B228" s="92"/>
      <c r="C228" s="133"/>
      <c r="D228" s="319" t="s">
        <v>706</v>
      </c>
      <c r="E228" s="133"/>
      <c r="F228" s="133"/>
      <c r="G228" s="135"/>
      <c r="H228" s="133"/>
      <c r="I228" s="245">
        <f>I204+I226</f>
        <v>69062.399999999994</v>
      </c>
      <c r="J228" s="245">
        <f>J204+J226</f>
        <v>69062.399999999994</v>
      </c>
      <c r="K228" s="245">
        <f>K204+K226</f>
        <v>69062.399999999994</v>
      </c>
      <c r="L228" s="245">
        <f>L204+L226</f>
        <v>69062.399999999994</v>
      </c>
      <c r="M228" s="245">
        <f>M204+M226</f>
        <v>69062.399999999994</v>
      </c>
      <c r="N228" s="133"/>
      <c r="O228" s="97"/>
    </row>
    <row r="229" spans="2:15">
      <c r="B229" s="92"/>
      <c r="C229" s="133"/>
      <c r="D229" s="137"/>
      <c r="E229" s="133"/>
      <c r="F229" s="133"/>
      <c r="G229" s="135"/>
      <c r="H229" s="133"/>
      <c r="I229" s="135"/>
      <c r="J229" s="135"/>
      <c r="K229" s="135"/>
      <c r="L229" s="135"/>
      <c r="M229" s="135"/>
      <c r="N229" s="133"/>
      <c r="O229" s="97"/>
    </row>
    <row r="230" spans="2:15">
      <c r="B230" s="92"/>
      <c r="C230" s="93"/>
      <c r="D230" s="261"/>
      <c r="E230" s="93"/>
      <c r="F230" s="93"/>
      <c r="G230" s="95"/>
      <c r="H230" s="93"/>
      <c r="I230" s="95"/>
      <c r="J230" s="95"/>
      <c r="K230" s="95"/>
      <c r="L230" s="95"/>
      <c r="M230" s="95"/>
      <c r="N230" s="93"/>
      <c r="O230" s="97"/>
    </row>
    <row r="231" spans="2:15">
      <c r="B231" s="92"/>
      <c r="C231" s="133"/>
      <c r="D231" s="137"/>
      <c r="E231" s="133"/>
      <c r="F231" s="133"/>
      <c r="G231" s="135"/>
      <c r="H231" s="133"/>
      <c r="I231" s="135"/>
      <c r="J231" s="135"/>
      <c r="K231" s="135"/>
      <c r="L231" s="135"/>
      <c r="M231" s="135"/>
      <c r="N231" s="133"/>
      <c r="O231" s="97"/>
    </row>
    <row r="232" spans="2:15">
      <c r="B232" s="92"/>
      <c r="C232" s="133"/>
      <c r="D232" s="319" t="s">
        <v>707</v>
      </c>
      <c r="E232" s="133"/>
      <c r="F232" s="133"/>
      <c r="G232" s="135"/>
      <c r="H232" s="133"/>
      <c r="I232" s="343">
        <f>I193-I228</f>
        <v>3421080.9400000004</v>
      </c>
      <c r="J232" s="343">
        <f>J193-J228</f>
        <v>3421080.9400000004</v>
      </c>
      <c r="K232" s="343">
        <f>K193-K228</f>
        <v>3421080.9400000004</v>
      </c>
      <c r="L232" s="343">
        <f>L193-L228</f>
        <v>3421080.9400000004</v>
      </c>
      <c r="M232" s="343">
        <f>M193-M228</f>
        <v>3421080.9400000004</v>
      </c>
      <c r="N232" s="133"/>
      <c r="O232" s="97"/>
    </row>
    <row r="233" spans="2:15">
      <c r="B233" s="92"/>
      <c r="C233" s="133"/>
      <c r="D233" s="137"/>
      <c r="E233" s="133"/>
      <c r="F233" s="133"/>
      <c r="G233" s="135"/>
      <c r="H233" s="133"/>
      <c r="I233" s="135"/>
      <c r="J233" s="135"/>
      <c r="K233" s="135"/>
      <c r="L233" s="135"/>
      <c r="M233" s="135"/>
      <c r="N233" s="133"/>
      <c r="O233" s="97"/>
    </row>
    <row r="234" spans="2:15">
      <c r="B234" s="92"/>
      <c r="C234" s="93"/>
      <c r="D234" s="261"/>
      <c r="E234" s="93"/>
      <c r="F234" s="93"/>
      <c r="G234" s="95"/>
      <c r="H234" s="93"/>
      <c r="I234" s="95"/>
      <c r="J234" s="95"/>
      <c r="K234" s="95"/>
      <c r="L234" s="95"/>
      <c r="M234" s="95"/>
      <c r="N234" s="93"/>
      <c r="O234" s="97"/>
    </row>
    <row r="235" spans="2:15" ht="15">
      <c r="B235" s="113"/>
      <c r="C235" s="114"/>
      <c r="D235" s="281"/>
      <c r="E235" s="114"/>
      <c r="F235" s="114"/>
      <c r="G235" s="118"/>
      <c r="H235" s="114"/>
      <c r="I235" s="118"/>
      <c r="J235" s="118"/>
      <c r="K235" s="118"/>
      <c r="L235" s="118"/>
      <c r="M235" s="118"/>
      <c r="N235" s="119" t="s">
        <v>555</v>
      </c>
      <c r="O235" s="120"/>
    </row>
    <row r="236" spans="2:15">
      <c r="I236" s="75"/>
      <c r="J236" s="75"/>
      <c r="K236" s="75"/>
      <c r="L236" s="75"/>
      <c r="M236" s="75"/>
    </row>
    <row r="237" spans="2:15">
      <c r="I237" s="75"/>
      <c r="J237" s="75"/>
      <c r="K237" s="75"/>
      <c r="L237" s="75"/>
      <c r="M237" s="75"/>
    </row>
    <row r="238" spans="2:15">
      <c r="I238" s="75"/>
      <c r="J238" s="75"/>
      <c r="K238" s="75"/>
      <c r="L238" s="75"/>
      <c r="M238" s="75"/>
    </row>
    <row r="239" spans="2:15">
      <c r="I239" s="75"/>
      <c r="J239" s="75"/>
      <c r="K239" s="75"/>
      <c r="L239" s="75"/>
      <c r="M239" s="75"/>
    </row>
    <row r="240" spans="2:15">
      <c r="D240" s="282"/>
      <c r="E240" s="210"/>
      <c r="F240" s="210"/>
      <c r="G240" s="283"/>
      <c r="H240" s="210"/>
      <c r="I240" s="283"/>
      <c r="J240" s="283"/>
      <c r="K240" s="283"/>
      <c r="L240" s="283"/>
      <c r="M240" s="283"/>
    </row>
    <row r="241" spans="4:13">
      <c r="D241" s="284" t="s">
        <v>585</v>
      </c>
      <c r="E241" s="210"/>
      <c r="F241" s="210"/>
      <c r="G241" s="283"/>
      <c r="H241" s="210"/>
      <c r="I241" s="210"/>
      <c r="J241" s="208">
        <f>mat!K8</f>
        <v>2013</v>
      </c>
      <c r="K241" s="208">
        <f>mat!L8</f>
        <v>2014</v>
      </c>
      <c r="L241" s="208">
        <f>mat!M8</f>
        <v>2015</v>
      </c>
      <c r="M241" s="208">
        <f>mat!N8</f>
        <v>2016</v>
      </c>
    </row>
    <row r="242" spans="4:13">
      <c r="D242" s="282"/>
      <c r="E242" s="210"/>
      <c r="F242" s="210"/>
      <c r="G242" s="283"/>
      <c r="H242" s="210"/>
      <c r="I242" s="210"/>
      <c r="J242" s="283"/>
      <c r="K242" s="283"/>
      <c r="L242" s="283"/>
      <c r="M242" s="283"/>
    </row>
    <row r="243" spans="4:13">
      <c r="D243" s="193" t="s">
        <v>89</v>
      </c>
      <c r="E243" s="210"/>
      <c r="F243" s="210"/>
      <c r="G243" s="193"/>
      <c r="H243" s="210"/>
      <c r="I243" s="210"/>
      <c r="J243" s="285">
        <f>(7/12*(I155-I114))+(5/12*(J155-J114))+I114</f>
        <v>3490143.3400000008</v>
      </c>
      <c r="K243" s="285">
        <f>(7/12*(J155-J114))+(5/12*(K155-K114))+J114</f>
        <v>3490143.3400000008</v>
      </c>
      <c r="L243" s="285">
        <f>(7/12*(K155-K114))+(5/12*(L155-L114))+K114</f>
        <v>3490143.3400000008</v>
      </c>
      <c r="M243" s="285">
        <f>(7/12*(L155-L114))+(5/12*(M155-M114))+L114</f>
        <v>3490143.3400000008</v>
      </c>
    </row>
    <row r="244" spans="4:13">
      <c r="D244" s="193" t="s">
        <v>708</v>
      </c>
      <c r="E244" s="210"/>
      <c r="F244" s="210"/>
      <c r="G244" s="193"/>
      <c r="H244" s="210"/>
      <c r="I244" s="210"/>
      <c r="J244" s="285">
        <f>(7/12*I167)+(5/12*J167)</f>
        <v>0</v>
      </c>
      <c r="K244" s="285">
        <f>(7/12*J167)+(5/12*K167)</f>
        <v>0</v>
      </c>
      <c r="L244" s="285">
        <f>(7/12*K167)+(5/12*L167)</f>
        <v>0</v>
      </c>
      <c r="M244" s="285">
        <f>(7/12*L167)+(5/12*M167)</f>
        <v>0</v>
      </c>
    </row>
    <row r="245" spans="4:13">
      <c r="D245" s="193" t="s">
        <v>709</v>
      </c>
      <c r="E245" s="210"/>
      <c r="F245" s="210"/>
      <c r="G245" s="193"/>
      <c r="H245" s="210"/>
      <c r="I245" s="210"/>
      <c r="J245" s="285">
        <f t="shared" ref="J245:M247" si="23">(7/12*I178)+(5/12*J178)</f>
        <v>0</v>
      </c>
      <c r="K245" s="285">
        <f t="shared" si="23"/>
        <v>0</v>
      </c>
      <c r="L245" s="285">
        <f t="shared" si="23"/>
        <v>0</v>
      </c>
      <c r="M245" s="285">
        <f t="shared" si="23"/>
        <v>0</v>
      </c>
    </row>
    <row r="246" spans="4:13">
      <c r="D246" s="193" t="s">
        <v>234</v>
      </c>
      <c r="E246" s="210"/>
      <c r="F246" s="210"/>
      <c r="G246" s="193"/>
      <c r="H246" s="210"/>
      <c r="I246" s="210"/>
      <c r="J246" s="285">
        <f t="shared" si="23"/>
        <v>0</v>
      </c>
      <c r="K246" s="285">
        <f t="shared" si="23"/>
        <v>0</v>
      </c>
      <c r="L246" s="285">
        <f t="shared" si="23"/>
        <v>0</v>
      </c>
      <c r="M246" s="285">
        <f t="shared" si="23"/>
        <v>0</v>
      </c>
    </row>
    <row r="247" spans="4:13">
      <c r="D247" s="193" t="s">
        <v>235</v>
      </c>
      <c r="E247" s="210"/>
      <c r="F247" s="210"/>
      <c r="G247" s="193"/>
      <c r="H247" s="210"/>
      <c r="I247" s="210"/>
      <c r="J247" s="285">
        <f t="shared" si="23"/>
        <v>0</v>
      </c>
      <c r="K247" s="285">
        <f t="shared" si="23"/>
        <v>0</v>
      </c>
      <c r="L247" s="285">
        <f t="shared" si="23"/>
        <v>0</v>
      </c>
      <c r="M247" s="285">
        <f t="shared" si="23"/>
        <v>0</v>
      </c>
    </row>
    <row r="248" spans="4:13">
      <c r="D248" s="193" t="s">
        <v>233</v>
      </c>
      <c r="E248" s="210"/>
      <c r="F248" s="210"/>
      <c r="G248" s="193"/>
      <c r="H248" s="210"/>
      <c r="I248" s="210"/>
      <c r="J248" s="285">
        <f>(7/12*I189)+(5/12*J189)-J245</f>
        <v>0</v>
      </c>
      <c r="K248" s="285">
        <f>(7/12*J189)+(5/12*K189)-K245</f>
        <v>0</v>
      </c>
      <c r="L248" s="285">
        <f>(7/12*K189)+(5/12*L189)-L245</f>
        <v>0</v>
      </c>
      <c r="M248" s="285">
        <f>(7/12*L189)+(5/12*M189)-M245</f>
        <v>0</v>
      </c>
    </row>
    <row r="249" spans="4:13">
      <c r="D249" s="193" t="s">
        <v>1</v>
      </c>
      <c r="E249" s="210"/>
      <c r="F249" s="210"/>
      <c r="G249" s="193"/>
      <c r="H249" s="210"/>
      <c r="I249" s="210"/>
      <c r="J249" s="285">
        <f>(7/12*I152)+(5/12*J152)</f>
        <v>0</v>
      </c>
      <c r="K249" s="285">
        <f>(7/12*J152)+(5/12*K152)</f>
        <v>0</v>
      </c>
      <c r="L249" s="285">
        <f>(7/12*K152)+(5/12*L152)</f>
        <v>0</v>
      </c>
      <c r="M249" s="285">
        <f>(7/12*L152)+(5/12*M152)</f>
        <v>0</v>
      </c>
    </row>
    <row r="250" spans="4:13">
      <c r="D250" s="193" t="s">
        <v>454</v>
      </c>
      <c r="E250" s="210"/>
      <c r="F250" s="210"/>
      <c r="G250" s="193"/>
      <c r="H250" s="210"/>
      <c r="I250" s="210"/>
      <c r="J250" s="285">
        <f t="shared" ref="J250:M252" si="24">(7/12*I201)+(5/12*J201)</f>
        <v>0</v>
      </c>
      <c r="K250" s="285">
        <f t="shared" si="24"/>
        <v>0</v>
      </c>
      <c r="L250" s="285">
        <f t="shared" si="24"/>
        <v>0</v>
      </c>
      <c r="M250" s="285">
        <f t="shared" si="24"/>
        <v>0</v>
      </c>
    </row>
    <row r="251" spans="4:13">
      <c r="D251" s="193" t="s">
        <v>455</v>
      </c>
      <c r="E251" s="210"/>
      <c r="F251" s="210"/>
      <c r="G251" s="193"/>
      <c r="H251" s="210"/>
      <c r="I251" s="210"/>
      <c r="J251" s="285">
        <f t="shared" si="24"/>
        <v>69062.399999999994</v>
      </c>
      <c r="K251" s="285">
        <f t="shared" si="24"/>
        <v>69062.399999999994</v>
      </c>
      <c r="L251" s="285">
        <f t="shared" si="24"/>
        <v>69062.399999999994</v>
      </c>
      <c r="M251" s="285">
        <f t="shared" si="24"/>
        <v>69062.399999999994</v>
      </c>
    </row>
    <row r="252" spans="4:13">
      <c r="D252" s="193" t="s">
        <v>456</v>
      </c>
      <c r="E252" s="210"/>
      <c r="F252" s="210"/>
      <c r="G252" s="193"/>
      <c r="H252" s="210"/>
      <c r="I252" s="210"/>
      <c r="J252" s="285">
        <f t="shared" si="24"/>
        <v>0</v>
      </c>
      <c r="K252" s="285">
        <f t="shared" si="24"/>
        <v>0</v>
      </c>
      <c r="L252" s="285">
        <f t="shared" si="24"/>
        <v>0</v>
      </c>
      <c r="M252" s="285">
        <f t="shared" si="24"/>
        <v>0</v>
      </c>
    </row>
    <row r="253" spans="4:13">
      <c r="D253" s="193" t="s">
        <v>2</v>
      </c>
      <c r="E253" s="210"/>
      <c r="F253" s="210"/>
      <c r="G253" s="193"/>
      <c r="H253" s="210"/>
      <c r="I253" s="210"/>
      <c r="J253" s="285">
        <f>SUM(J250:J252)</f>
        <v>69062.399999999994</v>
      </c>
      <c r="K253" s="285">
        <f>SUM(K250:K252)</f>
        <v>69062.399999999994</v>
      </c>
      <c r="L253" s="285">
        <f>SUM(L250:L252)</f>
        <v>69062.399999999994</v>
      </c>
      <c r="M253" s="285">
        <f>SUM(M250:M252)</f>
        <v>69062.399999999994</v>
      </c>
    </row>
    <row r="254" spans="4:13">
      <c r="D254" s="200" t="s">
        <v>641</v>
      </c>
      <c r="E254" s="210"/>
      <c r="F254" s="210"/>
      <c r="G254" s="193"/>
      <c r="H254" s="210"/>
      <c r="I254" s="210"/>
      <c r="J254" s="286">
        <f>(7/12*pers!I226)+(5/12*pers!J226)</f>
        <v>0</v>
      </c>
      <c r="K254" s="286">
        <f>(7/12*pers!J226)+(5/12*pers!K226)</f>
        <v>0</v>
      </c>
      <c r="L254" s="286">
        <f>(7/12*pers!K226)+(5/12*pers!L226)</f>
        <v>0</v>
      </c>
      <c r="M254" s="286">
        <f>(7/12*pers!L226)+(5/12*pers!M226)</f>
        <v>0</v>
      </c>
    </row>
    <row r="255" spans="4:13">
      <c r="D255" s="287" t="s">
        <v>667</v>
      </c>
      <c r="E255" s="210"/>
      <c r="F255" s="210"/>
      <c r="G255" s="193"/>
      <c r="H255" s="210"/>
      <c r="I255" s="210"/>
      <c r="J255" s="288">
        <f>7/12*(I75+I76+I77+I78+I108)+5/12*(J75+J76+J77+J78+J108)</f>
        <v>0</v>
      </c>
      <c r="K255" s="288">
        <f>7/12*(J75+J76+J77+J78+J108)+5/12*(K75+K76+K77+K78+K108)</f>
        <v>0</v>
      </c>
      <c r="L255" s="288">
        <f>7/12*(K75+K76+K77+K78+K108)+5/12*(L75+L76+L77+L78+L108)</f>
        <v>0</v>
      </c>
      <c r="M255" s="288">
        <f>7/12*(L75+L76+L77+L78+L108)+5/12*(M75+M76+M77+M78+M108)</f>
        <v>0</v>
      </c>
    </row>
    <row r="256" spans="4:13">
      <c r="D256" s="193" t="s">
        <v>514</v>
      </c>
      <c r="E256" s="210"/>
      <c r="F256" s="210"/>
      <c r="G256" s="193"/>
      <c r="H256" s="210"/>
      <c r="I256" s="210"/>
      <c r="J256" s="286">
        <f>(7*(+dir!S31+op!S116+oop!S66)+5*(dir!S58+op!S228+oop!S128))/12</f>
        <v>0</v>
      </c>
      <c r="K256" s="286">
        <f>(7*(dir!S58+op!S228+oop!S128)+5*(dir!S86+op!S340+oop!S190))/12</f>
        <v>0</v>
      </c>
      <c r="L256" s="286">
        <f>(7*(dir!S86+op!S340+oop!S190)+5*(dir!S113+op!S452+oop!S252))/12</f>
        <v>0</v>
      </c>
      <c r="M256" s="286">
        <f>(7*(dir!S113+op!S452+oop!S252)+5*(dir!S140+op!S564+oop!S314))/12</f>
        <v>0</v>
      </c>
    </row>
    <row r="257" spans="4:13">
      <c r="D257" s="193" t="s">
        <v>515</v>
      </c>
      <c r="E257" s="210"/>
      <c r="F257" s="210"/>
      <c r="G257" s="193"/>
      <c r="H257" s="210"/>
      <c r="I257" s="210"/>
      <c r="J257" s="286">
        <f>(7/12*pers!I206)+(5/12*pers!J206)</f>
        <v>0</v>
      </c>
      <c r="K257" s="286">
        <f>(7/12*pers!J206)+(5/12*pers!K206)</f>
        <v>0</v>
      </c>
      <c r="L257" s="286">
        <f>(7/12*pers!K206)+(5/12*pers!L206)</f>
        <v>0</v>
      </c>
      <c r="M257" s="286">
        <f>(7/12*pers!L206)+(5/12*pers!M206)</f>
        <v>0</v>
      </c>
    </row>
    <row r="258" spans="4:13">
      <c r="D258" s="193" t="s">
        <v>516</v>
      </c>
      <c r="E258" s="210"/>
      <c r="F258" s="210"/>
      <c r="G258" s="193"/>
      <c r="H258" s="210"/>
      <c r="I258" s="210"/>
      <c r="J258" s="286">
        <f>(7*(+dir!V31+op!V116+oop!V66)+5*(dir!V58+op!V228+oop!V128))/12</f>
        <v>0</v>
      </c>
      <c r="K258" s="286">
        <f>(7*(dir!V58+op!V228+oop!V128)+5*(dir!V86+op!V340+oop!V190))/12</f>
        <v>0</v>
      </c>
      <c r="L258" s="286">
        <f>(7*(dir!V86+op!V340+oop!V190)+5*(dir!V113+op!V452+oop!V252))/12</f>
        <v>0</v>
      </c>
      <c r="M258" s="286">
        <f>(7*(dir!V113+op!V452+oop!V252)+5*(dir!V140+op!V564+oop!V314))/12</f>
        <v>0</v>
      </c>
    </row>
    <row r="259" spans="4:13">
      <c r="D259" s="210" t="s">
        <v>3</v>
      </c>
      <c r="E259" s="210"/>
      <c r="F259" s="210"/>
      <c r="G259" s="210"/>
      <c r="H259" s="210"/>
      <c r="I259" s="210"/>
      <c r="J259" s="285">
        <f>SUM(J243:J248)</f>
        <v>3490143.3400000008</v>
      </c>
      <c r="K259" s="285">
        <f>SUM(K243:K248)</f>
        <v>3490143.3400000008</v>
      </c>
      <c r="L259" s="285">
        <f>SUM(L243:L248)</f>
        <v>3490143.3400000008</v>
      </c>
      <c r="M259" s="285">
        <f>SUM(M243:M248)</f>
        <v>3490143.3400000008</v>
      </c>
    </row>
    <row r="260" spans="4:13">
      <c r="D260" s="210" t="s">
        <v>4</v>
      </c>
      <c r="E260" s="210"/>
      <c r="F260" s="210"/>
      <c r="G260" s="210"/>
      <c r="H260" s="210"/>
      <c r="I260" s="210"/>
      <c r="J260" s="286">
        <f>J253+J254</f>
        <v>69062.399999999994</v>
      </c>
      <c r="K260" s="286">
        <f>K253+K254</f>
        <v>69062.399999999994</v>
      </c>
      <c r="L260" s="286">
        <f>L253+L254</f>
        <v>69062.399999999994</v>
      </c>
      <c r="M260" s="286">
        <f>M253+M254</f>
        <v>69062.399999999994</v>
      </c>
    </row>
    <row r="262" spans="4:13">
      <c r="G262" s="65"/>
    </row>
    <row r="263" spans="4:13">
      <c r="D263" s="68"/>
    </row>
    <row r="264" spans="4:13">
      <c r="D264" s="68"/>
    </row>
    <row r="265" spans="4:13">
      <c r="D265" s="68"/>
    </row>
    <row r="266" spans="4:13">
      <c r="D266" s="68"/>
    </row>
    <row r="267" spans="4:13">
      <c r="D267" s="68"/>
    </row>
    <row r="268" spans="4:13">
      <c r="D268" s="68"/>
    </row>
    <row r="269" spans="4:13">
      <c r="D269" s="68"/>
    </row>
    <row r="270" spans="4:13">
      <c r="D270" s="68"/>
    </row>
    <row r="271" spans="4:13">
      <c r="D271" s="68"/>
    </row>
    <row r="272" spans="4:13">
      <c r="D272" s="68"/>
    </row>
    <row r="273" spans="4:4">
      <c r="D273" s="68"/>
    </row>
    <row r="274" spans="4:4">
      <c r="D274" s="68"/>
    </row>
    <row r="275" spans="4:4">
      <c r="D275" s="65"/>
    </row>
    <row r="276" spans="4:4">
      <c r="D276" s="65"/>
    </row>
  </sheetData>
  <sheetProtection password="DFB1" sheet="1" objects="1" scenarios="1"/>
  <phoneticPr fontId="0" type="noConversion"/>
  <pageMargins left="0.75" right="0.75" top="1" bottom="1" header="0.5" footer="0.5"/>
  <pageSetup paperSize="9" scale="60" orientation="portrait" r:id="rId1"/>
  <headerFooter alignWithMargins="0">
    <oddHeader>&amp;L&amp;"Arial,Vet"&amp;F&amp;R&amp;"Arial,Vet"&amp;A</oddHeader>
    <oddFooter>&amp;L&amp;"Arial,Vet"keizer / goedhart&amp;C&amp;"Arial,Vet"&amp;D&amp;R&amp;"Arial,Vet"pagina &amp;P</oddFooter>
  </headerFooter>
  <rowBreaks count="2" manualBreakCount="2">
    <brk id="90" min="1" max="14" man="1"/>
    <brk id="170" min="1" max="13" man="1"/>
  </rowBreaks>
  <drawing r:id="rId2"/>
  <legacyDrawing r:id="rId3"/>
</worksheet>
</file>

<file path=xl/worksheets/sheet5.xml><?xml version="1.0" encoding="utf-8"?>
<worksheet xmlns="http://schemas.openxmlformats.org/spreadsheetml/2006/main" xmlns:r="http://schemas.openxmlformats.org/officeDocument/2006/relationships">
  <sheetPr codeName="Blad20"/>
  <dimension ref="A1:DC175"/>
  <sheetViews>
    <sheetView showGridLines="0" zoomScale="85" zoomScaleNormal="85" workbookViewId="0">
      <selection activeCell="B2" sqref="B2"/>
    </sheetView>
  </sheetViews>
  <sheetFormatPr defaultRowHeight="12.75"/>
  <cols>
    <col min="1" max="1" width="3.7109375" style="68" customWidth="1"/>
    <col min="2" max="3" width="2.7109375" style="68" customWidth="1"/>
    <col min="4" max="4" width="10.7109375" style="83" customWidth="1"/>
    <col min="5" max="6" width="20.7109375" style="83" customWidth="1"/>
    <col min="7" max="7" width="8.7109375" style="83" customWidth="1"/>
    <col min="8" max="8" width="8.7109375" style="347" customWidth="1"/>
    <col min="9" max="10" width="8.7109375" style="348" customWidth="1"/>
    <col min="11" max="11" width="8.7109375" style="349" customWidth="1"/>
    <col min="12" max="12" width="8.7109375" style="350" customWidth="1"/>
    <col min="13" max="13" width="8.7109375" style="351" customWidth="1"/>
    <col min="14" max="14" width="0.85546875" style="68" customWidth="1"/>
    <col min="15" max="15" width="10.7109375" style="352" customWidth="1"/>
    <col min="16" max="16" width="12.7109375" style="68" customWidth="1"/>
    <col min="17" max="17" width="10.7109375" style="581" customWidth="1"/>
    <col min="18" max="18" width="12.7109375" style="67" customWidth="1"/>
    <col min="19" max="19" width="10.7109375" style="353" customWidth="1"/>
    <col min="20" max="20" width="12.7109375" style="254" customWidth="1"/>
    <col min="21" max="21" width="10.7109375" style="253" hidden="1" customWidth="1"/>
    <col min="22" max="22" width="10.7109375" style="353" customWidth="1"/>
    <col min="23" max="23" width="3" style="68" customWidth="1"/>
    <col min="24" max="24" width="2.7109375" style="68" customWidth="1"/>
    <col min="25" max="25" width="20.7109375" style="68" customWidth="1"/>
    <col min="26" max="28" width="8.7109375" style="68" customWidth="1"/>
    <col min="29" max="29" width="8.7109375" style="67" customWidth="1"/>
    <col min="30" max="30" width="1.5703125" style="354" customWidth="1"/>
    <col min="31" max="31" width="1.7109375" style="68" customWidth="1"/>
    <col min="32" max="35" width="8.7109375" style="68" customWidth="1"/>
    <col min="36" max="36" width="1.5703125" style="68" customWidth="1"/>
    <col min="37" max="37" width="12.7109375" style="68" customWidth="1"/>
    <col min="38" max="38" width="12.7109375" style="67" customWidth="1"/>
    <col min="39" max="39" width="12.7109375" style="354" customWidth="1"/>
    <col min="40" max="40" width="12.7109375" style="68" customWidth="1"/>
    <col min="41" max="41" width="1.5703125" style="68" customWidth="1"/>
    <col min="42" max="43" width="10.7109375" style="68" customWidth="1"/>
    <col min="44" max="45" width="2.7109375" style="68" customWidth="1"/>
    <col min="46" max="51" width="9.28515625" style="68" bestFit="1" customWidth="1"/>
    <col min="52" max="16384" width="9.140625" style="68"/>
  </cols>
  <sheetData>
    <row r="1" spans="1:107" ht="12.75" customHeight="1"/>
    <row r="2" spans="1:107">
      <c r="B2" s="87"/>
      <c r="C2" s="88"/>
      <c r="D2" s="424"/>
      <c r="E2" s="424"/>
      <c r="F2" s="424"/>
      <c r="G2" s="424"/>
      <c r="H2" s="425"/>
      <c r="I2" s="426"/>
      <c r="J2" s="426"/>
      <c r="K2" s="427"/>
      <c r="L2" s="428"/>
      <c r="M2" s="429"/>
      <c r="N2" s="88"/>
      <c r="O2" s="430"/>
      <c r="P2" s="88"/>
      <c r="Q2" s="582"/>
      <c r="R2" s="90"/>
      <c r="S2" s="431"/>
      <c r="T2" s="432"/>
      <c r="U2" s="433"/>
      <c r="V2" s="431"/>
      <c r="W2" s="88"/>
      <c r="X2" s="91"/>
    </row>
    <row r="3" spans="1:107">
      <c r="B3" s="92"/>
      <c r="C3" s="93"/>
      <c r="D3" s="271"/>
      <c r="E3" s="271"/>
      <c r="F3" s="271"/>
      <c r="G3" s="271"/>
      <c r="H3" s="434"/>
      <c r="I3" s="435"/>
      <c r="J3" s="435"/>
      <c r="K3" s="436"/>
      <c r="L3" s="437"/>
      <c r="M3" s="438"/>
      <c r="N3" s="93"/>
      <c r="O3" s="439"/>
      <c r="P3" s="93"/>
      <c r="Q3" s="583"/>
      <c r="R3" s="95"/>
      <c r="S3" s="440"/>
      <c r="T3" s="273"/>
      <c r="U3" s="262"/>
      <c r="V3" s="440"/>
      <c r="W3" s="93"/>
      <c r="X3" s="97"/>
    </row>
    <row r="4" spans="1:107" s="356" customFormat="1" ht="18.75">
      <c r="A4" s="355"/>
      <c r="B4" s="441"/>
      <c r="C4" s="304" t="s">
        <v>289</v>
      </c>
      <c r="D4" s="442"/>
      <c r="E4" s="442"/>
      <c r="F4" s="442"/>
      <c r="G4" s="442"/>
      <c r="H4" s="443"/>
      <c r="I4" s="444"/>
      <c r="J4" s="444"/>
      <c r="K4" s="445"/>
      <c r="L4" s="446"/>
      <c r="M4" s="447"/>
      <c r="N4" s="442"/>
      <c r="O4" s="448"/>
      <c r="P4" s="442"/>
      <c r="Q4" s="584"/>
      <c r="R4" s="449"/>
      <c r="S4" s="450"/>
      <c r="T4" s="451"/>
      <c r="U4" s="452"/>
      <c r="V4" s="450"/>
      <c r="W4" s="442"/>
      <c r="X4" s="453"/>
      <c r="Y4" s="355"/>
      <c r="Z4" s="355"/>
      <c r="AA4" s="355"/>
      <c r="AB4" s="355"/>
      <c r="AC4" s="362"/>
      <c r="AD4" s="363"/>
      <c r="AE4" s="362"/>
      <c r="AF4" s="362"/>
      <c r="AG4" s="362"/>
      <c r="AH4" s="362"/>
      <c r="AI4" s="364"/>
      <c r="AJ4" s="365"/>
      <c r="AK4" s="366"/>
      <c r="AL4" s="367"/>
      <c r="AM4" s="364"/>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c r="BL4" s="355"/>
      <c r="BM4" s="355"/>
      <c r="BN4" s="355"/>
      <c r="BO4" s="355"/>
      <c r="BP4" s="355"/>
      <c r="BQ4" s="355"/>
      <c r="BR4" s="355"/>
      <c r="BS4" s="355"/>
      <c r="BT4" s="355"/>
      <c r="BU4" s="355"/>
      <c r="BV4" s="355"/>
      <c r="BW4" s="355"/>
      <c r="BX4" s="355"/>
      <c r="BY4" s="355"/>
      <c r="BZ4" s="355"/>
      <c r="CA4" s="355"/>
      <c r="CB4" s="355"/>
      <c r="CC4" s="355"/>
      <c r="CD4" s="355"/>
      <c r="CE4" s="355"/>
      <c r="CF4" s="355"/>
      <c r="CG4" s="355"/>
      <c r="CH4" s="355"/>
      <c r="CI4" s="355"/>
      <c r="CJ4" s="355"/>
      <c r="CK4" s="355"/>
      <c r="CL4" s="355"/>
      <c r="CM4" s="355"/>
      <c r="CN4" s="355"/>
      <c r="CO4" s="355"/>
      <c r="CP4" s="355"/>
      <c r="CQ4" s="355"/>
      <c r="CR4" s="355"/>
      <c r="CS4" s="355"/>
      <c r="CT4" s="355"/>
      <c r="CU4" s="355"/>
      <c r="CV4" s="355"/>
      <c r="CW4" s="355"/>
      <c r="CX4" s="355"/>
      <c r="CY4" s="355"/>
      <c r="CZ4" s="355"/>
      <c r="DA4" s="355"/>
      <c r="DB4" s="355"/>
      <c r="DC4" s="355"/>
    </row>
    <row r="5" spans="1:107" s="356" customFormat="1" ht="18.75">
      <c r="A5" s="355"/>
      <c r="B5" s="441"/>
      <c r="C5" s="260" t="str">
        <f>geg!I12</f>
        <v>De speciale school</v>
      </c>
      <c r="D5" s="442"/>
      <c r="E5" s="442"/>
      <c r="F5" s="442"/>
      <c r="G5" s="442"/>
      <c r="H5" s="443"/>
      <c r="I5" s="444"/>
      <c r="J5" s="444"/>
      <c r="K5" s="445"/>
      <c r="L5" s="446"/>
      <c r="M5" s="447"/>
      <c r="N5" s="442"/>
      <c r="O5" s="448"/>
      <c r="P5" s="442"/>
      <c r="Q5" s="584"/>
      <c r="R5" s="449"/>
      <c r="S5" s="450"/>
      <c r="T5" s="451"/>
      <c r="U5" s="452"/>
      <c r="V5" s="450"/>
      <c r="W5" s="442"/>
      <c r="X5" s="453"/>
      <c r="Y5" s="355"/>
      <c r="Z5" s="355"/>
      <c r="AA5" s="355"/>
      <c r="AB5" s="355"/>
      <c r="AC5" s="362"/>
      <c r="AD5" s="363"/>
      <c r="AE5" s="362"/>
      <c r="AF5" s="362"/>
      <c r="AG5" s="362"/>
      <c r="AH5" s="362"/>
      <c r="AI5" s="364"/>
      <c r="AJ5" s="365"/>
      <c r="AK5" s="366"/>
      <c r="AL5" s="367"/>
      <c r="AM5" s="364"/>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c r="BL5" s="355"/>
      <c r="BM5" s="355"/>
      <c r="BN5" s="355"/>
      <c r="BO5" s="355"/>
      <c r="BP5" s="355"/>
      <c r="BQ5" s="355"/>
      <c r="BR5" s="355"/>
      <c r="BS5" s="355"/>
      <c r="BT5" s="355"/>
      <c r="BU5" s="355"/>
      <c r="BV5" s="355"/>
      <c r="BW5" s="355"/>
      <c r="BX5" s="355"/>
      <c r="BY5" s="355"/>
      <c r="BZ5" s="355"/>
      <c r="CA5" s="355"/>
      <c r="CB5" s="355"/>
      <c r="CC5" s="355"/>
      <c r="CD5" s="355"/>
      <c r="CE5" s="355"/>
      <c r="CF5" s="355"/>
      <c r="CG5" s="355"/>
      <c r="CH5" s="355"/>
      <c r="CI5" s="355"/>
      <c r="CJ5" s="355"/>
      <c r="CK5" s="355"/>
      <c r="CL5" s="355"/>
      <c r="CM5" s="355"/>
      <c r="CN5" s="355"/>
      <c r="CO5" s="355"/>
      <c r="CP5" s="355"/>
      <c r="CQ5" s="355"/>
      <c r="CR5" s="355"/>
      <c r="CS5" s="355"/>
      <c r="CT5" s="355"/>
      <c r="CU5" s="355"/>
      <c r="CV5" s="355"/>
      <c r="CW5" s="355"/>
      <c r="CX5" s="355"/>
      <c r="CY5" s="355"/>
      <c r="CZ5" s="355"/>
      <c r="DA5" s="355"/>
      <c r="DB5" s="355"/>
      <c r="DC5" s="355"/>
    </row>
    <row r="6" spans="1:107" ht="12.75" customHeight="1">
      <c r="B6" s="92"/>
      <c r="C6" s="93"/>
      <c r="D6" s="93"/>
      <c r="E6" s="93"/>
      <c r="F6" s="271"/>
      <c r="G6" s="271"/>
      <c r="H6" s="434"/>
      <c r="I6" s="435"/>
      <c r="J6" s="435"/>
      <c r="K6" s="436"/>
      <c r="L6" s="437"/>
      <c r="M6" s="438"/>
      <c r="N6" s="93"/>
      <c r="O6" s="439"/>
      <c r="P6" s="93"/>
      <c r="Q6" s="583"/>
      <c r="R6" s="95"/>
      <c r="S6" s="440"/>
      <c r="T6" s="273"/>
      <c r="U6" s="262"/>
      <c r="V6" s="440"/>
      <c r="W6" s="93"/>
      <c r="X6" s="97"/>
      <c r="AC6" s="348"/>
      <c r="AD6" s="353"/>
      <c r="AE6" s="348"/>
      <c r="AF6" s="348"/>
      <c r="AG6" s="348"/>
      <c r="AH6" s="348"/>
      <c r="AI6" s="349"/>
      <c r="AJ6" s="350"/>
      <c r="AK6" s="351"/>
      <c r="AL6" s="368"/>
      <c r="AM6" s="349"/>
    </row>
    <row r="7" spans="1:107" ht="12.75" customHeight="1">
      <c r="B7" s="92"/>
      <c r="C7" s="93"/>
      <c r="D7" s="93"/>
      <c r="E7" s="93"/>
      <c r="F7" s="271"/>
      <c r="G7" s="271"/>
      <c r="H7" s="434"/>
      <c r="I7" s="435"/>
      <c r="J7" s="435"/>
      <c r="K7" s="436"/>
      <c r="L7" s="437"/>
      <c r="M7" s="438"/>
      <c r="N7" s="93"/>
      <c r="O7" s="439"/>
      <c r="P7" s="93"/>
      <c r="Q7" s="583"/>
      <c r="R7" s="95"/>
      <c r="S7" s="440"/>
      <c r="T7" s="273"/>
      <c r="U7" s="262"/>
      <c r="V7" s="440"/>
      <c r="W7" s="93"/>
      <c r="X7" s="97"/>
      <c r="AC7" s="348"/>
      <c r="AD7" s="353"/>
      <c r="AE7" s="348"/>
      <c r="AF7" s="348"/>
      <c r="AG7" s="348"/>
      <c r="AH7" s="348"/>
      <c r="AI7" s="349"/>
      <c r="AJ7" s="350"/>
      <c r="AK7" s="351"/>
      <c r="AL7" s="368"/>
      <c r="AM7" s="349"/>
    </row>
    <row r="8" spans="1:107" s="369" customFormat="1" ht="12.75" customHeight="1">
      <c r="B8" s="454"/>
      <c r="C8" s="93" t="s">
        <v>290</v>
      </c>
      <c r="D8" s="271"/>
      <c r="E8" s="455" t="str">
        <f>tab!D2</f>
        <v>2012/13</v>
      </c>
      <c r="F8" s="456"/>
      <c r="G8" s="456"/>
      <c r="H8" s="457"/>
      <c r="I8" s="458"/>
      <c r="J8" s="458"/>
      <c r="K8" s="459"/>
      <c r="L8" s="460"/>
      <c r="M8" s="461"/>
      <c r="N8" s="462"/>
      <c r="O8" s="463"/>
      <c r="P8" s="462"/>
      <c r="Q8" s="585"/>
      <c r="R8" s="464"/>
      <c r="S8" s="465"/>
      <c r="T8" s="466"/>
      <c r="U8" s="467"/>
      <c r="V8" s="465"/>
      <c r="W8" s="462"/>
      <c r="X8" s="468"/>
      <c r="AC8" s="372"/>
      <c r="AD8" s="376"/>
      <c r="AE8" s="372"/>
      <c r="AF8" s="372"/>
      <c r="AG8" s="372"/>
      <c r="AH8" s="372"/>
      <c r="AI8" s="373"/>
      <c r="AJ8" s="374"/>
      <c r="AK8" s="375"/>
      <c r="AL8" s="377"/>
      <c r="AM8" s="373"/>
    </row>
    <row r="9" spans="1:107" ht="12.75" customHeight="1">
      <c r="B9" s="92"/>
      <c r="C9" s="271" t="s">
        <v>291</v>
      </c>
      <c r="D9" s="271"/>
      <c r="E9" s="455">
        <f>tab!E3</f>
        <v>41183</v>
      </c>
      <c r="F9" s="469"/>
      <c r="G9" s="469"/>
      <c r="H9" s="470"/>
      <c r="I9" s="435"/>
      <c r="J9" s="435"/>
      <c r="K9" s="436"/>
      <c r="L9" s="437"/>
      <c r="M9" s="438"/>
      <c r="N9" s="93"/>
      <c r="O9" s="439"/>
      <c r="P9" s="93"/>
      <c r="Q9" s="583"/>
      <c r="R9" s="95"/>
      <c r="S9" s="440"/>
      <c r="T9" s="273"/>
      <c r="U9" s="262"/>
      <c r="V9" s="440"/>
      <c r="W9" s="93"/>
      <c r="X9" s="97"/>
      <c r="AC9" s="348"/>
      <c r="AD9" s="353"/>
      <c r="AE9" s="348"/>
      <c r="AF9" s="348"/>
      <c r="AG9" s="348"/>
      <c r="AH9" s="348"/>
      <c r="AI9" s="349"/>
      <c r="AJ9" s="350"/>
      <c r="AK9" s="351"/>
      <c r="AL9" s="368"/>
      <c r="AM9" s="349"/>
    </row>
    <row r="10" spans="1:107" ht="12.75" customHeight="1">
      <c r="B10" s="92"/>
      <c r="C10" s="93"/>
      <c r="D10" s="471"/>
      <c r="E10" s="472"/>
      <c r="F10" s="469"/>
      <c r="G10" s="469"/>
      <c r="H10" s="470"/>
      <c r="I10" s="435"/>
      <c r="J10" s="435"/>
      <c r="K10" s="436"/>
      <c r="L10" s="437"/>
      <c r="M10" s="438"/>
      <c r="N10" s="93"/>
      <c r="O10" s="439"/>
      <c r="P10" s="93"/>
      <c r="Q10" s="583"/>
      <c r="R10" s="95"/>
      <c r="S10" s="440"/>
      <c r="T10" s="273"/>
      <c r="U10" s="262"/>
      <c r="V10" s="440"/>
      <c r="W10" s="93"/>
      <c r="X10" s="97"/>
      <c r="AC10" s="348"/>
      <c r="AD10" s="353"/>
      <c r="AE10" s="348"/>
      <c r="AF10" s="348"/>
      <c r="AG10" s="348"/>
      <c r="AH10" s="348"/>
      <c r="AI10" s="349"/>
      <c r="AJ10" s="350"/>
      <c r="AK10" s="351"/>
      <c r="AL10" s="368"/>
      <c r="AM10" s="349"/>
    </row>
    <row r="11" spans="1:107" ht="12.75" customHeight="1">
      <c r="B11" s="92"/>
      <c r="C11" s="124"/>
      <c r="D11" s="514"/>
      <c r="E11" s="515"/>
      <c r="F11" s="516"/>
      <c r="G11" s="129"/>
      <c r="H11" s="517"/>
      <c r="I11" s="518"/>
      <c r="J11" s="518"/>
      <c r="K11" s="519"/>
      <c r="L11" s="518"/>
      <c r="M11" s="520"/>
      <c r="N11" s="127"/>
      <c r="O11" s="521"/>
      <c r="P11" s="127"/>
      <c r="Q11" s="586"/>
      <c r="R11" s="129"/>
      <c r="S11" s="522"/>
      <c r="T11" s="302"/>
      <c r="U11" s="523"/>
      <c r="V11" s="522"/>
      <c r="W11" s="130"/>
      <c r="X11" s="97"/>
      <c r="AC11" s="348"/>
      <c r="AD11" s="353"/>
      <c r="AE11" s="348"/>
      <c r="AF11" s="348"/>
      <c r="AG11" s="348"/>
      <c r="AH11" s="348"/>
      <c r="AI11" s="349"/>
      <c r="AJ11" s="350"/>
      <c r="AK11" s="351"/>
      <c r="AL11" s="368"/>
      <c r="AM11" s="349"/>
    </row>
    <row r="12" spans="1:107" s="72" customFormat="1" ht="12.75" customHeight="1">
      <c r="B12" s="474"/>
      <c r="C12" s="524"/>
      <c r="D12" s="1176" t="s">
        <v>292</v>
      </c>
      <c r="E12" s="1177"/>
      <c r="F12" s="1177"/>
      <c r="G12" s="1177"/>
      <c r="H12" s="1177"/>
      <c r="I12" s="1178"/>
      <c r="J12" s="1178"/>
      <c r="K12" s="1178"/>
      <c r="L12" s="1178"/>
      <c r="M12" s="1178"/>
      <c r="N12" s="525"/>
      <c r="O12" s="1176" t="s">
        <v>293</v>
      </c>
      <c r="P12" s="1178"/>
      <c r="Q12" s="1178"/>
      <c r="R12" s="1178"/>
      <c r="S12" s="1178"/>
      <c r="T12" s="1178"/>
      <c r="U12" s="526"/>
      <c r="V12" s="242"/>
      <c r="W12" s="527"/>
      <c r="X12" s="475"/>
      <c r="Y12" s="380"/>
      <c r="Z12" s="381"/>
      <c r="AA12" s="382"/>
      <c r="AB12" s="381"/>
      <c r="AN12" s="380"/>
      <c r="AO12" s="380"/>
    </row>
    <row r="13" spans="1:107" s="72" customFormat="1" ht="12.75" customHeight="1">
      <c r="B13" s="474"/>
      <c r="C13" s="524"/>
      <c r="D13" s="528" t="s">
        <v>541</v>
      </c>
      <c r="E13" s="528" t="s">
        <v>294</v>
      </c>
      <c r="F13" s="528" t="s">
        <v>295</v>
      </c>
      <c r="G13" s="529" t="s">
        <v>296</v>
      </c>
      <c r="H13" s="530" t="s">
        <v>297</v>
      </c>
      <c r="I13" s="529" t="s">
        <v>302</v>
      </c>
      <c r="J13" s="529" t="s">
        <v>303</v>
      </c>
      <c r="K13" s="531" t="s">
        <v>305</v>
      </c>
      <c r="L13" s="532" t="s">
        <v>306</v>
      </c>
      <c r="M13" s="534" t="s">
        <v>307</v>
      </c>
      <c r="N13" s="533"/>
      <c r="O13" s="535" t="s">
        <v>304</v>
      </c>
      <c r="P13" s="535" t="s">
        <v>738</v>
      </c>
      <c r="Q13" s="587" t="s">
        <v>739</v>
      </c>
      <c r="R13" s="510"/>
      <c r="S13" s="536" t="s">
        <v>306</v>
      </c>
      <c r="T13" s="576" t="s">
        <v>308</v>
      </c>
      <c r="U13" s="537" t="s">
        <v>309</v>
      </c>
      <c r="V13" s="242" t="s">
        <v>740</v>
      </c>
      <c r="W13" s="538"/>
      <c r="X13" s="476"/>
      <c r="Y13" s="387"/>
      <c r="Z13" s="386"/>
      <c r="AA13" s="388"/>
      <c r="AB13" s="386"/>
      <c r="AN13" s="380"/>
      <c r="AO13" s="387"/>
    </row>
    <row r="14" spans="1:107" s="389" customFormat="1" ht="12.75" customHeight="1">
      <c r="B14" s="477"/>
      <c r="C14" s="539"/>
      <c r="D14" s="540"/>
      <c r="E14" s="528"/>
      <c r="F14" s="532"/>
      <c r="G14" s="529" t="s">
        <v>312</v>
      </c>
      <c r="H14" s="530" t="s">
        <v>313</v>
      </c>
      <c r="I14" s="529"/>
      <c r="J14" s="529"/>
      <c r="K14" s="531" t="s">
        <v>316</v>
      </c>
      <c r="L14" s="532" t="s">
        <v>317</v>
      </c>
      <c r="M14" s="534" t="s">
        <v>318</v>
      </c>
      <c r="N14" s="533"/>
      <c r="O14" s="535" t="s">
        <v>315</v>
      </c>
      <c r="P14" s="535" t="s">
        <v>741</v>
      </c>
      <c r="Q14" s="577">
        <f>tab!D108</f>
        <v>0.6</v>
      </c>
      <c r="R14" s="510" t="s">
        <v>742</v>
      </c>
      <c r="S14" s="536" t="s">
        <v>310</v>
      </c>
      <c r="T14" s="576" t="s">
        <v>391</v>
      </c>
      <c r="U14" s="537"/>
      <c r="V14" s="536" t="s">
        <v>310</v>
      </c>
      <c r="W14" s="541"/>
      <c r="X14" s="478"/>
      <c r="AO14" s="390"/>
    </row>
    <row r="15" spans="1:107" ht="12.75" customHeight="1">
      <c r="B15" s="92"/>
      <c r="C15" s="131"/>
      <c r="D15" s="155"/>
      <c r="E15" s="155"/>
      <c r="F15" s="155"/>
      <c r="G15" s="542"/>
      <c r="H15" s="543"/>
      <c r="I15" s="544"/>
      <c r="J15" s="544"/>
      <c r="K15" s="545"/>
      <c r="L15" s="542"/>
      <c r="M15" s="545"/>
      <c r="N15" s="542"/>
      <c r="O15" s="546"/>
      <c r="P15" s="547"/>
      <c r="Q15" s="588"/>
      <c r="R15" s="547"/>
      <c r="S15" s="548"/>
      <c r="T15" s="547"/>
      <c r="U15" s="549"/>
      <c r="V15" s="548"/>
      <c r="W15" s="136"/>
      <c r="X15" s="97"/>
      <c r="AC15" s="68"/>
      <c r="AD15" s="68"/>
      <c r="AL15" s="68"/>
      <c r="AM15" s="68"/>
      <c r="AO15" s="395"/>
    </row>
    <row r="16" spans="1:107" ht="12.75" customHeight="1">
      <c r="B16" s="92"/>
      <c r="C16" s="131"/>
      <c r="D16" s="169"/>
      <c r="E16" s="169"/>
      <c r="F16" s="169"/>
      <c r="G16" s="170"/>
      <c r="H16" s="566"/>
      <c r="I16" s="567"/>
      <c r="J16" s="567"/>
      <c r="K16" s="568"/>
      <c r="L16" s="569"/>
      <c r="M16" s="570">
        <f t="shared" ref="M16:M30" si="0">(IF(L16=0,(K16),(K16)-L16))</f>
        <v>0</v>
      </c>
      <c r="N16" s="550"/>
      <c r="O16" s="571" t="str">
        <f>IF(I16="","",VLOOKUP(I16,tab!$A$119:$W$159,J16+3,FALSE))</f>
        <v/>
      </c>
      <c r="P16" s="572">
        <f t="shared" ref="P16:P30" si="1">IF(E16=0,0,(O16*M16*12))</f>
        <v>0</v>
      </c>
      <c r="Q16" s="589">
        <f>Q14</f>
        <v>0.6</v>
      </c>
      <c r="R16" s="573" t="str">
        <f>IF(E16=0,"",(P16)*Q16)</f>
        <v/>
      </c>
      <c r="S16" s="332">
        <f>IF(L16="",0,(((O16*12)*L16)*(1+tab!$D$108)*tab!$E$110))</f>
        <v>0</v>
      </c>
      <c r="T16" s="580">
        <f>IF(E16=0,0,(P16+R16+S16))</f>
        <v>0</v>
      </c>
      <c r="U16" s="243">
        <f>IF(G16&lt;25,0,IF(G16=25,25,IF(G16&lt;40,0,IF(G16=40,40,IF(G16&gt;=40,0)))))</f>
        <v>0</v>
      </c>
      <c r="V16" s="332">
        <f t="shared" ref="V16:V30" si="2">IF(U16=25,(O16*1.08*(K16)/2),IF(U16=40,(O16*1.08*(K16)),IF(U16=0,0)))</f>
        <v>0</v>
      </c>
      <c r="W16" s="541"/>
      <c r="X16" s="480"/>
      <c r="Y16" s="395"/>
      <c r="Z16" s="396"/>
      <c r="AA16" s="350"/>
      <c r="AB16" s="349"/>
      <c r="AC16" s="68"/>
      <c r="AD16" s="68"/>
      <c r="AL16" s="68"/>
      <c r="AM16" s="68"/>
      <c r="AN16" s="395"/>
      <c r="AO16" s="254"/>
    </row>
    <row r="17" spans="2:41" ht="12.75" customHeight="1">
      <c r="B17" s="92"/>
      <c r="C17" s="131"/>
      <c r="D17" s="169"/>
      <c r="E17" s="169"/>
      <c r="F17" s="169"/>
      <c r="G17" s="170"/>
      <c r="H17" s="566"/>
      <c r="I17" s="567"/>
      <c r="J17" s="567"/>
      <c r="K17" s="568"/>
      <c r="L17" s="569"/>
      <c r="M17" s="570">
        <f t="shared" si="0"/>
        <v>0</v>
      </c>
      <c r="N17" s="550"/>
      <c r="O17" s="571" t="str">
        <f>IF(I17="","",VLOOKUP(I17,tab!$A$119:$W$159,J17+3,FALSE))</f>
        <v/>
      </c>
      <c r="P17" s="572">
        <f t="shared" si="1"/>
        <v>0</v>
      </c>
      <c r="Q17" s="589">
        <f>Q14</f>
        <v>0.6</v>
      </c>
      <c r="R17" s="573" t="str">
        <f t="shared" ref="R17:R30" si="3">IF(E17=0,"",(P17)*Q17)</f>
        <v/>
      </c>
      <c r="S17" s="332">
        <f>IF(L17="",0,(((O17*12)*L17)*(1+tab!$D$108)*tab!$E$110))</f>
        <v>0</v>
      </c>
      <c r="T17" s="580">
        <f t="shared" ref="T17:T30" si="4">IF(E17=0,0,(P17+R17+S17))</f>
        <v>0</v>
      </c>
      <c r="U17" s="243">
        <f t="shared" ref="U17:U30" si="5">IF(G17&lt;25,0,IF(G17=25,25,IF(G17&lt;40,0,IF(G17=40,40,IF(G17&gt;=40,0)))))</f>
        <v>0</v>
      </c>
      <c r="V17" s="332">
        <f t="shared" si="2"/>
        <v>0</v>
      </c>
      <c r="W17" s="541"/>
      <c r="X17" s="481"/>
      <c r="Y17" s="397"/>
      <c r="Z17" s="349"/>
      <c r="AA17" s="350"/>
      <c r="AB17" s="398"/>
      <c r="AC17" s="68"/>
      <c r="AD17" s="68"/>
      <c r="AL17" s="68"/>
      <c r="AM17" s="68"/>
      <c r="AN17" s="254"/>
      <c r="AO17" s="395"/>
    </row>
    <row r="18" spans="2:41" ht="12.75" customHeight="1">
      <c r="B18" s="92"/>
      <c r="C18" s="131"/>
      <c r="D18" s="169"/>
      <c r="E18" s="169"/>
      <c r="F18" s="169"/>
      <c r="G18" s="170"/>
      <c r="H18" s="566"/>
      <c r="I18" s="567"/>
      <c r="J18" s="567"/>
      <c r="K18" s="568"/>
      <c r="L18" s="569"/>
      <c r="M18" s="570">
        <f t="shared" si="0"/>
        <v>0</v>
      </c>
      <c r="N18" s="550"/>
      <c r="O18" s="571" t="str">
        <f>IF(I18="","",VLOOKUP(I18,tab!$A$119:$W$159,J18+3,FALSE))</f>
        <v/>
      </c>
      <c r="P18" s="572">
        <f t="shared" si="1"/>
        <v>0</v>
      </c>
      <c r="Q18" s="589">
        <f>Q14</f>
        <v>0.6</v>
      </c>
      <c r="R18" s="573" t="str">
        <f t="shared" si="3"/>
        <v/>
      </c>
      <c r="S18" s="332">
        <f>IF(L18="",0,(((O18*12)*L18)*(1+tab!$D$108)*tab!$E$110))</f>
        <v>0</v>
      </c>
      <c r="T18" s="580">
        <f t="shared" si="4"/>
        <v>0</v>
      </c>
      <c r="U18" s="243">
        <f t="shared" si="5"/>
        <v>0</v>
      </c>
      <c r="V18" s="332">
        <f t="shared" si="2"/>
        <v>0</v>
      </c>
      <c r="W18" s="541"/>
      <c r="X18" s="481"/>
      <c r="Y18" s="397"/>
      <c r="Z18" s="349"/>
      <c r="AA18" s="350"/>
      <c r="AB18" s="398"/>
      <c r="AC18" s="68"/>
      <c r="AD18" s="68"/>
      <c r="AL18" s="68"/>
      <c r="AM18" s="68"/>
      <c r="AN18" s="254"/>
      <c r="AO18" s="395"/>
    </row>
    <row r="19" spans="2:41" ht="12.75" customHeight="1">
      <c r="B19" s="92"/>
      <c r="C19" s="131"/>
      <c r="D19" s="169"/>
      <c r="E19" s="169"/>
      <c r="F19" s="169"/>
      <c r="G19" s="170"/>
      <c r="H19" s="566"/>
      <c r="I19" s="567"/>
      <c r="J19" s="567"/>
      <c r="K19" s="568"/>
      <c r="L19" s="569"/>
      <c r="M19" s="570">
        <f t="shared" si="0"/>
        <v>0</v>
      </c>
      <c r="N19" s="550"/>
      <c r="O19" s="571" t="str">
        <f>IF(I19="","",VLOOKUP(I19,tab!$A$119:$W$159,J19+3,FALSE))</f>
        <v/>
      </c>
      <c r="P19" s="572">
        <f t="shared" si="1"/>
        <v>0</v>
      </c>
      <c r="Q19" s="589">
        <f>Q14</f>
        <v>0.6</v>
      </c>
      <c r="R19" s="573" t="str">
        <f t="shared" si="3"/>
        <v/>
      </c>
      <c r="S19" s="332">
        <f>IF(L19="",0,(((O19*12)*L19)*(1+tab!$D$108)*tab!$E$110))</f>
        <v>0</v>
      </c>
      <c r="T19" s="580">
        <f t="shared" si="4"/>
        <v>0</v>
      </c>
      <c r="U19" s="243">
        <f t="shared" si="5"/>
        <v>0</v>
      </c>
      <c r="V19" s="332">
        <f t="shared" si="2"/>
        <v>0</v>
      </c>
      <c r="W19" s="541"/>
      <c r="X19" s="481"/>
      <c r="Y19" s="397"/>
      <c r="Z19" s="349"/>
      <c r="AA19" s="350"/>
      <c r="AB19" s="398"/>
      <c r="AC19" s="68"/>
      <c r="AD19" s="68"/>
      <c r="AL19" s="68"/>
      <c r="AM19" s="68"/>
      <c r="AN19" s="254"/>
      <c r="AO19" s="395"/>
    </row>
    <row r="20" spans="2:41" ht="12.75" customHeight="1">
      <c r="B20" s="92"/>
      <c r="C20" s="131"/>
      <c r="D20" s="169"/>
      <c r="E20" s="169"/>
      <c r="F20" s="169"/>
      <c r="G20" s="170"/>
      <c r="H20" s="566"/>
      <c r="I20" s="567"/>
      <c r="J20" s="567"/>
      <c r="K20" s="568"/>
      <c r="L20" s="569"/>
      <c r="M20" s="570">
        <f t="shared" si="0"/>
        <v>0</v>
      </c>
      <c r="N20" s="550"/>
      <c r="O20" s="571" t="str">
        <f>IF(I20="","",VLOOKUP(I20,tab!$A$119:$W$159,J20+3,FALSE))</f>
        <v/>
      </c>
      <c r="P20" s="572">
        <f t="shared" si="1"/>
        <v>0</v>
      </c>
      <c r="Q20" s="589">
        <f>Q14</f>
        <v>0.6</v>
      </c>
      <c r="R20" s="573" t="str">
        <f t="shared" si="3"/>
        <v/>
      </c>
      <c r="S20" s="332">
        <f>IF(L20="",0,(((O20*12)*L20)*(1+tab!$D$108)*tab!$E$110))</f>
        <v>0</v>
      </c>
      <c r="T20" s="580">
        <f t="shared" si="4"/>
        <v>0</v>
      </c>
      <c r="U20" s="243">
        <f t="shared" si="5"/>
        <v>0</v>
      </c>
      <c r="V20" s="332">
        <f t="shared" si="2"/>
        <v>0</v>
      </c>
      <c r="W20" s="541"/>
      <c r="X20" s="481"/>
      <c r="Y20" s="397"/>
      <c r="Z20" s="349"/>
      <c r="AA20" s="350"/>
      <c r="AB20" s="398"/>
      <c r="AC20" s="68"/>
      <c r="AD20" s="68"/>
      <c r="AL20" s="68"/>
      <c r="AM20" s="68"/>
      <c r="AN20" s="254"/>
      <c r="AO20" s="395"/>
    </row>
    <row r="21" spans="2:41" ht="12.75" customHeight="1">
      <c r="B21" s="92"/>
      <c r="C21" s="131"/>
      <c r="D21" s="169"/>
      <c r="E21" s="169"/>
      <c r="F21" s="169"/>
      <c r="G21" s="170"/>
      <c r="H21" s="566"/>
      <c r="I21" s="567"/>
      <c r="J21" s="567"/>
      <c r="K21" s="568"/>
      <c r="L21" s="569"/>
      <c r="M21" s="570">
        <f t="shared" si="0"/>
        <v>0</v>
      </c>
      <c r="N21" s="550"/>
      <c r="O21" s="571" t="str">
        <f>IF(I21="","",VLOOKUP(I21,tab!$A$119:$W$159,J21+3,FALSE))</f>
        <v/>
      </c>
      <c r="P21" s="572">
        <f t="shared" si="1"/>
        <v>0</v>
      </c>
      <c r="Q21" s="589">
        <f>Q14</f>
        <v>0.6</v>
      </c>
      <c r="R21" s="573" t="str">
        <f t="shared" si="3"/>
        <v/>
      </c>
      <c r="S21" s="332">
        <f>IF(L21="",0,(((O21*12)*L21)*(1+tab!$D$108)*tab!$E$110))</f>
        <v>0</v>
      </c>
      <c r="T21" s="580">
        <f t="shared" si="4"/>
        <v>0</v>
      </c>
      <c r="U21" s="243">
        <f t="shared" si="5"/>
        <v>0</v>
      </c>
      <c r="V21" s="332">
        <f t="shared" si="2"/>
        <v>0</v>
      </c>
      <c r="W21" s="541"/>
      <c r="X21" s="481"/>
      <c r="Y21" s="397"/>
      <c r="Z21" s="349"/>
      <c r="AA21" s="350"/>
      <c r="AB21" s="398"/>
      <c r="AC21" s="68"/>
      <c r="AD21" s="68"/>
      <c r="AL21" s="68"/>
      <c r="AM21" s="68"/>
      <c r="AN21" s="254"/>
      <c r="AO21" s="395"/>
    </row>
    <row r="22" spans="2:41" ht="12.75" customHeight="1">
      <c r="B22" s="92"/>
      <c r="C22" s="131"/>
      <c r="D22" s="169"/>
      <c r="E22" s="169"/>
      <c r="F22" s="169"/>
      <c r="G22" s="170"/>
      <c r="H22" s="566"/>
      <c r="I22" s="567"/>
      <c r="J22" s="567"/>
      <c r="K22" s="568"/>
      <c r="L22" s="569"/>
      <c r="M22" s="570">
        <f t="shared" si="0"/>
        <v>0</v>
      </c>
      <c r="N22" s="550"/>
      <c r="O22" s="571" t="str">
        <f>IF(I22="","",VLOOKUP(I22,tab!$A$119:$W$159,J22+3,FALSE))</f>
        <v/>
      </c>
      <c r="P22" s="572">
        <f t="shared" si="1"/>
        <v>0</v>
      </c>
      <c r="Q22" s="589">
        <f>Q14</f>
        <v>0.6</v>
      </c>
      <c r="R22" s="573" t="str">
        <f t="shared" si="3"/>
        <v/>
      </c>
      <c r="S22" s="332">
        <f>IF(L22="",0,(((O22*12)*L22)*(1+tab!$D$108)*tab!$E$110))</f>
        <v>0</v>
      </c>
      <c r="T22" s="580">
        <f t="shared" si="4"/>
        <v>0</v>
      </c>
      <c r="U22" s="243">
        <f t="shared" si="5"/>
        <v>0</v>
      </c>
      <c r="V22" s="332">
        <f t="shared" si="2"/>
        <v>0</v>
      </c>
      <c r="W22" s="541"/>
      <c r="X22" s="481"/>
      <c r="Y22" s="397"/>
      <c r="Z22" s="349"/>
      <c r="AA22" s="350"/>
      <c r="AB22" s="398"/>
      <c r="AC22" s="68"/>
      <c r="AD22" s="68"/>
      <c r="AL22" s="68"/>
      <c r="AM22" s="68"/>
      <c r="AN22" s="254"/>
      <c r="AO22" s="395"/>
    </row>
    <row r="23" spans="2:41" ht="12.75" customHeight="1">
      <c r="B23" s="92"/>
      <c r="C23" s="131"/>
      <c r="D23" s="169"/>
      <c r="E23" s="169"/>
      <c r="F23" s="169"/>
      <c r="G23" s="170"/>
      <c r="H23" s="566"/>
      <c r="I23" s="567"/>
      <c r="J23" s="567"/>
      <c r="K23" s="568"/>
      <c r="L23" s="569"/>
      <c r="M23" s="570">
        <f t="shared" si="0"/>
        <v>0</v>
      </c>
      <c r="N23" s="550"/>
      <c r="O23" s="571" t="str">
        <f>IF(I23="","",VLOOKUP(I23,tab!$A$119:$W$159,J23+3,FALSE))</f>
        <v/>
      </c>
      <c r="P23" s="572">
        <f t="shared" si="1"/>
        <v>0</v>
      </c>
      <c r="Q23" s="589">
        <f>Q14</f>
        <v>0.6</v>
      </c>
      <c r="R23" s="573" t="str">
        <f t="shared" si="3"/>
        <v/>
      </c>
      <c r="S23" s="332">
        <f>IF(L23="",0,(((O23*12)*L23)*(1+tab!$D$108)*tab!$E$110))</f>
        <v>0</v>
      </c>
      <c r="T23" s="580">
        <f t="shared" si="4"/>
        <v>0</v>
      </c>
      <c r="U23" s="243">
        <f t="shared" si="5"/>
        <v>0</v>
      </c>
      <c r="V23" s="332">
        <f t="shared" si="2"/>
        <v>0</v>
      </c>
      <c r="W23" s="541"/>
      <c r="X23" s="481"/>
      <c r="Y23" s="397"/>
      <c r="Z23" s="349"/>
      <c r="AA23" s="350"/>
      <c r="AB23" s="398"/>
      <c r="AC23" s="68"/>
      <c r="AD23" s="68"/>
      <c r="AL23" s="68"/>
      <c r="AM23" s="68"/>
      <c r="AN23" s="254"/>
      <c r="AO23" s="395"/>
    </row>
    <row r="24" spans="2:41" ht="12.75" customHeight="1">
      <c r="B24" s="92"/>
      <c r="C24" s="131"/>
      <c r="D24" s="169"/>
      <c r="E24" s="169"/>
      <c r="F24" s="169"/>
      <c r="G24" s="170"/>
      <c r="H24" s="566"/>
      <c r="I24" s="567"/>
      <c r="J24" s="567"/>
      <c r="K24" s="568"/>
      <c r="L24" s="569"/>
      <c r="M24" s="570">
        <f t="shared" si="0"/>
        <v>0</v>
      </c>
      <c r="N24" s="550"/>
      <c r="O24" s="571" t="str">
        <f>IF(I24="","",VLOOKUP(I24,tab!$A$119:$W$159,J24+3,FALSE))</f>
        <v/>
      </c>
      <c r="P24" s="572">
        <f t="shared" si="1"/>
        <v>0</v>
      </c>
      <c r="Q24" s="589">
        <f>Q14</f>
        <v>0.6</v>
      </c>
      <c r="R24" s="573" t="str">
        <f t="shared" si="3"/>
        <v/>
      </c>
      <c r="S24" s="332">
        <f>IF(L24="",0,(((O24*12)*L24)*(1+tab!$D$108)*tab!$E$110))</f>
        <v>0</v>
      </c>
      <c r="T24" s="580">
        <f t="shared" si="4"/>
        <v>0</v>
      </c>
      <c r="U24" s="243">
        <f t="shared" si="5"/>
        <v>0</v>
      </c>
      <c r="V24" s="332">
        <f t="shared" si="2"/>
        <v>0</v>
      </c>
      <c r="W24" s="541"/>
      <c r="X24" s="481"/>
      <c r="Y24" s="397"/>
      <c r="Z24" s="349"/>
      <c r="AA24" s="350"/>
      <c r="AB24" s="398"/>
      <c r="AC24" s="68"/>
      <c r="AD24" s="68"/>
      <c r="AL24" s="68"/>
      <c r="AM24" s="68"/>
      <c r="AN24" s="254"/>
      <c r="AO24" s="395"/>
    </row>
    <row r="25" spans="2:41" ht="12.75" customHeight="1">
      <c r="B25" s="92"/>
      <c r="C25" s="131"/>
      <c r="D25" s="169"/>
      <c r="E25" s="169"/>
      <c r="F25" s="169"/>
      <c r="G25" s="170"/>
      <c r="H25" s="566"/>
      <c r="I25" s="567"/>
      <c r="J25" s="567"/>
      <c r="K25" s="568"/>
      <c r="L25" s="569"/>
      <c r="M25" s="570">
        <f t="shared" si="0"/>
        <v>0</v>
      </c>
      <c r="N25" s="550"/>
      <c r="O25" s="571" t="str">
        <f>IF(I25="","",VLOOKUP(I25,tab!$A$119:$W$159,J25+3,FALSE))</f>
        <v/>
      </c>
      <c r="P25" s="572">
        <f t="shared" si="1"/>
        <v>0</v>
      </c>
      <c r="Q25" s="589">
        <f>Q14</f>
        <v>0.6</v>
      </c>
      <c r="R25" s="573" t="str">
        <f t="shared" si="3"/>
        <v/>
      </c>
      <c r="S25" s="332">
        <f>IF(L25="",0,(((O25*12)*L25)*(1+tab!$D$108)*tab!$E$110))</f>
        <v>0</v>
      </c>
      <c r="T25" s="580">
        <f t="shared" si="4"/>
        <v>0</v>
      </c>
      <c r="U25" s="243">
        <f t="shared" si="5"/>
        <v>0</v>
      </c>
      <c r="V25" s="332">
        <f t="shared" si="2"/>
        <v>0</v>
      </c>
      <c r="W25" s="541"/>
      <c r="X25" s="481"/>
      <c r="Y25" s="397"/>
      <c r="Z25" s="349"/>
      <c r="AA25" s="350"/>
      <c r="AB25" s="398"/>
      <c r="AC25" s="68"/>
      <c r="AD25" s="68"/>
      <c r="AL25" s="68"/>
      <c r="AM25" s="68"/>
      <c r="AN25" s="254"/>
      <c r="AO25" s="395"/>
    </row>
    <row r="26" spans="2:41" ht="12.75" customHeight="1">
      <c r="B26" s="92"/>
      <c r="C26" s="131"/>
      <c r="D26" s="169"/>
      <c r="E26" s="169"/>
      <c r="F26" s="169"/>
      <c r="G26" s="170"/>
      <c r="H26" s="566"/>
      <c r="I26" s="567"/>
      <c r="J26" s="567"/>
      <c r="K26" s="568"/>
      <c r="L26" s="569"/>
      <c r="M26" s="570">
        <f t="shared" si="0"/>
        <v>0</v>
      </c>
      <c r="N26" s="550"/>
      <c r="O26" s="571" t="str">
        <f>IF(I26="","",VLOOKUP(I26,tab!$A$119:$W$159,J26+3,FALSE))</f>
        <v/>
      </c>
      <c r="P26" s="572">
        <f t="shared" si="1"/>
        <v>0</v>
      </c>
      <c r="Q26" s="589">
        <f>Q14</f>
        <v>0.6</v>
      </c>
      <c r="R26" s="573" t="str">
        <f t="shared" si="3"/>
        <v/>
      </c>
      <c r="S26" s="332">
        <f>IF(L26="",0,(((O26*12)*L26)*(1+tab!$D$108)*tab!$E$110))</f>
        <v>0</v>
      </c>
      <c r="T26" s="580">
        <f t="shared" si="4"/>
        <v>0</v>
      </c>
      <c r="U26" s="243">
        <f t="shared" si="5"/>
        <v>0</v>
      </c>
      <c r="V26" s="332">
        <f t="shared" si="2"/>
        <v>0</v>
      </c>
      <c r="W26" s="541"/>
      <c r="X26" s="481"/>
      <c r="Y26" s="397"/>
      <c r="Z26" s="349"/>
      <c r="AA26" s="350"/>
      <c r="AB26" s="398"/>
      <c r="AC26" s="68"/>
      <c r="AD26" s="68"/>
      <c r="AL26" s="68"/>
      <c r="AM26" s="68"/>
      <c r="AN26" s="254"/>
      <c r="AO26" s="395"/>
    </row>
    <row r="27" spans="2:41" ht="12.75" customHeight="1">
      <c r="B27" s="92"/>
      <c r="C27" s="131"/>
      <c r="D27" s="169"/>
      <c r="E27" s="169"/>
      <c r="F27" s="169"/>
      <c r="G27" s="170"/>
      <c r="H27" s="566"/>
      <c r="I27" s="567"/>
      <c r="J27" s="567"/>
      <c r="K27" s="568"/>
      <c r="L27" s="569"/>
      <c r="M27" s="570">
        <f t="shared" si="0"/>
        <v>0</v>
      </c>
      <c r="N27" s="550"/>
      <c r="O27" s="571" t="str">
        <f>IF(I27="","",VLOOKUP(I27,tab!$A$119:$W$159,J27+3,FALSE))</f>
        <v/>
      </c>
      <c r="P27" s="572">
        <f t="shared" si="1"/>
        <v>0</v>
      </c>
      <c r="Q27" s="589">
        <f>Q14</f>
        <v>0.6</v>
      </c>
      <c r="R27" s="573" t="str">
        <f t="shared" si="3"/>
        <v/>
      </c>
      <c r="S27" s="332">
        <f>IF(L27="",0,(((O27*12)*L27)*(1+tab!$D$108)*tab!$E$110))</f>
        <v>0</v>
      </c>
      <c r="T27" s="580">
        <f t="shared" si="4"/>
        <v>0</v>
      </c>
      <c r="U27" s="243">
        <f t="shared" si="5"/>
        <v>0</v>
      </c>
      <c r="V27" s="332">
        <f t="shared" si="2"/>
        <v>0</v>
      </c>
      <c r="W27" s="541"/>
      <c r="X27" s="481"/>
      <c r="Y27" s="397"/>
      <c r="Z27" s="349"/>
      <c r="AA27" s="350"/>
      <c r="AB27" s="398"/>
      <c r="AC27" s="68"/>
      <c r="AD27" s="68"/>
      <c r="AL27" s="68"/>
      <c r="AM27" s="68"/>
      <c r="AN27" s="254"/>
      <c r="AO27" s="395"/>
    </row>
    <row r="28" spans="2:41" ht="12.75" customHeight="1">
      <c r="B28" s="92"/>
      <c r="C28" s="131"/>
      <c r="D28" s="169"/>
      <c r="E28" s="169"/>
      <c r="F28" s="169"/>
      <c r="G28" s="170"/>
      <c r="H28" s="566"/>
      <c r="I28" s="567"/>
      <c r="J28" s="567"/>
      <c r="K28" s="568"/>
      <c r="L28" s="569"/>
      <c r="M28" s="570">
        <f t="shared" si="0"/>
        <v>0</v>
      </c>
      <c r="N28" s="550"/>
      <c r="O28" s="571" t="str">
        <f>IF(I28="","",VLOOKUP(I28,tab!$A$119:$W$159,J28+3,FALSE))</f>
        <v/>
      </c>
      <c r="P28" s="572">
        <f t="shared" si="1"/>
        <v>0</v>
      </c>
      <c r="Q28" s="589">
        <f>Q14</f>
        <v>0.6</v>
      </c>
      <c r="R28" s="573" t="str">
        <f t="shared" si="3"/>
        <v/>
      </c>
      <c r="S28" s="332">
        <f>IF(L28="",0,(((O28*12)*L28)*(1+tab!$D$108)*tab!$E$110))</f>
        <v>0</v>
      </c>
      <c r="T28" s="580">
        <f t="shared" si="4"/>
        <v>0</v>
      </c>
      <c r="U28" s="243">
        <f t="shared" si="5"/>
        <v>0</v>
      </c>
      <c r="V28" s="332">
        <f t="shared" si="2"/>
        <v>0</v>
      </c>
      <c r="W28" s="541"/>
      <c r="X28" s="481"/>
      <c r="Y28" s="397"/>
      <c r="Z28" s="349"/>
      <c r="AA28" s="350"/>
      <c r="AB28" s="398"/>
      <c r="AC28" s="68"/>
      <c r="AD28" s="68"/>
      <c r="AL28" s="68"/>
      <c r="AM28" s="68"/>
      <c r="AN28" s="254"/>
      <c r="AO28" s="395"/>
    </row>
    <row r="29" spans="2:41" ht="12.75" customHeight="1">
      <c r="B29" s="92"/>
      <c r="C29" s="131"/>
      <c r="D29" s="169"/>
      <c r="E29" s="169"/>
      <c r="F29" s="169"/>
      <c r="G29" s="170"/>
      <c r="H29" s="566"/>
      <c r="I29" s="567"/>
      <c r="J29" s="567"/>
      <c r="K29" s="568"/>
      <c r="L29" s="569"/>
      <c r="M29" s="570">
        <f t="shared" si="0"/>
        <v>0</v>
      </c>
      <c r="N29" s="550"/>
      <c r="O29" s="571" t="str">
        <f>IF(I29="","",VLOOKUP(I29,tab!$A$119:$W$159,J29+3,FALSE))</f>
        <v/>
      </c>
      <c r="P29" s="572">
        <f t="shared" si="1"/>
        <v>0</v>
      </c>
      <c r="Q29" s="589">
        <f>Q14</f>
        <v>0.6</v>
      </c>
      <c r="R29" s="573" t="str">
        <f t="shared" si="3"/>
        <v/>
      </c>
      <c r="S29" s="332">
        <f>IF(L29="",0,(((O29*12)*L29)*(1+tab!$D$108)*tab!$E$110))</f>
        <v>0</v>
      </c>
      <c r="T29" s="580">
        <f t="shared" si="4"/>
        <v>0</v>
      </c>
      <c r="U29" s="243">
        <f t="shared" si="5"/>
        <v>0</v>
      </c>
      <c r="V29" s="332">
        <f t="shared" si="2"/>
        <v>0</v>
      </c>
      <c r="W29" s="541"/>
      <c r="X29" s="480"/>
      <c r="Y29" s="395"/>
      <c r="Z29" s="396"/>
      <c r="AA29" s="350"/>
      <c r="AB29" s="349"/>
      <c r="AC29" s="68"/>
      <c r="AD29" s="68"/>
      <c r="AL29" s="68"/>
      <c r="AM29" s="68"/>
      <c r="AN29" s="395"/>
      <c r="AO29" s="254"/>
    </row>
    <row r="30" spans="2:41" ht="12.75" customHeight="1">
      <c r="B30" s="92"/>
      <c r="C30" s="131"/>
      <c r="D30" s="169"/>
      <c r="E30" s="169"/>
      <c r="F30" s="169"/>
      <c r="G30" s="170"/>
      <c r="H30" s="566"/>
      <c r="I30" s="567"/>
      <c r="J30" s="567"/>
      <c r="K30" s="568"/>
      <c r="L30" s="569"/>
      <c r="M30" s="570">
        <f t="shared" si="0"/>
        <v>0</v>
      </c>
      <c r="N30" s="550"/>
      <c r="O30" s="571" t="str">
        <f>IF(I30="","",VLOOKUP(I30,tab!$A$119:$W$159,J30+3,FALSE))</f>
        <v/>
      </c>
      <c r="P30" s="572">
        <f t="shared" si="1"/>
        <v>0</v>
      </c>
      <c r="Q30" s="589">
        <f>Q14</f>
        <v>0.6</v>
      </c>
      <c r="R30" s="573" t="str">
        <f t="shared" si="3"/>
        <v/>
      </c>
      <c r="S30" s="332">
        <f>IF(L30="",0,(((O30*12)*L30)*(1+tab!$D$108)*tab!$E$110))</f>
        <v>0</v>
      </c>
      <c r="T30" s="580">
        <f t="shared" si="4"/>
        <v>0</v>
      </c>
      <c r="U30" s="243">
        <f t="shared" si="5"/>
        <v>0</v>
      </c>
      <c r="V30" s="332">
        <f t="shared" si="2"/>
        <v>0</v>
      </c>
      <c r="W30" s="541"/>
      <c r="X30" s="480"/>
      <c r="Y30" s="395"/>
      <c r="Z30" s="396"/>
      <c r="AA30" s="350"/>
      <c r="AB30" s="349"/>
      <c r="AC30" s="68"/>
      <c r="AD30" s="68"/>
      <c r="AL30" s="68"/>
      <c r="AM30" s="68"/>
      <c r="AN30" s="395"/>
      <c r="AO30" s="254"/>
    </row>
    <row r="31" spans="2:41" ht="12.75" customHeight="1">
      <c r="B31" s="92"/>
      <c r="C31" s="131"/>
      <c r="D31" s="319"/>
      <c r="E31" s="319"/>
      <c r="F31" s="319"/>
      <c r="G31" s="555"/>
      <c r="H31" s="556"/>
      <c r="I31" s="135"/>
      <c r="J31" s="135"/>
      <c r="K31" s="575">
        <f>SUM(K16:K30)</f>
        <v>0</v>
      </c>
      <c r="L31" s="575">
        <f>SUM(L16:L30)</f>
        <v>0</v>
      </c>
      <c r="M31" s="575">
        <f>SUM(M16:M30)</f>
        <v>0</v>
      </c>
      <c r="N31" s="555"/>
      <c r="O31" s="309">
        <f t="shared" ref="O31:V31" si="6">SUM(O16:O30)</f>
        <v>0</v>
      </c>
      <c r="P31" s="309">
        <f t="shared" si="6"/>
        <v>0</v>
      </c>
      <c r="Q31" s="590"/>
      <c r="R31" s="344">
        <f t="shared" si="6"/>
        <v>0</v>
      </c>
      <c r="S31" s="344">
        <f t="shared" si="6"/>
        <v>0</v>
      </c>
      <c r="T31" s="309">
        <f t="shared" si="6"/>
        <v>0</v>
      </c>
      <c r="U31" s="574">
        <f t="shared" si="6"/>
        <v>0</v>
      </c>
      <c r="V31" s="344">
        <f t="shared" si="6"/>
        <v>0</v>
      </c>
      <c r="W31" s="554"/>
      <c r="X31" s="482"/>
      <c r="Y31" s="397"/>
      <c r="Z31" s="349"/>
      <c r="AA31" s="350"/>
      <c r="AB31" s="398"/>
      <c r="AC31" s="68"/>
      <c r="AD31" s="68"/>
      <c r="AL31" s="68"/>
      <c r="AM31" s="68"/>
      <c r="AN31" s="254"/>
      <c r="AO31" s="395"/>
    </row>
    <row r="32" spans="2:41" ht="12.75" customHeight="1">
      <c r="B32" s="92"/>
      <c r="C32" s="141"/>
      <c r="D32" s="557"/>
      <c r="E32" s="557"/>
      <c r="F32" s="557"/>
      <c r="G32" s="557"/>
      <c r="H32" s="558"/>
      <c r="I32" s="146"/>
      <c r="J32" s="559"/>
      <c r="K32" s="560"/>
      <c r="L32" s="559"/>
      <c r="M32" s="560"/>
      <c r="N32" s="557"/>
      <c r="O32" s="559"/>
      <c r="P32" s="299"/>
      <c r="Q32" s="590"/>
      <c r="R32" s="561"/>
      <c r="S32" s="562"/>
      <c r="T32" s="299"/>
      <c r="U32" s="563"/>
      <c r="V32" s="562"/>
      <c r="W32" s="565"/>
      <c r="X32" s="482"/>
      <c r="Y32" s="397"/>
      <c r="Z32" s="349"/>
      <c r="AA32" s="350"/>
      <c r="AB32" s="398"/>
      <c r="AC32" s="68"/>
      <c r="AD32" s="68"/>
      <c r="AL32" s="68"/>
      <c r="AM32" s="68"/>
      <c r="AN32" s="254"/>
      <c r="AO32" s="395"/>
    </row>
    <row r="33" spans="1:41" ht="12.75" customHeight="1">
      <c r="B33" s="92"/>
      <c r="C33" s="93"/>
      <c r="D33" s="271"/>
      <c r="E33" s="271"/>
      <c r="F33" s="271"/>
      <c r="G33" s="271"/>
      <c r="H33" s="434"/>
      <c r="I33" s="95"/>
      <c r="J33" s="437"/>
      <c r="K33" s="436"/>
      <c r="L33" s="437"/>
      <c r="M33" s="436"/>
      <c r="N33" s="271"/>
      <c r="O33" s="437"/>
      <c r="P33" s="264"/>
      <c r="Q33" s="591"/>
      <c r="R33" s="483"/>
      <c r="S33" s="484"/>
      <c r="T33" s="264"/>
      <c r="U33" s="485"/>
      <c r="V33" s="484"/>
      <c r="W33" s="435"/>
      <c r="X33" s="482"/>
      <c r="Y33" s="397"/>
      <c r="Z33" s="349"/>
      <c r="AA33" s="350"/>
      <c r="AB33" s="398"/>
      <c r="AC33" s="68"/>
      <c r="AD33" s="68"/>
      <c r="AL33" s="68"/>
      <c r="AM33" s="68"/>
      <c r="AN33" s="254"/>
      <c r="AO33" s="395"/>
    </row>
    <row r="34" spans="1:41" ht="12.75" customHeight="1">
      <c r="B34" s="92"/>
      <c r="C34" s="93"/>
      <c r="D34" s="271"/>
      <c r="E34" s="271"/>
      <c r="F34" s="271"/>
      <c r="G34" s="271"/>
      <c r="H34" s="434"/>
      <c r="I34" s="95"/>
      <c r="J34" s="437"/>
      <c r="K34" s="436"/>
      <c r="L34" s="437"/>
      <c r="M34" s="436"/>
      <c r="N34" s="271"/>
      <c r="O34" s="437"/>
      <c r="P34" s="264"/>
      <c r="Q34" s="591"/>
      <c r="R34" s="483"/>
      <c r="S34" s="484"/>
      <c r="T34" s="264"/>
      <c r="U34" s="485"/>
      <c r="V34" s="484"/>
      <c r="W34" s="435"/>
      <c r="X34" s="482"/>
      <c r="Y34" s="397"/>
      <c r="Z34" s="349"/>
      <c r="AA34" s="350"/>
      <c r="AB34" s="398"/>
      <c r="AC34" s="68"/>
      <c r="AD34" s="68"/>
      <c r="AL34" s="68"/>
      <c r="AM34" s="68"/>
      <c r="AN34" s="254"/>
      <c r="AO34" s="395"/>
    </row>
    <row r="35" spans="1:41" ht="12.75" customHeight="1">
      <c r="B35" s="92"/>
      <c r="C35" s="93" t="s">
        <v>290</v>
      </c>
      <c r="D35" s="271"/>
      <c r="E35" s="486" t="str">
        <f>tab!E2</f>
        <v>2013/14</v>
      </c>
      <c r="F35" s="271"/>
      <c r="G35" s="271"/>
      <c r="H35" s="434"/>
      <c r="I35" s="95"/>
      <c r="J35" s="437"/>
      <c r="K35" s="436"/>
      <c r="L35" s="437"/>
      <c r="M35" s="436"/>
      <c r="N35" s="271"/>
      <c r="O35" s="437"/>
      <c r="P35" s="264"/>
      <c r="Q35" s="591"/>
      <c r="R35" s="483"/>
      <c r="S35" s="484"/>
      <c r="T35" s="264"/>
      <c r="U35" s="485"/>
      <c r="V35" s="484"/>
      <c r="W35" s="435"/>
      <c r="X35" s="482"/>
      <c r="Y35" s="397"/>
      <c r="Z35" s="349"/>
      <c r="AA35" s="350"/>
      <c r="AB35" s="398"/>
      <c r="AC35" s="68"/>
      <c r="AD35" s="68"/>
      <c r="AL35" s="68"/>
      <c r="AM35" s="68"/>
      <c r="AN35" s="254"/>
      <c r="AO35" s="395"/>
    </row>
    <row r="36" spans="1:41" ht="12.75" customHeight="1">
      <c r="B36" s="92"/>
      <c r="C36" s="271" t="s">
        <v>291</v>
      </c>
      <c r="D36" s="271"/>
      <c r="E36" s="455">
        <f>tab!F3</f>
        <v>41548</v>
      </c>
      <c r="F36" s="271"/>
      <c r="G36" s="271"/>
      <c r="H36" s="434"/>
      <c r="I36" s="95"/>
      <c r="J36" s="437"/>
      <c r="K36" s="436"/>
      <c r="L36" s="437"/>
      <c r="M36" s="436"/>
      <c r="N36" s="271"/>
      <c r="O36" s="437"/>
      <c r="P36" s="264"/>
      <c r="Q36" s="591"/>
      <c r="R36" s="483"/>
      <c r="S36" s="484"/>
      <c r="T36" s="264"/>
      <c r="U36" s="485"/>
      <c r="V36" s="484"/>
      <c r="W36" s="435"/>
      <c r="X36" s="482"/>
      <c r="Y36" s="397"/>
      <c r="Z36" s="349"/>
      <c r="AA36" s="350"/>
      <c r="AB36" s="398"/>
      <c r="AC36" s="68"/>
      <c r="AD36" s="68"/>
      <c r="AL36" s="68"/>
      <c r="AM36" s="68"/>
      <c r="AN36" s="254"/>
      <c r="AO36" s="395"/>
    </row>
    <row r="37" spans="1:41" ht="12.75" customHeight="1">
      <c r="B37" s="92"/>
      <c r="C37" s="93"/>
      <c r="D37" s="271"/>
      <c r="E37" s="271"/>
      <c r="F37" s="271"/>
      <c r="G37" s="271"/>
      <c r="H37" s="434"/>
      <c r="I37" s="95"/>
      <c r="J37" s="437"/>
      <c r="K37" s="436"/>
      <c r="L37" s="437"/>
      <c r="M37" s="436"/>
      <c r="N37" s="271"/>
      <c r="O37" s="437"/>
      <c r="P37" s="264"/>
      <c r="Q37" s="591"/>
      <c r="R37" s="483"/>
      <c r="S37" s="484"/>
      <c r="T37" s="264"/>
      <c r="U37" s="485"/>
      <c r="V37" s="484"/>
      <c r="W37" s="435"/>
      <c r="X37" s="482"/>
      <c r="Y37" s="397"/>
      <c r="Z37" s="349"/>
      <c r="AA37" s="350"/>
      <c r="AB37" s="398"/>
      <c r="AC37" s="68"/>
      <c r="AD37" s="68"/>
      <c r="AL37" s="68"/>
      <c r="AM37" s="68"/>
      <c r="AN37" s="254"/>
      <c r="AO37" s="395"/>
    </row>
    <row r="38" spans="1:41" ht="12.75" customHeight="1">
      <c r="B38" s="92"/>
      <c r="C38" s="124"/>
      <c r="D38" s="514"/>
      <c r="E38" s="515"/>
      <c r="F38" s="516"/>
      <c r="G38" s="129"/>
      <c r="H38" s="517"/>
      <c r="I38" s="518"/>
      <c r="J38" s="518"/>
      <c r="K38" s="519"/>
      <c r="L38" s="518"/>
      <c r="M38" s="520"/>
      <c r="N38" s="127"/>
      <c r="O38" s="521"/>
      <c r="P38" s="127"/>
      <c r="Q38" s="586"/>
      <c r="R38" s="129"/>
      <c r="S38" s="522"/>
      <c r="T38" s="302"/>
      <c r="U38" s="523"/>
      <c r="V38" s="522"/>
      <c r="W38" s="130"/>
      <c r="X38" s="97"/>
      <c r="AC38" s="348"/>
      <c r="AD38" s="353"/>
      <c r="AE38" s="348"/>
      <c r="AF38" s="348"/>
      <c r="AG38" s="348"/>
      <c r="AH38" s="348"/>
      <c r="AI38" s="349"/>
      <c r="AJ38" s="350"/>
      <c r="AK38" s="351"/>
      <c r="AL38" s="368"/>
      <c r="AM38" s="349"/>
    </row>
    <row r="39" spans="1:41" s="72" customFormat="1" ht="12.75" customHeight="1">
      <c r="B39" s="474"/>
      <c r="C39" s="524"/>
      <c r="D39" s="1176" t="s">
        <v>292</v>
      </c>
      <c r="E39" s="1177"/>
      <c r="F39" s="1177"/>
      <c r="G39" s="1177"/>
      <c r="H39" s="1177"/>
      <c r="I39" s="1178"/>
      <c r="J39" s="1178"/>
      <c r="K39" s="1178"/>
      <c r="L39" s="1178"/>
      <c r="M39" s="1178"/>
      <c r="N39" s="525"/>
      <c r="O39" s="1176" t="s">
        <v>293</v>
      </c>
      <c r="P39" s="1178"/>
      <c r="Q39" s="1178"/>
      <c r="R39" s="1178"/>
      <c r="S39" s="1178"/>
      <c r="T39" s="1178"/>
      <c r="U39" s="526"/>
      <c r="V39" s="242"/>
      <c r="W39" s="527"/>
      <c r="X39" s="475"/>
      <c r="Y39" s="380"/>
      <c r="Z39" s="381"/>
      <c r="AA39" s="382"/>
      <c r="AB39" s="381"/>
      <c r="AN39" s="380"/>
      <c r="AO39" s="380"/>
    </row>
    <row r="40" spans="1:41" s="72" customFormat="1" ht="12.75" customHeight="1">
      <c r="B40" s="474"/>
      <c r="C40" s="524"/>
      <c r="D40" s="528" t="s">
        <v>541</v>
      </c>
      <c r="E40" s="528" t="s">
        <v>294</v>
      </c>
      <c r="F40" s="528" t="s">
        <v>295</v>
      </c>
      <c r="G40" s="529" t="s">
        <v>296</v>
      </c>
      <c r="H40" s="530" t="s">
        <v>297</v>
      </c>
      <c r="I40" s="529" t="s">
        <v>302</v>
      </c>
      <c r="J40" s="529" t="s">
        <v>303</v>
      </c>
      <c r="K40" s="531" t="s">
        <v>305</v>
      </c>
      <c r="L40" s="532" t="s">
        <v>306</v>
      </c>
      <c r="M40" s="534" t="s">
        <v>307</v>
      </c>
      <c r="N40" s="533"/>
      <c r="O40" s="535" t="s">
        <v>304</v>
      </c>
      <c r="P40" s="535" t="s">
        <v>738</v>
      </c>
      <c r="Q40" s="587" t="s">
        <v>739</v>
      </c>
      <c r="R40" s="510"/>
      <c r="S40" s="536" t="s">
        <v>306</v>
      </c>
      <c r="T40" s="576" t="s">
        <v>308</v>
      </c>
      <c r="U40" s="537" t="s">
        <v>309</v>
      </c>
      <c r="V40" s="242" t="s">
        <v>740</v>
      </c>
      <c r="W40" s="538"/>
      <c r="X40" s="476"/>
      <c r="Y40" s="387"/>
      <c r="Z40" s="386"/>
      <c r="AA40" s="388"/>
      <c r="AB40" s="386"/>
      <c r="AN40" s="380"/>
      <c r="AO40" s="387"/>
    </row>
    <row r="41" spans="1:41" s="403" customFormat="1" ht="12.75" customHeight="1">
      <c r="A41" s="402"/>
      <c r="B41" s="487"/>
      <c r="C41" s="539"/>
      <c r="D41" s="540"/>
      <c r="E41" s="528"/>
      <c r="F41" s="532"/>
      <c r="G41" s="529" t="s">
        <v>312</v>
      </c>
      <c r="H41" s="530" t="s">
        <v>313</v>
      </c>
      <c r="I41" s="529"/>
      <c r="J41" s="529"/>
      <c r="K41" s="531" t="s">
        <v>316</v>
      </c>
      <c r="L41" s="532" t="s">
        <v>317</v>
      </c>
      <c r="M41" s="534" t="s">
        <v>318</v>
      </c>
      <c r="N41" s="533"/>
      <c r="O41" s="535" t="s">
        <v>315</v>
      </c>
      <c r="P41" s="535" t="s">
        <v>741</v>
      </c>
      <c r="Q41" s="577">
        <f>Q14</f>
        <v>0.6</v>
      </c>
      <c r="R41" s="510" t="s">
        <v>742</v>
      </c>
      <c r="S41" s="536" t="s">
        <v>310</v>
      </c>
      <c r="T41" s="576" t="s">
        <v>391</v>
      </c>
      <c r="U41" s="537"/>
      <c r="V41" s="536" t="s">
        <v>310</v>
      </c>
      <c r="W41" s="541"/>
      <c r="X41" s="488"/>
      <c r="AO41" s="404"/>
    </row>
    <row r="42" spans="1:41" ht="12.75" customHeight="1">
      <c r="B42" s="92"/>
      <c r="C42" s="131"/>
      <c r="D42" s="155"/>
      <c r="E42" s="155"/>
      <c r="F42" s="155"/>
      <c r="G42" s="542"/>
      <c r="H42" s="543"/>
      <c r="I42" s="544"/>
      <c r="J42" s="544"/>
      <c r="K42" s="545"/>
      <c r="L42" s="542"/>
      <c r="M42" s="545"/>
      <c r="N42" s="542"/>
      <c r="O42" s="546"/>
      <c r="P42" s="547"/>
      <c r="Q42" s="588"/>
      <c r="R42" s="547"/>
      <c r="S42" s="548"/>
      <c r="T42" s="547"/>
      <c r="U42" s="549"/>
      <c r="V42" s="548"/>
      <c r="W42" s="136"/>
      <c r="X42" s="97"/>
      <c r="AC42" s="68"/>
      <c r="AD42" s="68"/>
      <c r="AL42" s="68"/>
      <c r="AM42" s="68"/>
      <c r="AO42" s="395"/>
    </row>
    <row r="43" spans="1:41" ht="12.75" customHeight="1">
      <c r="B43" s="92"/>
      <c r="C43" s="131"/>
      <c r="D43" s="169" t="str">
        <f>IF(dir!D16=0,"",dir!D16)</f>
        <v/>
      </c>
      <c r="E43" s="169" t="str">
        <f>IF(dir!E16=0,"",dir!E16)</f>
        <v/>
      </c>
      <c r="F43" s="169" t="str">
        <f>IF(dir!F16=0,"",dir!F16)</f>
        <v/>
      </c>
      <c r="G43" s="170" t="str">
        <f>IF(dir!G16=0,"",dir!G16+1)</f>
        <v/>
      </c>
      <c r="H43" s="566" t="str">
        <f>IF(dir!H16="","",dir!H16)</f>
        <v/>
      </c>
      <c r="I43" s="567" t="str">
        <f>IF(I16=0,"",I16)</f>
        <v/>
      </c>
      <c r="J43" s="567" t="str">
        <f>IF(E43="","",(IF(dir!J16+1&gt;LOOKUP(I43,schaal2011,regels2011),dir!J16,dir!J16+1)))</f>
        <v/>
      </c>
      <c r="K43" s="568" t="str">
        <f>IF(dir!K16="","",dir!K16)</f>
        <v/>
      </c>
      <c r="L43" s="569" t="str">
        <f>IF(dir!L16="","",dir!L16)</f>
        <v/>
      </c>
      <c r="M43" s="570" t="str">
        <f t="shared" ref="M43:M57" si="7">(IF(L43="",(K43),(K43)-L43))</f>
        <v/>
      </c>
      <c r="N43" s="550"/>
      <c r="O43" s="571" t="str">
        <f>IF(I43="","",VLOOKUP(I43,tab!$A$119:$W$159,J43+3,FALSE))</f>
        <v/>
      </c>
      <c r="P43" s="572">
        <f t="shared" ref="P43:P57" si="8">IF(E43="",0,(O43*M43*12))</f>
        <v>0</v>
      </c>
      <c r="Q43" s="589">
        <f>Q41</f>
        <v>0.6</v>
      </c>
      <c r="R43" s="573">
        <f>IF(E43=0,"",(P43)*Q43)</f>
        <v>0</v>
      </c>
      <c r="S43" s="332">
        <f>IF(L43="",0,(((O43*12)*L43)*(1+tab!$D$108)*tab!$E$110))</f>
        <v>0</v>
      </c>
      <c r="T43" s="580">
        <f>IF(E43=0,0,(P43+R43+S43))</f>
        <v>0</v>
      </c>
      <c r="U43" s="243">
        <f t="shared" ref="U43:U57" si="9">IF(G43&lt;25,0,IF(G43=25,25,IF(G43&lt;40,0,IF(G43=40,40,IF(G43&gt;=40,0)))))</f>
        <v>0</v>
      </c>
      <c r="V43" s="332">
        <f t="shared" ref="V43:V57" si="10">IF(U43=25,(O43*1.08*(K43)/2),IF(U43=40,(O43*1.08*(K43)),IF(U43=0,0)))</f>
        <v>0</v>
      </c>
      <c r="W43" s="541"/>
      <c r="X43" s="97"/>
      <c r="AA43" s="405"/>
      <c r="AJ43" s="405"/>
    </row>
    <row r="44" spans="1:41" ht="12.75" customHeight="1">
      <c r="B44" s="92"/>
      <c r="C44" s="131"/>
      <c r="D44" s="169" t="str">
        <f>IF(dir!D17=0,"",dir!D17)</f>
        <v/>
      </c>
      <c r="E44" s="169" t="str">
        <f>IF(dir!E17=0,"",dir!E17)</f>
        <v/>
      </c>
      <c r="F44" s="169" t="str">
        <f>IF(dir!F17=0,"",dir!F17)</f>
        <v/>
      </c>
      <c r="G44" s="170" t="str">
        <f>IF(dir!G17=0,"",dir!G17+1)</f>
        <v/>
      </c>
      <c r="H44" s="566" t="str">
        <f>IF(dir!H17="","",dir!H17)</f>
        <v/>
      </c>
      <c r="I44" s="567" t="str">
        <f t="shared" ref="I44:I57" si="11">IF(I17="","",I17)</f>
        <v/>
      </c>
      <c r="J44" s="567" t="str">
        <f>IF(E44="","",(IF(dir!J17+1&gt;LOOKUP(I44,schaal2011,regels2011),dir!J17,dir!J17+1)))</f>
        <v/>
      </c>
      <c r="K44" s="568" t="str">
        <f>IF(dir!K17="","",dir!K17)</f>
        <v/>
      </c>
      <c r="L44" s="569" t="str">
        <f>IF(dir!L17="","",dir!L17)</f>
        <v/>
      </c>
      <c r="M44" s="570" t="str">
        <f t="shared" si="7"/>
        <v/>
      </c>
      <c r="N44" s="550"/>
      <c r="O44" s="571" t="str">
        <f>IF(I44="","",VLOOKUP(I44,tab!$A$119:$W$159,J44+3,FALSE))</f>
        <v/>
      </c>
      <c r="P44" s="572">
        <f t="shared" si="8"/>
        <v>0</v>
      </c>
      <c r="Q44" s="589">
        <f>Q41</f>
        <v>0.6</v>
      </c>
      <c r="R44" s="573">
        <f t="shared" ref="R44:R57" si="12">IF(E44=0,"",(P44)*Q44)</f>
        <v>0</v>
      </c>
      <c r="S44" s="332">
        <f>IF(L44="",0,(((O44*12)*L44)*(1+tab!$D$108)*tab!$E$110))</f>
        <v>0</v>
      </c>
      <c r="T44" s="580">
        <f t="shared" ref="T44:T57" si="13">IF(E44=0,0,(P44+R44+S44))</f>
        <v>0</v>
      </c>
      <c r="U44" s="243">
        <f t="shared" si="9"/>
        <v>0</v>
      </c>
      <c r="V44" s="332">
        <f t="shared" si="10"/>
        <v>0</v>
      </c>
      <c r="W44" s="541"/>
      <c r="X44" s="97"/>
      <c r="AA44" s="405"/>
      <c r="AJ44" s="405"/>
    </row>
    <row r="45" spans="1:41" ht="12.75" customHeight="1">
      <c r="B45" s="92"/>
      <c r="C45" s="131"/>
      <c r="D45" s="169" t="str">
        <f>IF(dir!D18=0,"",dir!D18)</f>
        <v/>
      </c>
      <c r="E45" s="169" t="str">
        <f>IF(dir!E18=0,"",dir!E18)</f>
        <v/>
      </c>
      <c r="F45" s="169" t="str">
        <f>IF(dir!F18=0,"",dir!F18)</f>
        <v/>
      </c>
      <c r="G45" s="170" t="str">
        <f>IF(dir!G18=0,"",dir!G18+1)</f>
        <v/>
      </c>
      <c r="H45" s="566" t="str">
        <f>IF(dir!H18="","",dir!H18)</f>
        <v/>
      </c>
      <c r="I45" s="567" t="str">
        <f t="shared" si="11"/>
        <v/>
      </c>
      <c r="J45" s="567" t="str">
        <f>IF(E45="","",(IF(dir!J18+1&gt;LOOKUP(I45,schaal2011,regels2011),dir!J18,dir!J18+1)))</f>
        <v/>
      </c>
      <c r="K45" s="568" t="str">
        <f>IF(dir!K18="","",dir!K18)</f>
        <v/>
      </c>
      <c r="L45" s="569" t="str">
        <f>IF(dir!L18="","",dir!L18)</f>
        <v/>
      </c>
      <c r="M45" s="570" t="str">
        <f t="shared" si="7"/>
        <v/>
      </c>
      <c r="N45" s="550"/>
      <c r="O45" s="571" t="str">
        <f>IF(I45="","",VLOOKUP(I45,tab!$A$119:$W$159,J45+3,FALSE))</f>
        <v/>
      </c>
      <c r="P45" s="572">
        <f t="shared" si="8"/>
        <v>0</v>
      </c>
      <c r="Q45" s="589">
        <f>Q41</f>
        <v>0.6</v>
      </c>
      <c r="R45" s="573">
        <f t="shared" si="12"/>
        <v>0</v>
      </c>
      <c r="S45" s="332">
        <f>IF(L45="",0,(((O45*12)*L45)*(1+tab!$D$108)*tab!$E$110))</f>
        <v>0</v>
      </c>
      <c r="T45" s="580">
        <f t="shared" si="13"/>
        <v>0</v>
      </c>
      <c r="U45" s="243">
        <f t="shared" si="9"/>
        <v>0</v>
      </c>
      <c r="V45" s="332">
        <f t="shared" si="10"/>
        <v>0</v>
      </c>
      <c r="W45" s="541"/>
      <c r="X45" s="97"/>
      <c r="AA45" s="405"/>
      <c r="AJ45" s="405"/>
    </row>
    <row r="46" spans="1:41" ht="12.75" customHeight="1">
      <c r="B46" s="92"/>
      <c r="C46" s="131"/>
      <c r="D46" s="169" t="str">
        <f>IF(dir!D19=0,"",dir!D19)</f>
        <v/>
      </c>
      <c r="E46" s="169" t="str">
        <f>IF(dir!E19=0,"",dir!E19)</f>
        <v/>
      </c>
      <c r="F46" s="169" t="str">
        <f>IF(dir!F19=0,"",dir!F19)</f>
        <v/>
      </c>
      <c r="G46" s="170" t="str">
        <f>IF(dir!G19=0,"",dir!G19+1)</f>
        <v/>
      </c>
      <c r="H46" s="566" t="str">
        <f>IF(dir!H19="","",dir!H19)</f>
        <v/>
      </c>
      <c r="I46" s="567" t="str">
        <f t="shared" si="11"/>
        <v/>
      </c>
      <c r="J46" s="567" t="str">
        <f>IF(E46="","",(IF(dir!J19+1&gt;LOOKUP(I46,schaal2011,regels2011),dir!J19,dir!J19+1)))</f>
        <v/>
      </c>
      <c r="K46" s="568" t="str">
        <f>IF(dir!K19="","",dir!K19)</f>
        <v/>
      </c>
      <c r="L46" s="569" t="str">
        <f>IF(dir!L19="","",dir!L19)</f>
        <v/>
      </c>
      <c r="M46" s="570" t="str">
        <f t="shared" si="7"/>
        <v/>
      </c>
      <c r="N46" s="550"/>
      <c r="O46" s="571" t="str">
        <f>IF(I46="","",VLOOKUP(I46,tab!$A$119:$W$159,J46+3,FALSE))</f>
        <v/>
      </c>
      <c r="P46" s="572">
        <f t="shared" si="8"/>
        <v>0</v>
      </c>
      <c r="Q46" s="589">
        <f>Q41</f>
        <v>0.6</v>
      </c>
      <c r="R46" s="573">
        <f t="shared" si="12"/>
        <v>0</v>
      </c>
      <c r="S46" s="332">
        <f>IF(L46="",0,(((O46*12)*L46)*(1+tab!$D$108)*tab!$E$110))</f>
        <v>0</v>
      </c>
      <c r="T46" s="580">
        <f t="shared" si="13"/>
        <v>0</v>
      </c>
      <c r="U46" s="243">
        <f t="shared" si="9"/>
        <v>0</v>
      </c>
      <c r="V46" s="332">
        <f t="shared" si="10"/>
        <v>0</v>
      </c>
      <c r="W46" s="541"/>
      <c r="X46" s="97"/>
      <c r="AA46" s="405"/>
      <c r="AJ46" s="405"/>
    </row>
    <row r="47" spans="1:41" ht="12.75" customHeight="1">
      <c r="B47" s="92"/>
      <c r="C47" s="131"/>
      <c r="D47" s="169" t="str">
        <f>IF(dir!D20=0,"",dir!D20)</f>
        <v/>
      </c>
      <c r="E47" s="169" t="str">
        <f>IF(dir!E20=0,"",dir!E20)</f>
        <v/>
      </c>
      <c r="F47" s="169" t="str">
        <f>IF(dir!F20=0,"",dir!F20)</f>
        <v/>
      </c>
      <c r="G47" s="170" t="str">
        <f>IF(dir!G20=0,"",dir!G20+1)</f>
        <v/>
      </c>
      <c r="H47" s="566" t="str">
        <f>IF(dir!H20="","",dir!H20)</f>
        <v/>
      </c>
      <c r="I47" s="567" t="str">
        <f t="shared" si="11"/>
        <v/>
      </c>
      <c r="J47" s="567" t="str">
        <f>IF(E47="","",(IF(dir!J20+1&gt;LOOKUP(I47,schaal2011,regels2011),dir!J20,dir!J20+1)))</f>
        <v/>
      </c>
      <c r="K47" s="568" t="str">
        <f>IF(dir!K20="","",dir!K20)</f>
        <v/>
      </c>
      <c r="L47" s="569" t="str">
        <f>IF(dir!L20="","",dir!L20)</f>
        <v/>
      </c>
      <c r="M47" s="570" t="str">
        <f t="shared" si="7"/>
        <v/>
      </c>
      <c r="N47" s="550"/>
      <c r="O47" s="571" t="str">
        <f>IF(I47="","",VLOOKUP(I47,tab!$A$119:$W$159,J47+3,FALSE))</f>
        <v/>
      </c>
      <c r="P47" s="572">
        <f t="shared" si="8"/>
        <v>0</v>
      </c>
      <c r="Q47" s="589">
        <f>Q41</f>
        <v>0.6</v>
      </c>
      <c r="R47" s="573">
        <f t="shared" si="12"/>
        <v>0</v>
      </c>
      <c r="S47" s="332">
        <f>IF(L47="",0,(((O47*12)*L47)*(1+tab!$D$108)*tab!$E$110))</f>
        <v>0</v>
      </c>
      <c r="T47" s="580">
        <f t="shared" si="13"/>
        <v>0</v>
      </c>
      <c r="U47" s="243">
        <f t="shared" si="9"/>
        <v>0</v>
      </c>
      <c r="V47" s="332">
        <f t="shared" si="10"/>
        <v>0</v>
      </c>
      <c r="W47" s="541"/>
      <c r="X47" s="97"/>
      <c r="AA47" s="405"/>
      <c r="AJ47" s="405"/>
    </row>
    <row r="48" spans="1:41" ht="12.75" customHeight="1">
      <c r="B48" s="92"/>
      <c r="C48" s="131"/>
      <c r="D48" s="169" t="str">
        <f>IF(dir!D21=0,"",dir!D21)</f>
        <v/>
      </c>
      <c r="E48" s="169" t="str">
        <f>IF(dir!E21=0,"",dir!E21)</f>
        <v/>
      </c>
      <c r="F48" s="169" t="str">
        <f>IF(dir!F21=0,"",dir!F21)</f>
        <v/>
      </c>
      <c r="G48" s="170" t="str">
        <f>IF(dir!G21=0,"",dir!G21+1)</f>
        <v/>
      </c>
      <c r="H48" s="566" t="str">
        <f>IF(dir!H21="","",dir!H21)</f>
        <v/>
      </c>
      <c r="I48" s="567" t="str">
        <f t="shared" si="11"/>
        <v/>
      </c>
      <c r="J48" s="567" t="str">
        <f>IF(E48="","",(IF(dir!J21+1&gt;LOOKUP(I48,schaal2011,regels2011),dir!J21,dir!J21+1)))</f>
        <v/>
      </c>
      <c r="K48" s="568" t="str">
        <f>IF(dir!K21="","",dir!K21)</f>
        <v/>
      </c>
      <c r="L48" s="569" t="str">
        <f>IF(dir!L21="","",dir!L21)</f>
        <v/>
      </c>
      <c r="M48" s="570" t="str">
        <f t="shared" si="7"/>
        <v/>
      </c>
      <c r="N48" s="550"/>
      <c r="O48" s="571" t="str">
        <f>IF(I48="","",VLOOKUP(I48,tab!$A$119:$W$159,J48+3,FALSE))</f>
        <v/>
      </c>
      <c r="P48" s="572">
        <f t="shared" si="8"/>
        <v>0</v>
      </c>
      <c r="Q48" s="589">
        <f>Q41</f>
        <v>0.6</v>
      </c>
      <c r="R48" s="573">
        <f t="shared" si="12"/>
        <v>0</v>
      </c>
      <c r="S48" s="332">
        <f>IF(L48="",0,(((O48*12)*L48)*(1+tab!$D$108)*tab!$E$110))</f>
        <v>0</v>
      </c>
      <c r="T48" s="580">
        <f t="shared" si="13"/>
        <v>0</v>
      </c>
      <c r="U48" s="243">
        <f t="shared" si="9"/>
        <v>0</v>
      </c>
      <c r="V48" s="332">
        <f t="shared" si="10"/>
        <v>0</v>
      </c>
      <c r="W48" s="541"/>
      <c r="X48" s="97"/>
      <c r="AA48" s="405"/>
      <c r="AJ48" s="405"/>
    </row>
    <row r="49" spans="2:36" ht="12.75" customHeight="1">
      <c r="B49" s="92"/>
      <c r="C49" s="131"/>
      <c r="D49" s="169" t="str">
        <f>IF(dir!D22=0,"",dir!D22)</f>
        <v/>
      </c>
      <c r="E49" s="169" t="str">
        <f>IF(dir!E22=0,"",dir!E22)</f>
        <v/>
      </c>
      <c r="F49" s="169" t="str">
        <f>IF(dir!F22=0,"",dir!F22)</f>
        <v/>
      </c>
      <c r="G49" s="170" t="str">
        <f>IF(dir!G22=0,"",dir!G22+1)</f>
        <v/>
      </c>
      <c r="H49" s="566" t="str">
        <f>IF(dir!H22="","",dir!H22)</f>
        <v/>
      </c>
      <c r="I49" s="567" t="str">
        <f t="shared" si="11"/>
        <v/>
      </c>
      <c r="J49" s="567" t="str">
        <f>IF(E49="","",(IF(dir!J22+1&gt;LOOKUP(I49,schaal2011,regels2011),dir!J22,dir!J22+1)))</f>
        <v/>
      </c>
      <c r="K49" s="568" t="str">
        <f>IF(dir!K22="","",dir!K22)</f>
        <v/>
      </c>
      <c r="L49" s="569" t="str">
        <f>IF(dir!L22="","",dir!L22)</f>
        <v/>
      </c>
      <c r="M49" s="570" t="str">
        <f t="shared" si="7"/>
        <v/>
      </c>
      <c r="N49" s="550"/>
      <c r="O49" s="571" t="str">
        <f>IF(I49="","",VLOOKUP(I49,tab!$A$119:$W$159,J49+3,FALSE))</f>
        <v/>
      </c>
      <c r="P49" s="572">
        <f t="shared" si="8"/>
        <v>0</v>
      </c>
      <c r="Q49" s="589">
        <f>Q41</f>
        <v>0.6</v>
      </c>
      <c r="R49" s="573">
        <f t="shared" si="12"/>
        <v>0</v>
      </c>
      <c r="S49" s="332">
        <f>IF(L49="",0,(((O49*12)*L49)*(1+tab!$D$108)*tab!$E$110))</f>
        <v>0</v>
      </c>
      <c r="T49" s="580">
        <f t="shared" si="13"/>
        <v>0</v>
      </c>
      <c r="U49" s="243">
        <f t="shared" si="9"/>
        <v>0</v>
      </c>
      <c r="V49" s="332">
        <f t="shared" si="10"/>
        <v>0</v>
      </c>
      <c r="W49" s="541"/>
      <c r="X49" s="97"/>
      <c r="AA49" s="405"/>
      <c r="AJ49" s="405"/>
    </row>
    <row r="50" spans="2:36" ht="12.75" customHeight="1">
      <c r="B50" s="92"/>
      <c r="C50" s="131"/>
      <c r="D50" s="169" t="str">
        <f>IF(dir!D23=0,"",dir!D23)</f>
        <v/>
      </c>
      <c r="E50" s="169" t="str">
        <f>IF(dir!E23=0,"",dir!E23)</f>
        <v/>
      </c>
      <c r="F50" s="169" t="str">
        <f>IF(dir!F23=0,"",dir!F23)</f>
        <v/>
      </c>
      <c r="G50" s="170" t="str">
        <f>IF(dir!G23=0,"",dir!G23+1)</f>
        <v/>
      </c>
      <c r="H50" s="566" t="str">
        <f>IF(dir!H23="","",dir!H23)</f>
        <v/>
      </c>
      <c r="I50" s="567" t="str">
        <f t="shared" si="11"/>
        <v/>
      </c>
      <c r="J50" s="567" t="str">
        <f>IF(E50="","",(IF(dir!J23+1&gt;LOOKUP(I50,schaal2011,regels2011),dir!J23,dir!J23+1)))</f>
        <v/>
      </c>
      <c r="K50" s="568" t="str">
        <f>IF(dir!K23="","",dir!K23)</f>
        <v/>
      </c>
      <c r="L50" s="569" t="str">
        <f>IF(dir!L23="","",dir!L23)</f>
        <v/>
      </c>
      <c r="M50" s="570" t="str">
        <f t="shared" si="7"/>
        <v/>
      </c>
      <c r="N50" s="550"/>
      <c r="O50" s="571" t="str">
        <f>IF(I50="","",VLOOKUP(I50,tab!$A$119:$W$159,J50+3,FALSE))</f>
        <v/>
      </c>
      <c r="P50" s="572">
        <f t="shared" si="8"/>
        <v>0</v>
      </c>
      <c r="Q50" s="589">
        <f>Q41</f>
        <v>0.6</v>
      </c>
      <c r="R50" s="573">
        <f t="shared" si="12"/>
        <v>0</v>
      </c>
      <c r="S50" s="332">
        <f>IF(L50="",0,(((O50*12)*L50)*(1+tab!$D$108)*tab!$E$110))</f>
        <v>0</v>
      </c>
      <c r="T50" s="580">
        <f t="shared" si="13"/>
        <v>0</v>
      </c>
      <c r="U50" s="243">
        <f t="shared" si="9"/>
        <v>0</v>
      </c>
      <c r="V50" s="332">
        <f t="shared" si="10"/>
        <v>0</v>
      </c>
      <c r="W50" s="541"/>
      <c r="X50" s="97"/>
      <c r="AA50" s="405"/>
      <c r="AJ50" s="405"/>
    </row>
    <row r="51" spans="2:36" ht="12.75" customHeight="1">
      <c r="B51" s="92"/>
      <c r="C51" s="131"/>
      <c r="D51" s="169" t="str">
        <f>IF(dir!D24=0,"",dir!D24)</f>
        <v/>
      </c>
      <c r="E51" s="169" t="str">
        <f>IF(dir!E24=0,"",dir!E24)</f>
        <v/>
      </c>
      <c r="F51" s="169" t="str">
        <f>IF(dir!F24=0,"",dir!F24)</f>
        <v/>
      </c>
      <c r="G51" s="170" t="str">
        <f>IF(dir!G24=0,"",dir!G24+1)</f>
        <v/>
      </c>
      <c r="H51" s="566" t="str">
        <f>IF(dir!H24="","",dir!H24)</f>
        <v/>
      </c>
      <c r="I51" s="567" t="str">
        <f t="shared" si="11"/>
        <v/>
      </c>
      <c r="J51" s="567" t="str">
        <f>IF(E51="","",(IF(dir!J24+1&gt;LOOKUP(I51,schaal2011,regels2011),dir!J24,dir!J24+1)))</f>
        <v/>
      </c>
      <c r="K51" s="568" t="str">
        <f>IF(dir!K24="","",dir!K24)</f>
        <v/>
      </c>
      <c r="L51" s="569" t="str">
        <f>IF(dir!L24="","",dir!L24)</f>
        <v/>
      </c>
      <c r="M51" s="570" t="str">
        <f t="shared" si="7"/>
        <v/>
      </c>
      <c r="N51" s="550"/>
      <c r="O51" s="571" t="str">
        <f>IF(I51="","",VLOOKUP(I51,tab!$A$119:$W$159,J51+3,FALSE))</f>
        <v/>
      </c>
      <c r="P51" s="572">
        <f t="shared" si="8"/>
        <v>0</v>
      </c>
      <c r="Q51" s="589">
        <f>Q41</f>
        <v>0.6</v>
      </c>
      <c r="R51" s="573">
        <f t="shared" si="12"/>
        <v>0</v>
      </c>
      <c r="S51" s="332">
        <f>IF(L51="",0,(((O51*12)*L51)*(1+tab!$D$108)*tab!$E$110))</f>
        <v>0</v>
      </c>
      <c r="T51" s="580">
        <f t="shared" si="13"/>
        <v>0</v>
      </c>
      <c r="U51" s="243">
        <f t="shared" si="9"/>
        <v>0</v>
      </c>
      <c r="V51" s="332">
        <f t="shared" si="10"/>
        <v>0</v>
      </c>
      <c r="W51" s="541"/>
      <c r="X51" s="97"/>
      <c r="AA51" s="405"/>
      <c r="AJ51" s="405"/>
    </row>
    <row r="52" spans="2:36" ht="12.75" customHeight="1">
      <c r="B52" s="92"/>
      <c r="C52" s="131"/>
      <c r="D52" s="169" t="str">
        <f>IF(dir!D25=0,"",dir!D25)</f>
        <v/>
      </c>
      <c r="E52" s="169" t="str">
        <f>IF(dir!E25=0,"",dir!E25)</f>
        <v/>
      </c>
      <c r="F52" s="169" t="str">
        <f>IF(dir!F25=0,"",dir!F25)</f>
        <v/>
      </c>
      <c r="G52" s="170" t="str">
        <f>IF(dir!G25=0,"",dir!G25+1)</f>
        <v/>
      </c>
      <c r="H52" s="566" t="str">
        <f>IF(dir!H25="","",dir!H25)</f>
        <v/>
      </c>
      <c r="I52" s="567" t="str">
        <f t="shared" si="11"/>
        <v/>
      </c>
      <c r="J52" s="567" t="str">
        <f>IF(E52="","",(IF(dir!J25+1&gt;LOOKUP(I52,schaal2011,regels2011),dir!J25,dir!J25+1)))</f>
        <v/>
      </c>
      <c r="K52" s="568" t="str">
        <f>IF(dir!K25="","",dir!K25)</f>
        <v/>
      </c>
      <c r="L52" s="569" t="str">
        <f>IF(dir!L25="","",dir!L25)</f>
        <v/>
      </c>
      <c r="M52" s="570" t="str">
        <f t="shared" si="7"/>
        <v/>
      </c>
      <c r="N52" s="550"/>
      <c r="O52" s="571" t="str">
        <f>IF(I52="","",VLOOKUP(I52,tab!$A$119:$W$159,J52+3,FALSE))</f>
        <v/>
      </c>
      <c r="P52" s="572">
        <f t="shared" si="8"/>
        <v>0</v>
      </c>
      <c r="Q52" s="589">
        <f>Q41</f>
        <v>0.6</v>
      </c>
      <c r="R52" s="573">
        <f t="shared" si="12"/>
        <v>0</v>
      </c>
      <c r="S52" s="332">
        <f>IF(L52="",0,(((O52*12)*L52)*(1+tab!$D$108)*tab!$E$110))</f>
        <v>0</v>
      </c>
      <c r="T52" s="580">
        <f t="shared" si="13"/>
        <v>0</v>
      </c>
      <c r="U52" s="243">
        <f t="shared" si="9"/>
        <v>0</v>
      </c>
      <c r="V52" s="332">
        <f t="shared" si="10"/>
        <v>0</v>
      </c>
      <c r="W52" s="541"/>
      <c r="X52" s="97"/>
      <c r="AA52" s="405"/>
      <c r="AJ52" s="405"/>
    </row>
    <row r="53" spans="2:36" ht="12.75" customHeight="1">
      <c r="B53" s="92"/>
      <c r="C53" s="131"/>
      <c r="D53" s="169" t="str">
        <f>IF(dir!D26=0,"",dir!D26)</f>
        <v/>
      </c>
      <c r="E53" s="169" t="str">
        <f>IF(dir!E26=0,"",dir!E26)</f>
        <v/>
      </c>
      <c r="F53" s="169" t="str">
        <f>IF(dir!F26=0,"",dir!F26)</f>
        <v/>
      </c>
      <c r="G53" s="170" t="str">
        <f>IF(dir!G26=0,"",dir!G26+1)</f>
        <v/>
      </c>
      <c r="H53" s="566" t="str">
        <f>IF(dir!H26="","",dir!H26)</f>
        <v/>
      </c>
      <c r="I53" s="567" t="str">
        <f t="shared" si="11"/>
        <v/>
      </c>
      <c r="J53" s="567" t="str">
        <f>IF(E53="","",(IF(dir!J26+1&gt;LOOKUP(I53,schaal2011,regels2011),dir!J26,dir!J26+1)))</f>
        <v/>
      </c>
      <c r="K53" s="568" t="str">
        <f>IF(dir!K26="","",dir!K26)</f>
        <v/>
      </c>
      <c r="L53" s="569" t="str">
        <f>IF(dir!L26="","",dir!L26)</f>
        <v/>
      </c>
      <c r="M53" s="570" t="str">
        <f t="shared" si="7"/>
        <v/>
      </c>
      <c r="N53" s="550"/>
      <c r="O53" s="571" t="str">
        <f>IF(I53="","",VLOOKUP(I53,tab!$A$119:$W$159,J53+3,FALSE))</f>
        <v/>
      </c>
      <c r="P53" s="572">
        <f t="shared" si="8"/>
        <v>0</v>
      </c>
      <c r="Q53" s="589">
        <f>Q41</f>
        <v>0.6</v>
      </c>
      <c r="R53" s="573">
        <f t="shared" si="12"/>
        <v>0</v>
      </c>
      <c r="S53" s="332">
        <f>IF(L53="",0,(((O53*12)*L53)*(1+tab!$D$108)*tab!$E$110))</f>
        <v>0</v>
      </c>
      <c r="T53" s="580">
        <f t="shared" si="13"/>
        <v>0</v>
      </c>
      <c r="U53" s="243">
        <f t="shared" si="9"/>
        <v>0</v>
      </c>
      <c r="V53" s="332">
        <f t="shared" si="10"/>
        <v>0</v>
      </c>
      <c r="W53" s="541"/>
      <c r="X53" s="97"/>
      <c r="AA53" s="405"/>
      <c r="AJ53" s="405"/>
    </row>
    <row r="54" spans="2:36" ht="12.75" customHeight="1">
      <c r="B54" s="92"/>
      <c r="C54" s="131"/>
      <c r="D54" s="169" t="str">
        <f>IF(dir!D27=0,"",dir!D27)</f>
        <v/>
      </c>
      <c r="E54" s="169" t="str">
        <f>IF(dir!E27=0,"",dir!E27)</f>
        <v/>
      </c>
      <c r="F54" s="169" t="str">
        <f>IF(dir!F27=0,"",dir!F27)</f>
        <v/>
      </c>
      <c r="G54" s="170" t="str">
        <f>IF(dir!G27=0,"",dir!G27+1)</f>
        <v/>
      </c>
      <c r="H54" s="566" t="str">
        <f>IF(dir!H27="","",dir!H27)</f>
        <v/>
      </c>
      <c r="I54" s="567" t="str">
        <f t="shared" si="11"/>
        <v/>
      </c>
      <c r="J54" s="567" t="str">
        <f>IF(E54="","",(IF(dir!J27+1&gt;LOOKUP(I54,schaal2011,regels2011),dir!J27,dir!J27+1)))</f>
        <v/>
      </c>
      <c r="K54" s="568" t="str">
        <f>IF(dir!K27="","",dir!K27)</f>
        <v/>
      </c>
      <c r="L54" s="569" t="str">
        <f>IF(dir!L27="","",dir!L27)</f>
        <v/>
      </c>
      <c r="M54" s="570" t="str">
        <f t="shared" si="7"/>
        <v/>
      </c>
      <c r="N54" s="550"/>
      <c r="O54" s="571" t="str">
        <f>IF(I54="","",VLOOKUP(I54,tab!$A$119:$W$159,J54+3,FALSE))</f>
        <v/>
      </c>
      <c r="P54" s="572">
        <f t="shared" si="8"/>
        <v>0</v>
      </c>
      <c r="Q54" s="589">
        <f>Q41</f>
        <v>0.6</v>
      </c>
      <c r="R54" s="573">
        <f t="shared" si="12"/>
        <v>0</v>
      </c>
      <c r="S54" s="332">
        <f>IF(L54="",0,(((O54*12)*L54)*(1+tab!$D$108)*tab!$E$110))</f>
        <v>0</v>
      </c>
      <c r="T54" s="580">
        <f t="shared" si="13"/>
        <v>0</v>
      </c>
      <c r="U54" s="243">
        <f t="shared" si="9"/>
        <v>0</v>
      </c>
      <c r="V54" s="332">
        <f t="shared" si="10"/>
        <v>0</v>
      </c>
      <c r="W54" s="541"/>
      <c r="X54" s="97"/>
      <c r="AA54" s="405"/>
      <c r="AJ54" s="405"/>
    </row>
    <row r="55" spans="2:36" ht="12.75" customHeight="1">
      <c r="B55" s="92"/>
      <c r="C55" s="131"/>
      <c r="D55" s="169" t="str">
        <f>IF(dir!D28=0,"",dir!D28)</f>
        <v/>
      </c>
      <c r="E55" s="169" t="str">
        <f>IF(dir!E28=0,"",dir!E28)</f>
        <v/>
      </c>
      <c r="F55" s="169" t="str">
        <f>IF(dir!F28=0,"",dir!F28)</f>
        <v/>
      </c>
      <c r="G55" s="170" t="str">
        <f>IF(dir!G28=0,"",dir!G28+1)</f>
        <v/>
      </c>
      <c r="H55" s="566" t="str">
        <f>IF(dir!H28="","",dir!H28)</f>
        <v/>
      </c>
      <c r="I55" s="567" t="str">
        <f t="shared" si="11"/>
        <v/>
      </c>
      <c r="J55" s="567" t="str">
        <f>IF(E55="","",(IF(dir!J28+1&gt;LOOKUP(I55,schaal2011,regels2011),dir!J28,dir!J28+1)))</f>
        <v/>
      </c>
      <c r="K55" s="568" t="str">
        <f>IF(dir!K28="","",dir!K28)</f>
        <v/>
      </c>
      <c r="L55" s="569" t="str">
        <f>IF(dir!L28="","",dir!L28)</f>
        <v/>
      </c>
      <c r="M55" s="570" t="str">
        <f t="shared" si="7"/>
        <v/>
      </c>
      <c r="N55" s="550"/>
      <c r="O55" s="571" t="str">
        <f>IF(I55="","",VLOOKUP(I55,tab!$A$119:$W$159,J55+3,FALSE))</f>
        <v/>
      </c>
      <c r="P55" s="572">
        <f t="shared" si="8"/>
        <v>0</v>
      </c>
      <c r="Q55" s="589">
        <f>Q41</f>
        <v>0.6</v>
      </c>
      <c r="R55" s="573">
        <f t="shared" si="12"/>
        <v>0</v>
      </c>
      <c r="S55" s="332">
        <f>IF(L55="",0,(((O55*12)*L55)*(1+tab!$D$108)*tab!$E$110))</f>
        <v>0</v>
      </c>
      <c r="T55" s="580">
        <f t="shared" si="13"/>
        <v>0</v>
      </c>
      <c r="U55" s="243">
        <f t="shared" si="9"/>
        <v>0</v>
      </c>
      <c r="V55" s="332">
        <f t="shared" si="10"/>
        <v>0</v>
      </c>
      <c r="W55" s="541"/>
      <c r="X55" s="97"/>
      <c r="AA55" s="405"/>
      <c r="AJ55" s="405"/>
    </row>
    <row r="56" spans="2:36" ht="12.75" customHeight="1">
      <c r="B56" s="92"/>
      <c r="C56" s="131"/>
      <c r="D56" s="169" t="str">
        <f>IF(dir!D29=0,"",dir!D29)</f>
        <v/>
      </c>
      <c r="E56" s="169" t="str">
        <f>IF(dir!E29=0,"",dir!E29)</f>
        <v/>
      </c>
      <c r="F56" s="169" t="str">
        <f>IF(dir!F29=0,"",dir!F29)</f>
        <v/>
      </c>
      <c r="G56" s="170" t="str">
        <f>IF(dir!G29=0,"",dir!G29+1)</f>
        <v/>
      </c>
      <c r="H56" s="566" t="str">
        <f>IF(dir!H29="","",dir!H29)</f>
        <v/>
      </c>
      <c r="I56" s="567" t="str">
        <f t="shared" si="11"/>
        <v/>
      </c>
      <c r="J56" s="567" t="str">
        <f>IF(E56="","",(IF(dir!J29+1&gt;LOOKUP(I56,schaal2011,regels2011),dir!J29,dir!J29+1)))</f>
        <v/>
      </c>
      <c r="K56" s="568" t="str">
        <f>IF(dir!K29="","",dir!K29)</f>
        <v/>
      </c>
      <c r="L56" s="569" t="str">
        <f>IF(dir!L29="","",dir!L29)</f>
        <v/>
      </c>
      <c r="M56" s="570" t="str">
        <f t="shared" si="7"/>
        <v/>
      </c>
      <c r="N56" s="550"/>
      <c r="O56" s="571" t="str">
        <f>IF(I56="","",VLOOKUP(I56,tab!$A$119:$W$159,J56+3,FALSE))</f>
        <v/>
      </c>
      <c r="P56" s="572">
        <f t="shared" si="8"/>
        <v>0</v>
      </c>
      <c r="Q56" s="589">
        <f>Q41</f>
        <v>0.6</v>
      </c>
      <c r="R56" s="573">
        <f t="shared" si="12"/>
        <v>0</v>
      </c>
      <c r="S56" s="332">
        <f>IF(L56="",0,(((O56*12)*L56)*(1+tab!$D$108)*tab!$E$110))</f>
        <v>0</v>
      </c>
      <c r="T56" s="580">
        <f t="shared" si="13"/>
        <v>0</v>
      </c>
      <c r="U56" s="243">
        <f t="shared" si="9"/>
        <v>0</v>
      </c>
      <c r="V56" s="332">
        <f t="shared" si="10"/>
        <v>0</v>
      </c>
      <c r="W56" s="541"/>
      <c r="X56" s="97"/>
      <c r="AA56" s="405"/>
      <c r="AJ56" s="405"/>
    </row>
    <row r="57" spans="2:36" ht="12.75" customHeight="1">
      <c r="B57" s="92"/>
      <c r="C57" s="131"/>
      <c r="D57" s="169" t="str">
        <f>IF(dir!D30=0,"",dir!D30)</f>
        <v/>
      </c>
      <c r="E57" s="169" t="str">
        <f>IF(dir!E30=0,"",dir!E30)</f>
        <v/>
      </c>
      <c r="F57" s="169" t="str">
        <f>IF(dir!F30=0,"",dir!F30)</f>
        <v/>
      </c>
      <c r="G57" s="170" t="str">
        <f>IF(dir!G30=0,"",dir!G30+1)</f>
        <v/>
      </c>
      <c r="H57" s="566" t="str">
        <f>IF(dir!H30="","",dir!H30)</f>
        <v/>
      </c>
      <c r="I57" s="567" t="str">
        <f t="shared" si="11"/>
        <v/>
      </c>
      <c r="J57" s="567" t="str">
        <f>IF(E57="","",(IF(dir!J30+1&gt;LOOKUP(I57,schaal2011,regels2011),dir!J30,dir!J30+1)))</f>
        <v/>
      </c>
      <c r="K57" s="568" t="str">
        <f>IF(dir!K30="","",dir!K30)</f>
        <v/>
      </c>
      <c r="L57" s="569" t="str">
        <f>IF(dir!L30="","",dir!L30)</f>
        <v/>
      </c>
      <c r="M57" s="570" t="str">
        <f t="shared" si="7"/>
        <v/>
      </c>
      <c r="N57" s="550"/>
      <c r="O57" s="571" t="str">
        <f>IF(I57="","",VLOOKUP(I57,tab!$A$119:$W$159,J57+3,FALSE))</f>
        <v/>
      </c>
      <c r="P57" s="572">
        <f t="shared" si="8"/>
        <v>0</v>
      </c>
      <c r="Q57" s="589">
        <f>Q41</f>
        <v>0.6</v>
      </c>
      <c r="R57" s="573">
        <f t="shared" si="12"/>
        <v>0</v>
      </c>
      <c r="S57" s="332">
        <f>IF(L57="",0,(((O57*12)*L57)*(1+tab!$D$108)*tab!$E$110))</f>
        <v>0</v>
      </c>
      <c r="T57" s="580">
        <f t="shared" si="13"/>
        <v>0</v>
      </c>
      <c r="U57" s="243">
        <f t="shared" si="9"/>
        <v>0</v>
      </c>
      <c r="V57" s="332">
        <f t="shared" si="10"/>
        <v>0</v>
      </c>
      <c r="W57" s="541"/>
      <c r="X57" s="97"/>
      <c r="AA57" s="405"/>
      <c r="AJ57" s="405"/>
    </row>
    <row r="58" spans="2:36" ht="12.75" customHeight="1">
      <c r="B58" s="92"/>
      <c r="C58" s="131"/>
      <c r="D58" s="319"/>
      <c r="E58" s="319"/>
      <c r="F58" s="319"/>
      <c r="G58" s="555"/>
      <c r="H58" s="556"/>
      <c r="I58" s="135"/>
      <c r="J58" s="135"/>
      <c r="K58" s="575">
        <f>SUM(K43:K57)</f>
        <v>0</v>
      </c>
      <c r="L58" s="575">
        <f>SUM(L43:L57)</f>
        <v>0</v>
      </c>
      <c r="M58" s="575">
        <f>SUM(M43:M57)</f>
        <v>0</v>
      </c>
      <c r="N58" s="555"/>
      <c r="O58" s="309">
        <f t="shared" ref="O58:V58" si="14">SUM(O43:O57)</f>
        <v>0</v>
      </c>
      <c r="P58" s="309">
        <f t="shared" si="14"/>
        <v>0</v>
      </c>
      <c r="Q58" s="590"/>
      <c r="R58" s="344">
        <f>SUM(R43:R57)</f>
        <v>0</v>
      </c>
      <c r="S58" s="344">
        <f t="shared" si="14"/>
        <v>0</v>
      </c>
      <c r="T58" s="309">
        <f t="shared" si="14"/>
        <v>0</v>
      </c>
      <c r="U58" s="574">
        <f t="shared" si="14"/>
        <v>0</v>
      </c>
      <c r="V58" s="344">
        <f t="shared" si="14"/>
        <v>0</v>
      </c>
      <c r="W58" s="554"/>
      <c r="X58" s="97"/>
      <c r="AA58" s="405"/>
      <c r="AJ58" s="405"/>
    </row>
    <row r="59" spans="2:36" ht="12.75" customHeight="1">
      <c r="B59" s="92"/>
      <c r="C59" s="141"/>
      <c r="D59" s="557"/>
      <c r="E59" s="557"/>
      <c r="F59" s="557"/>
      <c r="G59" s="557"/>
      <c r="H59" s="558"/>
      <c r="I59" s="146"/>
      <c r="J59" s="559"/>
      <c r="K59" s="560"/>
      <c r="L59" s="559"/>
      <c r="M59" s="560"/>
      <c r="N59" s="557"/>
      <c r="O59" s="559"/>
      <c r="P59" s="299"/>
      <c r="Q59" s="590"/>
      <c r="R59" s="561"/>
      <c r="S59" s="562"/>
      <c r="T59" s="299"/>
      <c r="U59" s="563"/>
      <c r="V59" s="562"/>
      <c r="W59" s="565"/>
      <c r="X59" s="97"/>
      <c r="AA59" s="405"/>
      <c r="AJ59" s="405"/>
    </row>
    <row r="60" spans="2:36" ht="12.75" customHeight="1">
      <c r="B60" s="113"/>
      <c r="C60" s="114"/>
      <c r="D60" s="489"/>
      <c r="E60" s="489"/>
      <c r="F60" s="489"/>
      <c r="G60" s="489"/>
      <c r="H60" s="490"/>
      <c r="I60" s="118"/>
      <c r="J60" s="491"/>
      <c r="K60" s="492"/>
      <c r="L60" s="493"/>
      <c r="M60" s="493"/>
      <c r="N60" s="114"/>
      <c r="O60" s="494"/>
      <c r="P60" s="495"/>
      <c r="Q60" s="592"/>
      <c r="R60" s="496"/>
      <c r="S60" s="497"/>
      <c r="T60" s="498"/>
      <c r="U60" s="499"/>
      <c r="V60" s="497"/>
      <c r="W60" s="114"/>
      <c r="X60" s="120"/>
    </row>
    <row r="61" spans="2:36" ht="12.75" customHeight="1">
      <c r="I61" s="67"/>
      <c r="J61" s="350"/>
      <c r="K61" s="396"/>
      <c r="L61" s="349"/>
      <c r="M61" s="349"/>
      <c r="O61" s="406"/>
      <c r="P61" s="395"/>
      <c r="Q61" s="593"/>
      <c r="R61" s="407"/>
      <c r="S61" s="224"/>
      <c r="T61" s="408"/>
      <c r="U61" s="84"/>
      <c r="V61" s="224"/>
    </row>
    <row r="62" spans="2:36" ht="12.75" customHeight="1">
      <c r="I62" s="67"/>
      <c r="J62" s="350"/>
      <c r="K62" s="396"/>
      <c r="L62" s="349"/>
      <c r="M62" s="349"/>
      <c r="O62" s="406"/>
      <c r="P62" s="395"/>
      <c r="Q62" s="593"/>
      <c r="R62" s="407"/>
      <c r="S62" s="224"/>
      <c r="T62" s="408"/>
      <c r="U62" s="84"/>
      <c r="V62" s="224"/>
    </row>
    <row r="63" spans="2:36" ht="12.75" customHeight="1">
      <c r="C63" s="68" t="s">
        <v>290</v>
      </c>
      <c r="E63" s="401" t="str">
        <f>tab!F2</f>
        <v>2014/15</v>
      </c>
      <c r="I63" s="67"/>
      <c r="J63" s="350"/>
      <c r="K63" s="396"/>
      <c r="L63" s="349"/>
      <c r="M63" s="349"/>
      <c r="O63" s="406"/>
      <c r="P63" s="395"/>
      <c r="Q63" s="593"/>
      <c r="R63" s="407"/>
      <c r="S63" s="224"/>
      <c r="T63" s="408"/>
      <c r="U63" s="84"/>
      <c r="V63" s="224"/>
    </row>
    <row r="64" spans="2:36" ht="12.75" customHeight="1">
      <c r="C64" s="83" t="s">
        <v>291</v>
      </c>
      <c r="E64" s="370">
        <f>tab!G3</f>
        <v>41913</v>
      </c>
      <c r="I64" s="67"/>
      <c r="J64" s="350"/>
      <c r="K64" s="396"/>
      <c r="L64" s="349"/>
      <c r="M64" s="349"/>
      <c r="O64" s="406"/>
      <c r="P64" s="395"/>
      <c r="Q64" s="593"/>
      <c r="R64" s="407"/>
      <c r="S64" s="224"/>
      <c r="T64" s="408"/>
      <c r="U64" s="84"/>
      <c r="V64" s="224"/>
    </row>
    <row r="65" spans="1:41" ht="12.75" customHeight="1">
      <c r="I65" s="67"/>
      <c r="J65" s="350"/>
      <c r="K65" s="396"/>
      <c r="L65" s="349"/>
      <c r="M65" s="349"/>
      <c r="O65" s="406"/>
      <c r="P65" s="395"/>
      <c r="Q65" s="593"/>
      <c r="R65" s="407"/>
      <c r="S65" s="224"/>
      <c r="T65" s="408"/>
      <c r="U65" s="84"/>
      <c r="V65" s="224"/>
    </row>
    <row r="66" spans="1:41" ht="12.75" customHeight="1">
      <c r="C66" s="124"/>
      <c r="D66" s="514"/>
      <c r="E66" s="515"/>
      <c r="F66" s="516"/>
      <c r="G66" s="129"/>
      <c r="H66" s="517"/>
      <c r="I66" s="518"/>
      <c r="J66" s="518"/>
      <c r="K66" s="519"/>
      <c r="L66" s="518"/>
      <c r="M66" s="520"/>
      <c r="N66" s="127"/>
      <c r="O66" s="521"/>
      <c r="P66" s="127"/>
      <c r="Q66" s="586"/>
      <c r="R66" s="129"/>
      <c r="S66" s="522"/>
      <c r="T66" s="302"/>
      <c r="U66" s="523"/>
      <c r="V66" s="522"/>
      <c r="W66" s="130"/>
      <c r="AC66" s="348"/>
      <c r="AD66" s="353"/>
      <c r="AE66" s="348"/>
      <c r="AF66" s="348"/>
      <c r="AG66" s="348"/>
      <c r="AH66" s="348"/>
      <c r="AI66" s="349"/>
      <c r="AJ66" s="350"/>
      <c r="AK66" s="351"/>
      <c r="AL66" s="368"/>
      <c r="AM66" s="349"/>
    </row>
    <row r="67" spans="1:41" s="72" customFormat="1" ht="12.75" customHeight="1">
      <c r="C67" s="524"/>
      <c r="D67" s="1176" t="s">
        <v>292</v>
      </c>
      <c r="E67" s="1177"/>
      <c r="F67" s="1177"/>
      <c r="G67" s="1177"/>
      <c r="H67" s="1177"/>
      <c r="I67" s="1178"/>
      <c r="J67" s="1178"/>
      <c r="K67" s="1178"/>
      <c r="L67" s="1178"/>
      <c r="M67" s="1178"/>
      <c r="N67" s="525"/>
      <c r="O67" s="1176" t="s">
        <v>293</v>
      </c>
      <c r="P67" s="1178"/>
      <c r="Q67" s="1178"/>
      <c r="R67" s="1178"/>
      <c r="S67" s="1178"/>
      <c r="T67" s="1178"/>
      <c r="U67" s="526"/>
      <c r="V67" s="242"/>
      <c r="W67" s="527"/>
      <c r="X67" s="380"/>
      <c r="Y67" s="380"/>
      <c r="Z67" s="381"/>
      <c r="AA67" s="382"/>
      <c r="AB67" s="381"/>
      <c r="AN67" s="380"/>
      <c r="AO67" s="380"/>
    </row>
    <row r="68" spans="1:41" s="72" customFormat="1" ht="12.75" customHeight="1">
      <c r="C68" s="524"/>
      <c r="D68" s="528" t="s">
        <v>541</v>
      </c>
      <c r="E68" s="528" t="s">
        <v>294</v>
      </c>
      <c r="F68" s="528" t="s">
        <v>295</v>
      </c>
      <c r="G68" s="529" t="s">
        <v>296</v>
      </c>
      <c r="H68" s="530" t="s">
        <v>297</v>
      </c>
      <c r="I68" s="529" t="s">
        <v>302</v>
      </c>
      <c r="J68" s="529" t="s">
        <v>303</v>
      </c>
      <c r="K68" s="531" t="s">
        <v>305</v>
      </c>
      <c r="L68" s="532" t="s">
        <v>306</v>
      </c>
      <c r="M68" s="534" t="s">
        <v>307</v>
      </c>
      <c r="N68" s="533"/>
      <c r="O68" s="535" t="s">
        <v>304</v>
      </c>
      <c r="P68" s="535" t="s">
        <v>738</v>
      </c>
      <c r="Q68" s="587" t="s">
        <v>739</v>
      </c>
      <c r="R68" s="510"/>
      <c r="S68" s="536" t="s">
        <v>306</v>
      </c>
      <c r="T68" s="576" t="s">
        <v>308</v>
      </c>
      <c r="U68" s="537" t="s">
        <v>309</v>
      </c>
      <c r="V68" s="242" t="s">
        <v>740</v>
      </c>
      <c r="W68" s="538"/>
      <c r="X68" s="387"/>
      <c r="Y68" s="387"/>
      <c r="Z68" s="386"/>
      <c r="AA68" s="388"/>
      <c r="AB68" s="386"/>
      <c r="AN68" s="380"/>
      <c r="AO68" s="387"/>
    </row>
    <row r="69" spans="1:41" s="403" customFormat="1" ht="12.75" customHeight="1">
      <c r="A69" s="402"/>
      <c r="B69" s="402"/>
      <c r="C69" s="539"/>
      <c r="D69" s="540"/>
      <c r="E69" s="528"/>
      <c r="F69" s="532"/>
      <c r="G69" s="529" t="s">
        <v>312</v>
      </c>
      <c r="H69" s="530" t="s">
        <v>313</v>
      </c>
      <c r="I69" s="529"/>
      <c r="J69" s="529"/>
      <c r="K69" s="531" t="s">
        <v>316</v>
      </c>
      <c r="L69" s="532" t="s">
        <v>317</v>
      </c>
      <c r="M69" s="534" t="s">
        <v>318</v>
      </c>
      <c r="N69" s="533"/>
      <c r="O69" s="535" t="s">
        <v>315</v>
      </c>
      <c r="P69" s="535" t="s">
        <v>741</v>
      </c>
      <c r="Q69" s="577">
        <f>Q41</f>
        <v>0.6</v>
      </c>
      <c r="R69" s="510" t="s">
        <v>742</v>
      </c>
      <c r="S69" s="536" t="s">
        <v>310</v>
      </c>
      <c r="T69" s="576" t="s">
        <v>391</v>
      </c>
      <c r="U69" s="537"/>
      <c r="V69" s="536" t="s">
        <v>310</v>
      </c>
      <c r="W69" s="541"/>
      <c r="AO69" s="404"/>
    </row>
    <row r="70" spans="1:41" ht="12.75" customHeight="1">
      <c r="C70" s="131"/>
      <c r="D70" s="155"/>
      <c r="E70" s="155"/>
      <c r="F70" s="155"/>
      <c r="G70" s="542"/>
      <c r="H70" s="543"/>
      <c r="I70" s="544"/>
      <c r="J70" s="544"/>
      <c r="K70" s="545"/>
      <c r="L70" s="542"/>
      <c r="M70" s="545"/>
      <c r="N70" s="542"/>
      <c r="O70" s="546"/>
      <c r="P70" s="547"/>
      <c r="Q70" s="588"/>
      <c r="R70" s="547"/>
      <c r="S70" s="548"/>
      <c r="T70" s="547"/>
      <c r="U70" s="549"/>
      <c r="V70" s="548"/>
      <c r="W70" s="136"/>
      <c r="AC70" s="68"/>
      <c r="AD70" s="68"/>
      <c r="AL70" s="68"/>
      <c r="AM70" s="68"/>
      <c r="AO70" s="395"/>
    </row>
    <row r="71" spans="1:41" ht="12.75" customHeight="1">
      <c r="C71" s="131"/>
      <c r="D71" s="169" t="str">
        <f>IF(dir!D43="","",dir!D43)</f>
        <v/>
      </c>
      <c r="E71" s="169" t="str">
        <f>IF(dir!E43=0,"",dir!E43)</f>
        <v/>
      </c>
      <c r="F71" s="169" t="str">
        <f>IF(dir!F43=0,"",dir!F43)</f>
        <v/>
      </c>
      <c r="G71" s="170" t="str">
        <f>IF(dir!G43="","",dir!G43+1)</f>
        <v/>
      </c>
      <c r="H71" s="566" t="str">
        <f>IF(dir!H43="","",dir!H43)</f>
        <v/>
      </c>
      <c r="I71" s="567" t="str">
        <f>IF(I43=0,"",I43)</f>
        <v/>
      </c>
      <c r="J71" s="567" t="str">
        <f>IF(E71="","",(IF(dir!J43+1&gt;LOOKUP(I71,schaal2011,regels2011),dir!J43,dir!J43+1)))</f>
        <v/>
      </c>
      <c r="K71" s="568" t="str">
        <f>IF(dir!K43="","",dir!K43)</f>
        <v/>
      </c>
      <c r="L71" s="569" t="str">
        <f>IF(dir!L43="","",dir!L43)</f>
        <v/>
      </c>
      <c r="M71" s="570" t="str">
        <f t="shared" ref="M71:M85" si="15">(IF(L71="",(K71),(K71)-L71))</f>
        <v/>
      </c>
      <c r="N71" s="550"/>
      <c r="O71" s="571" t="str">
        <f>IF(I71="","",VLOOKUP(I71,tab!$A$119:$W$159,J71+3,FALSE))</f>
        <v/>
      </c>
      <c r="P71" s="572">
        <f t="shared" ref="P71:P85" si="16">IF(E71="",0,(O71*M71*12))</f>
        <v>0</v>
      </c>
      <c r="Q71" s="589">
        <f>Q69</f>
        <v>0.6</v>
      </c>
      <c r="R71" s="573">
        <f>IF(E71=0,"",(P71)*Q71)</f>
        <v>0</v>
      </c>
      <c r="S71" s="332">
        <f>IF(L71="",0,(((O71*12)*L71)*(1+tab!$D$108)*tab!$E$110))</f>
        <v>0</v>
      </c>
      <c r="T71" s="580">
        <f>IF(E71=0,0,(P71+R71+S71))</f>
        <v>0</v>
      </c>
      <c r="U71" s="243">
        <f t="shared" ref="U71:U85" si="17">IF(G71&lt;25,0,IF(G71=25,25,IF(G71&lt;40,0,IF(G71=40,40,IF(G71&gt;=40,0)))))</f>
        <v>0</v>
      </c>
      <c r="V71" s="332">
        <f t="shared" ref="V71:V85" si="18">IF(U71=25,(O71*1.08*(K71)/2),IF(U71=40,(O71*1.08*(K71)),IF(U71=0,0)))</f>
        <v>0</v>
      </c>
      <c r="W71" s="541"/>
      <c r="AA71" s="405"/>
      <c r="AJ71" s="405"/>
    </row>
    <row r="72" spans="1:41" ht="12.75" customHeight="1">
      <c r="C72" s="131"/>
      <c r="D72" s="169" t="str">
        <f>IF(dir!D44="","",dir!D44)</f>
        <v/>
      </c>
      <c r="E72" s="169" t="str">
        <f>IF(dir!E44=0,"",dir!E44)</f>
        <v/>
      </c>
      <c r="F72" s="169" t="str">
        <f>IF(dir!F44=0,"",dir!F44)</f>
        <v/>
      </c>
      <c r="G72" s="170" t="str">
        <f>IF(dir!G44="","",dir!G44+1)</f>
        <v/>
      </c>
      <c r="H72" s="566" t="str">
        <f>IF(dir!H44="","",dir!H44)</f>
        <v/>
      </c>
      <c r="I72" s="567" t="str">
        <f t="shared" ref="I72:I85" si="19">IF(I44=0,"",I44)</f>
        <v/>
      </c>
      <c r="J72" s="567" t="str">
        <f>IF(E72="","",(IF(dir!J44+1&gt;LOOKUP(I72,schaal2011,regels2011),dir!J44,dir!J44+1)))</f>
        <v/>
      </c>
      <c r="K72" s="568" t="str">
        <f>IF(dir!K44="","",dir!K44)</f>
        <v/>
      </c>
      <c r="L72" s="569" t="str">
        <f>IF(dir!L44="","",dir!L44)</f>
        <v/>
      </c>
      <c r="M72" s="570" t="str">
        <f t="shared" si="15"/>
        <v/>
      </c>
      <c r="N72" s="550"/>
      <c r="O72" s="571" t="str">
        <f>IF(I72="","",VLOOKUP(I72,tab!$A$119:$W$159,J72+3,FALSE))</f>
        <v/>
      </c>
      <c r="P72" s="572">
        <f t="shared" si="16"/>
        <v>0</v>
      </c>
      <c r="Q72" s="589">
        <f>Q69</f>
        <v>0.6</v>
      </c>
      <c r="R72" s="573">
        <f t="shared" ref="R72:R85" si="20">IF(E72=0,"",(P72)*Q72)</f>
        <v>0</v>
      </c>
      <c r="S72" s="332">
        <f>IF(L72="",0,(((O72*12)*L72)*(1+tab!$D$108)*tab!$E$110))</f>
        <v>0</v>
      </c>
      <c r="T72" s="580">
        <f t="shared" ref="T72:T85" si="21">IF(E72=0,0,(P72+R72+S72))</f>
        <v>0</v>
      </c>
      <c r="U72" s="243">
        <f t="shared" si="17"/>
        <v>0</v>
      </c>
      <c r="V72" s="332">
        <f t="shared" si="18"/>
        <v>0</v>
      </c>
      <c r="W72" s="541"/>
      <c r="AA72" s="405"/>
      <c r="AJ72" s="405"/>
    </row>
    <row r="73" spans="1:41" ht="12.75" customHeight="1">
      <c r="C73" s="131"/>
      <c r="D73" s="169" t="str">
        <f>IF(dir!D45="","",dir!D45)</f>
        <v/>
      </c>
      <c r="E73" s="169" t="str">
        <f>IF(dir!E45=0,"",dir!E45)</f>
        <v/>
      </c>
      <c r="F73" s="169" t="str">
        <f>IF(dir!F45=0,"",dir!F45)</f>
        <v/>
      </c>
      <c r="G73" s="170" t="str">
        <f>IF(dir!G45="","",dir!G45+1)</f>
        <v/>
      </c>
      <c r="H73" s="566" t="str">
        <f>IF(dir!H45="","",dir!H45)</f>
        <v/>
      </c>
      <c r="I73" s="567" t="str">
        <f t="shared" si="19"/>
        <v/>
      </c>
      <c r="J73" s="567" t="str">
        <f>IF(E73="","",(IF(dir!J45+1&gt;LOOKUP(I73,schaal2011,regels2011),dir!J45,dir!J45+1)))</f>
        <v/>
      </c>
      <c r="K73" s="568" t="str">
        <f>IF(dir!K45="","",dir!K45)</f>
        <v/>
      </c>
      <c r="L73" s="569" t="str">
        <f>IF(dir!L45="","",dir!L45)</f>
        <v/>
      </c>
      <c r="M73" s="570" t="str">
        <f t="shared" si="15"/>
        <v/>
      </c>
      <c r="N73" s="550"/>
      <c r="O73" s="571" t="str">
        <f>IF(I73="","",VLOOKUP(I73,tab!$A$119:$W$159,J73+3,FALSE))</f>
        <v/>
      </c>
      <c r="P73" s="572">
        <f t="shared" si="16"/>
        <v>0</v>
      </c>
      <c r="Q73" s="589">
        <f>Q69</f>
        <v>0.6</v>
      </c>
      <c r="R73" s="573">
        <f t="shared" si="20"/>
        <v>0</v>
      </c>
      <c r="S73" s="332">
        <f>IF(L73="",0,(((O73*12)*L73)*(1+tab!$D$108)*tab!$E$110))</f>
        <v>0</v>
      </c>
      <c r="T73" s="580">
        <f t="shared" si="21"/>
        <v>0</v>
      </c>
      <c r="U73" s="243">
        <f t="shared" si="17"/>
        <v>0</v>
      </c>
      <c r="V73" s="332">
        <f t="shared" si="18"/>
        <v>0</v>
      </c>
      <c r="W73" s="541"/>
      <c r="AA73" s="405"/>
      <c r="AJ73" s="405"/>
    </row>
    <row r="74" spans="1:41" ht="12.75" customHeight="1">
      <c r="C74" s="131"/>
      <c r="D74" s="169" t="str">
        <f>IF(dir!D46="","",dir!D46)</f>
        <v/>
      </c>
      <c r="E74" s="169" t="str">
        <f>IF(dir!E46=0,"",dir!E46)</f>
        <v/>
      </c>
      <c r="F74" s="169" t="str">
        <f>IF(dir!F46=0,"",dir!F46)</f>
        <v/>
      </c>
      <c r="G74" s="170" t="str">
        <f>IF(dir!G46="","",dir!G46+1)</f>
        <v/>
      </c>
      <c r="H74" s="566" t="str">
        <f>IF(dir!H46="","",dir!H46)</f>
        <v/>
      </c>
      <c r="I74" s="567" t="str">
        <f t="shared" si="19"/>
        <v/>
      </c>
      <c r="J74" s="567" t="str">
        <f>IF(E74="","",(IF(dir!J46+1&gt;LOOKUP(I74,schaal2011,regels2011),dir!J46,dir!J46+1)))</f>
        <v/>
      </c>
      <c r="K74" s="568" t="str">
        <f>IF(dir!K46="","",dir!K46)</f>
        <v/>
      </c>
      <c r="L74" s="569" t="str">
        <f>IF(dir!L46="","",dir!L46)</f>
        <v/>
      </c>
      <c r="M74" s="570" t="str">
        <f t="shared" si="15"/>
        <v/>
      </c>
      <c r="N74" s="550"/>
      <c r="O74" s="571" t="str">
        <f>IF(I74="","",VLOOKUP(I74,tab!$A$119:$W$159,J74+3,FALSE))</f>
        <v/>
      </c>
      <c r="P74" s="572">
        <f t="shared" si="16"/>
        <v>0</v>
      </c>
      <c r="Q74" s="589">
        <f>Q69</f>
        <v>0.6</v>
      </c>
      <c r="R74" s="573">
        <f t="shared" si="20"/>
        <v>0</v>
      </c>
      <c r="S74" s="332">
        <f>IF(L74="",0,(((O74*12)*L74)*(1+tab!$D$108)*tab!$E$110))</f>
        <v>0</v>
      </c>
      <c r="T74" s="580">
        <f t="shared" si="21"/>
        <v>0</v>
      </c>
      <c r="U74" s="243">
        <f t="shared" si="17"/>
        <v>0</v>
      </c>
      <c r="V74" s="332">
        <f t="shared" si="18"/>
        <v>0</v>
      </c>
      <c r="W74" s="541"/>
      <c r="AA74" s="405"/>
      <c r="AJ74" s="405"/>
    </row>
    <row r="75" spans="1:41" ht="12.75" customHeight="1">
      <c r="C75" s="131"/>
      <c r="D75" s="169" t="str">
        <f>IF(dir!D47="","",dir!D47)</f>
        <v/>
      </c>
      <c r="E75" s="169" t="str">
        <f>IF(dir!E47=0,"",dir!E47)</f>
        <v/>
      </c>
      <c r="F75" s="169" t="str">
        <f>IF(dir!F47=0,"",dir!F47)</f>
        <v/>
      </c>
      <c r="G75" s="170" t="str">
        <f>IF(dir!G47="","",dir!G47+1)</f>
        <v/>
      </c>
      <c r="H75" s="566" t="str">
        <f>IF(dir!H47="","",dir!H47)</f>
        <v/>
      </c>
      <c r="I75" s="567" t="str">
        <f t="shared" si="19"/>
        <v/>
      </c>
      <c r="J75" s="567" t="str">
        <f>IF(E75="","",(IF(dir!J47+1&gt;LOOKUP(I75,schaal2011,regels2011),dir!J47,dir!J47+1)))</f>
        <v/>
      </c>
      <c r="K75" s="568" t="str">
        <f>IF(dir!K47="","",dir!K47)</f>
        <v/>
      </c>
      <c r="L75" s="569" t="str">
        <f>IF(dir!L47="","",dir!L47)</f>
        <v/>
      </c>
      <c r="M75" s="570" t="str">
        <f t="shared" si="15"/>
        <v/>
      </c>
      <c r="N75" s="550"/>
      <c r="O75" s="571" t="str">
        <f>IF(I75="","",VLOOKUP(I75,tab!$A$119:$W$159,J75+3,FALSE))</f>
        <v/>
      </c>
      <c r="P75" s="572">
        <f t="shared" si="16"/>
        <v>0</v>
      </c>
      <c r="Q75" s="589">
        <f>Q69</f>
        <v>0.6</v>
      </c>
      <c r="R75" s="573">
        <f t="shared" si="20"/>
        <v>0</v>
      </c>
      <c r="S75" s="332">
        <f>IF(L75="",0,(((O75*12)*L75)*(1+tab!$D$108)*tab!$E$110))</f>
        <v>0</v>
      </c>
      <c r="T75" s="580">
        <f t="shared" si="21"/>
        <v>0</v>
      </c>
      <c r="U75" s="243">
        <f t="shared" si="17"/>
        <v>0</v>
      </c>
      <c r="V75" s="332">
        <f t="shared" si="18"/>
        <v>0</v>
      </c>
      <c r="W75" s="541"/>
      <c r="AA75" s="405"/>
      <c r="AJ75" s="405"/>
    </row>
    <row r="76" spans="1:41" ht="12.75" customHeight="1">
      <c r="C76" s="131"/>
      <c r="D76" s="169" t="str">
        <f>IF(dir!D48="","",dir!D48)</f>
        <v/>
      </c>
      <c r="E76" s="169" t="str">
        <f>IF(dir!E48=0,"",dir!E48)</f>
        <v/>
      </c>
      <c r="F76" s="169" t="str">
        <f>IF(dir!F48=0,"",dir!F48)</f>
        <v/>
      </c>
      <c r="G76" s="170" t="str">
        <f>IF(dir!G48="","",dir!G48+1)</f>
        <v/>
      </c>
      <c r="H76" s="566" t="str">
        <f>IF(dir!H48="","",dir!H48)</f>
        <v/>
      </c>
      <c r="I76" s="567" t="str">
        <f t="shared" si="19"/>
        <v/>
      </c>
      <c r="J76" s="567" t="str">
        <f>IF(E76="","",(IF(dir!J48+1&gt;LOOKUP(I76,schaal2011,regels2011),dir!J48,dir!J48+1)))</f>
        <v/>
      </c>
      <c r="K76" s="568" t="str">
        <f>IF(dir!K48="","",dir!K48)</f>
        <v/>
      </c>
      <c r="L76" s="569" t="str">
        <f>IF(dir!L48="","",dir!L48)</f>
        <v/>
      </c>
      <c r="M76" s="570" t="str">
        <f t="shared" si="15"/>
        <v/>
      </c>
      <c r="N76" s="550"/>
      <c r="O76" s="571" t="str">
        <f>IF(I76="","",VLOOKUP(I76,tab!$A$119:$W$159,J76+3,FALSE))</f>
        <v/>
      </c>
      <c r="P76" s="572">
        <f t="shared" si="16"/>
        <v>0</v>
      </c>
      <c r="Q76" s="589">
        <f>Q69</f>
        <v>0.6</v>
      </c>
      <c r="R76" s="573">
        <f t="shared" si="20"/>
        <v>0</v>
      </c>
      <c r="S76" s="332">
        <f>IF(L76="",0,(((O76*12)*L76)*(1+tab!$D$108)*tab!$E$110))</f>
        <v>0</v>
      </c>
      <c r="T76" s="580">
        <f t="shared" si="21"/>
        <v>0</v>
      </c>
      <c r="U76" s="243">
        <f t="shared" si="17"/>
        <v>0</v>
      </c>
      <c r="V76" s="332">
        <f t="shared" si="18"/>
        <v>0</v>
      </c>
      <c r="W76" s="541"/>
      <c r="AA76" s="405"/>
      <c r="AJ76" s="405"/>
    </row>
    <row r="77" spans="1:41" ht="12.75" customHeight="1">
      <c r="C77" s="131"/>
      <c r="D77" s="169" t="str">
        <f>IF(dir!D49="","",dir!D49)</f>
        <v/>
      </c>
      <c r="E77" s="169" t="str">
        <f>IF(dir!E49=0,"",dir!E49)</f>
        <v/>
      </c>
      <c r="F77" s="169" t="str">
        <f>IF(dir!F49=0,"",dir!F49)</f>
        <v/>
      </c>
      <c r="G77" s="170" t="str">
        <f>IF(dir!G49="","",dir!G49+1)</f>
        <v/>
      </c>
      <c r="H77" s="566" t="str">
        <f>IF(dir!H49="","",dir!H49)</f>
        <v/>
      </c>
      <c r="I77" s="567" t="str">
        <f t="shared" si="19"/>
        <v/>
      </c>
      <c r="J77" s="567" t="str">
        <f>IF(E77="","",(IF(dir!J49+1&gt;LOOKUP(I77,schaal2011,regels2011),dir!J49,dir!J49+1)))</f>
        <v/>
      </c>
      <c r="K77" s="568" t="str">
        <f>IF(dir!K49="","",dir!K49)</f>
        <v/>
      </c>
      <c r="L77" s="569" t="str">
        <f>IF(dir!L49="","",dir!L49)</f>
        <v/>
      </c>
      <c r="M77" s="570" t="str">
        <f t="shared" si="15"/>
        <v/>
      </c>
      <c r="N77" s="550"/>
      <c r="O77" s="571" t="str">
        <f>IF(I77="","",VLOOKUP(I77,tab!$A$119:$W$159,J77+3,FALSE))</f>
        <v/>
      </c>
      <c r="P77" s="572">
        <f t="shared" si="16"/>
        <v>0</v>
      </c>
      <c r="Q77" s="589">
        <f>Q69</f>
        <v>0.6</v>
      </c>
      <c r="R77" s="573">
        <f t="shared" si="20"/>
        <v>0</v>
      </c>
      <c r="S77" s="332">
        <f>IF(L77="",0,(((O77*12)*L77)*(1+tab!$D$108)*tab!$E$110))</f>
        <v>0</v>
      </c>
      <c r="T77" s="580">
        <f t="shared" si="21"/>
        <v>0</v>
      </c>
      <c r="U77" s="243">
        <f t="shared" si="17"/>
        <v>0</v>
      </c>
      <c r="V77" s="332">
        <f t="shared" si="18"/>
        <v>0</v>
      </c>
      <c r="W77" s="541"/>
      <c r="AA77" s="405"/>
      <c r="AJ77" s="405"/>
    </row>
    <row r="78" spans="1:41" ht="12.75" customHeight="1">
      <c r="C78" s="131"/>
      <c r="D78" s="169" t="str">
        <f>IF(dir!D50="","",dir!D50)</f>
        <v/>
      </c>
      <c r="E78" s="169" t="str">
        <f>IF(dir!E50=0,"",dir!E50)</f>
        <v/>
      </c>
      <c r="F78" s="169" t="str">
        <f>IF(dir!F50=0,"",dir!F50)</f>
        <v/>
      </c>
      <c r="G78" s="170" t="str">
        <f>IF(dir!G50="","",dir!G50+1)</f>
        <v/>
      </c>
      <c r="H78" s="566" t="str">
        <f>IF(dir!H50="","",dir!H50)</f>
        <v/>
      </c>
      <c r="I78" s="567" t="str">
        <f t="shared" si="19"/>
        <v/>
      </c>
      <c r="J78" s="567" t="str">
        <f>IF(E78="","",(IF(dir!J50+1&gt;LOOKUP(I78,schaal2011,regels2011),dir!J50,dir!J50+1)))</f>
        <v/>
      </c>
      <c r="K78" s="568" t="str">
        <f>IF(dir!K50="","",dir!K50)</f>
        <v/>
      </c>
      <c r="L78" s="569" t="str">
        <f>IF(dir!L50="","",dir!L50)</f>
        <v/>
      </c>
      <c r="M78" s="570" t="str">
        <f t="shared" si="15"/>
        <v/>
      </c>
      <c r="N78" s="550"/>
      <c r="O78" s="571" t="str">
        <f>IF(I78="","",VLOOKUP(I78,tab!$A$119:$W$159,J78+3,FALSE))</f>
        <v/>
      </c>
      <c r="P78" s="572">
        <f t="shared" si="16"/>
        <v>0</v>
      </c>
      <c r="Q78" s="589">
        <f>Q69</f>
        <v>0.6</v>
      </c>
      <c r="R78" s="573">
        <f t="shared" si="20"/>
        <v>0</v>
      </c>
      <c r="S78" s="332">
        <f>IF(L78="",0,(((O78*12)*L78)*(1+tab!$D$108)*tab!$E$110))</f>
        <v>0</v>
      </c>
      <c r="T78" s="580">
        <f t="shared" si="21"/>
        <v>0</v>
      </c>
      <c r="U78" s="243">
        <f t="shared" si="17"/>
        <v>0</v>
      </c>
      <c r="V78" s="332">
        <f t="shared" si="18"/>
        <v>0</v>
      </c>
      <c r="W78" s="541"/>
      <c r="AA78" s="405"/>
      <c r="AJ78" s="405"/>
    </row>
    <row r="79" spans="1:41" ht="12.75" customHeight="1">
      <c r="C79" s="131"/>
      <c r="D79" s="169" t="str">
        <f>IF(dir!D51="","",dir!D51)</f>
        <v/>
      </c>
      <c r="E79" s="169" t="str">
        <f>IF(dir!E51=0,"",dir!E51)</f>
        <v/>
      </c>
      <c r="F79" s="169" t="str">
        <f>IF(dir!F51=0,"",dir!F51)</f>
        <v/>
      </c>
      <c r="G79" s="170" t="str">
        <f>IF(dir!G51="","",dir!G51+1)</f>
        <v/>
      </c>
      <c r="H79" s="566" t="str">
        <f>IF(dir!H51="","",dir!H51)</f>
        <v/>
      </c>
      <c r="I79" s="567" t="str">
        <f t="shared" si="19"/>
        <v/>
      </c>
      <c r="J79" s="567" t="str">
        <f>IF(E79="","",(IF(dir!J51+1&gt;LOOKUP(I79,schaal2011,regels2011),dir!J51,dir!J51+1)))</f>
        <v/>
      </c>
      <c r="K79" s="568" t="str">
        <f>IF(dir!K51="","",dir!K51)</f>
        <v/>
      </c>
      <c r="L79" s="569" t="str">
        <f>IF(dir!L51="","",dir!L51)</f>
        <v/>
      </c>
      <c r="M79" s="570" t="str">
        <f t="shared" si="15"/>
        <v/>
      </c>
      <c r="N79" s="550"/>
      <c r="O79" s="571" t="str">
        <f>IF(I79="","",VLOOKUP(I79,tab!$A$119:$W$159,J79+3,FALSE))</f>
        <v/>
      </c>
      <c r="P79" s="572">
        <f t="shared" si="16"/>
        <v>0</v>
      </c>
      <c r="Q79" s="589">
        <f>Q69</f>
        <v>0.6</v>
      </c>
      <c r="R79" s="573">
        <f t="shared" si="20"/>
        <v>0</v>
      </c>
      <c r="S79" s="332">
        <f>IF(L79="",0,(((O79*12)*L79)*(1+tab!$D$108)*tab!$E$110))</f>
        <v>0</v>
      </c>
      <c r="T79" s="580">
        <f t="shared" si="21"/>
        <v>0</v>
      </c>
      <c r="U79" s="243">
        <f t="shared" si="17"/>
        <v>0</v>
      </c>
      <c r="V79" s="332">
        <f t="shared" si="18"/>
        <v>0</v>
      </c>
      <c r="W79" s="541"/>
      <c r="AA79" s="405"/>
      <c r="AJ79" s="405"/>
    </row>
    <row r="80" spans="1:41" ht="12.75" customHeight="1">
      <c r="C80" s="131"/>
      <c r="D80" s="169" t="str">
        <f>IF(dir!D52="","",dir!D52)</f>
        <v/>
      </c>
      <c r="E80" s="169" t="str">
        <f>IF(dir!E52=0,"",dir!E52)</f>
        <v/>
      </c>
      <c r="F80" s="169" t="str">
        <f>IF(dir!F52=0,"",dir!F52)</f>
        <v/>
      </c>
      <c r="G80" s="170" t="str">
        <f>IF(dir!G52="","",dir!G52+1)</f>
        <v/>
      </c>
      <c r="H80" s="566" t="str">
        <f>IF(dir!H52="","",dir!H52)</f>
        <v/>
      </c>
      <c r="I80" s="567" t="str">
        <f t="shared" si="19"/>
        <v/>
      </c>
      <c r="J80" s="567" t="str">
        <f>IF(E80="","",(IF(dir!J52+1&gt;LOOKUP(I80,schaal2011,regels2011),dir!J52,dir!J52+1)))</f>
        <v/>
      </c>
      <c r="K80" s="568" t="str">
        <f>IF(dir!K52="","",dir!K52)</f>
        <v/>
      </c>
      <c r="L80" s="569" t="str">
        <f>IF(dir!L52="","",dir!L52)</f>
        <v/>
      </c>
      <c r="M80" s="570" t="str">
        <f t="shared" si="15"/>
        <v/>
      </c>
      <c r="N80" s="550"/>
      <c r="O80" s="571" t="str">
        <f>IF(I80="","",VLOOKUP(I80,tab!$A$119:$W$159,J80+3,FALSE))</f>
        <v/>
      </c>
      <c r="P80" s="572">
        <f t="shared" si="16"/>
        <v>0</v>
      </c>
      <c r="Q80" s="589">
        <f>Q69</f>
        <v>0.6</v>
      </c>
      <c r="R80" s="573">
        <f t="shared" si="20"/>
        <v>0</v>
      </c>
      <c r="S80" s="332">
        <f>IF(L80="",0,(((O80*12)*L80)*(1+tab!$D$108)*tab!$E$110))</f>
        <v>0</v>
      </c>
      <c r="T80" s="580">
        <f t="shared" si="21"/>
        <v>0</v>
      </c>
      <c r="U80" s="243">
        <f t="shared" si="17"/>
        <v>0</v>
      </c>
      <c r="V80" s="332">
        <f t="shared" si="18"/>
        <v>0</v>
      </c>
      <c r="W80" s="541"/>
      <c r="AA80" s="405"/>
      <c r="AJ80" s="405"/>
    </row>
    <row r="81" spans="1:41" ht="12.75" customHeight="1">
      <c r="C81" s="131"/>
      <c r="D81" s="169" t="str">
        <f>IF(dir!D53="","",dir!D53)</f>
        <v/>
      </c>
      <c r="E81" s="169" t="str">
        <f>IF(dir!E53=0,"",dir!E53)</f>
        <v/>
      </c>
      <c r="F81" s="169" t="str">
        <f>IF(dir!F53=0,"",dir!F53)</f>
        <v/>
      </c>
      <c r="G81" s="170" t="str">
        <f>IF(dir!G53="","",dir!G53+1)</f>
        <v/>
      </c>
      <c r="H81" s="566" t="str">
        <f>IF(dir!H53="","",dir!H53)</f>
        <v/>
      </c>
      <c r="I81" s="567" t="str">
        <f t="shared" si="19"/>
        <v/>
      </c>
      <c r="J81" s="567" t="str">
        <f>IF(E81="","",(IF(dir!J53+1&gt;LOOKUP(I81,schaal2011,regels2011),dir!J53,dir!J53+1)))</f>
        <v/>
      </c>
      <c r="K81" s="568" t="str">
        <f>IF(dir!K53="","",dir!K53)</f>
        <v/>
      </c>
      <c r="L81" s="569" t="str">
        <f>IF(dir!L53="","",dir!L53)</f>
        <v/>
      </c>
      <c r="M81" s="570" t="str">
        <f t="shared" si="15"/>
        <v/>
      </c>
      <c r="N81" s="550"/>
      <c r="O81" s="571" t="str">
        <f>IF(I81="","",VLOOKUP(I81,tab!$A$119:$W$159,J81+3,FALSE))</f>
        <v/>
      </c>
      <c r="P81" s="572">
        <f t="shared" si="16"/>
        <v>0</v>
      </c>
      <c r="Q81" s="589">
        <f>Q69</f>
        <v>0.6</v>
      </c>
      <c r="R81" s="573">
        <f t="shared" si="20"/>
        <v>0</v>
      </c>
      <c r="S81" s="332">
        <f>IF(L81="",0,(((O81*12)*L81)*(1+tab!$D$108)*tab!$E$110))</f>
        <v>0</v>
      </c>
      <c r="T81" s="580">
        <f t="shared" si="21"/>
        <v>0</v>
      </c>
      <c r="U81" s="243">
        <f t="shared" si="17"/>
        <v>0</v>
      </c>
      <c r="V81" s="332">
        <f t="shared" si="18"/>
        <v>0</v>
      </c>
      <c r="W81" s="541"/>
      <c r="AA81" s="405"/>
      <c r="AJ81" s="405"/>
    </row>
    <row r="82" spans="1:41" ht="12.75" customHeight="1">
      <c r="C82" s="131"/>
      <c r="D82" s="169" t="str">
        <f>IF(dir!D54="","",dir!D54)</f>
        <v/>
      </c>
      <c r="E82" s="169" t="str">
        <f>IF(dir!E54=0,"",dir!E54)</f>
        <v/>
      </c>
      <c r="F82" s="169" t="str">
        <f>IF(dir!F54=0,"",dir!F54)</f>
        <v/>
      </c>
      <c r="G82" s="170" t="str">
        <f>IF(dir!G54="","",dir!G54+1)</f>
        <v/>
      </c>
      <c r="H82" s="566" t="str">
        <f>IF(dir!H54="","",dir!H54)</f>
        <v/>
      </c>
      <c r="I82" s="567" t="str">
        <f t="shared" si="19"/>
        <v/>
      </c>
      <c r="J82" s="567" t="str">
        <f>IF(E82="","",(IF(dir!J54+1&gt;LOOKUP(I82,schaal2011,regels2011),dir!J54,dir!J54+1)))</f>
        <v/>
      </c>
      <c r="K82" s="568" t="str">
        <f>IF(dir!K54="","",dir!K54)</f>
        <v/>
      </c>
      <c r="L82" s="569" t="str">
        <f>IF(dir!L54="","",dir!L54)</f>
        <v/>
      </c>
      <c r="M82" s="570" t="str">
        <f t="shared" si="15"/>
        <v/>
      </c>
      <c r="N82" s="550"/>
      <c r="O82" s="571" t="str">
        <f>IF(I82="","",VLOOKUP(I82,tab!$A$119:$W$159,J82+3,FALSE))</f>
        <v/>
      </c>
      <c r="P82" s="572">
        <f t="shared" si="16"/>
        <v>0</v>
      </c>
      <c r="Q82" s="589">
        <f>Q69</f>
        <v>0.6</v>
      </c>
      <c r="R82" s="573">
        <f t="shared" si="20"/>
        <v>0</v>
      </c>
      <c r="S82" s="332">
        <f>IF(L82="",0,(((O82*12)*L82)*(1+tab!$D$108)*tab!$E$110))</f>
        <v>0</v>
      </c>
      <c r="T82" s="580">
        <f t="shared" si="21"/>
        <v>0</v>
      </c>
      <c r="U82" s="243">
        <f t="shared" si="17"/>
        <v>0</v>
      </c>
      <c r="V82" s="332">
        <f t="shared" si="18"/>
        <v>0</v>
      </c>
      <c r="W82" s="541"/>
      <c r="AA82" s="405"/>
      <c r="AJ82" s="405"/>
    </row>
    <row r="83" spans="1:41" ht="12.75" customHeight="1">
      <c r="C83" s="131"/>
      <c r="D83" s="169" t="str">
        <f>IF(dir!D55="","",dir!D55)</f>
        <v/>
      </c>
      <c r="E83" s="169" t="str">
        <f>IF(dir!E55=0,"",dir!E55)</f>
        <v/>
      </c>
      <c r="F83" s="169" t="str">
        <f>IF(dir!F55=0,"",dir!F55)</f>
        <v/>
      </c>
      <c r="G83" s="170" t="str">
        <f>IF(dir!G55="","",dir!G55+1)</f>
        <v/>
      </c>
      <c r="H83" s="566" t="str">
        <f>IF(dir!H55="","",dir!H55)</f>
        <v/>
      </c>
      <c r="I83" s="567" t="str">
        <f t="shared" si="19"/>
        <v/>
      </c>
      <c r="J83" s="567" t="str">
        <f>IF(E83="","",(IF(dir!J55+1&gt;LOOKUP(I83,schaal2011,regels2011),dir!J55,dir!J55+1)))</f>
        <v/>
      </c>
      <c r="K83" s="568" t="str">
        <f>IF(dir!K55="","",dir!K55)</f>
        <v/>
      </c>
      <c r="L83" s="569" t="str">
        <f>IF(dir!L55="","",dir!L55)</f>
        <v/>
      </c>
      <c r="M83" s="570" t="str">
        <f t="shared" si="15"/>
        <v/>
      </c>
      <c r="N83" s="550"/>
      <c r="O83" s="571" t="str">
        <f>IF(I83="","",VLOOKUP(I83,tab!$A$119:$W$159,J83+3,FALSE))</f>
        <v/>
      </c>
      <c r="P83" s="572">
        <f t="shared" si="16"/>
        <v>0</v>
      </c>
      <c r="Q83" s="589">
        <f>Q69</f>
        <v>0.6</v>
      </c>
      <c r="R83" s="573">
        <f t="shared" si="20"/>
        <v>0</v>
      </c>
      <c r="S83" s="332">
        <f>IF(L83="",0,(((O83*12)*L83)*(1+tab!$D$108)*tab!$E$110))</f>
        <v>0</v>
      </c>
      <c r="T83" s="580">
        <f t="shared" si="21"/>
        <v>0</v>
      </c>
      <c r="U83" s="243">
        <f t="shared" si="17"/>
        <v>0</v>
      </c>
      <c r="V83" s="332">
        <f t="shared" si="18"/>
        <v>0</v>
      </c>
      <c r="W83" s="541"/>
      <c r="AA83" s="405"/>
      <c r="AJ83" s="405"/>
    </row>
    <row r="84" spans="1:41" ht="12.75" customHeight="1">
      <c r="C84" s="131"/>
      <c r="D84" s="169" t="str">
        <f>IF(dir!D56="","",dir!D56)</f>
        <v/>
      </c>
      <c r="E84" s="169" t="str">
        <f>IF(dir!E56=0,"",dir!E56)</f>
        <v/>
      </c>
      <c r="F84" s="169" t="str">
        <f>IF(dir!F56=0,"",dir!F56)</f>
        <v/>
      </c>
      <c r="G84" s="170" t="str">
        <f>IF(dir!G56="","",dir!G56+1)</f>
        <v/>
      </c>
      <c r="H84" s="566" t="str">
        <f>IF(dir!H56="","",dir!H56)</f>
        <v/>
      </c>
      <c r="I84" s="567" t="str">
        <f t="shared" si="19"/>
        <v/>
      </c>
      <c r="J84" s="567" t="str">
        <f>IF(E84="","",(IF(dir!J56+1&gt;LOOKUP(I84,schaal2011,regels2011),dir!J56,dir!J56+1)))</f>
        <v/>
      </c>
      <c r="K84" s="568" t="str">
        <f>IF(dir!K56="","",dir!K56)</f>
        <v/>
      </c>
      <c r="L84" s="569" t="str">
        <f>IF(dir!L56="","",dir!L56)</f>
        <v/>
      </c>
      <c r="M84" s="570" t="str">
        <f t="shared" si="15"/>
        <v/>
      </c>
      <c r="N84" s="550"/>
      <c r="O84" s="571" t="str">
        <f>IF(I84="","",VLOOKUP(I84,tab!$A$119:$W$159,J84+3,FALSE))</f>
        <v/>
      </c>
      <c r="P84" s="572">
        <f t="shared" si="16"/>
        <v>0</v>
      </c>
      <c r="Q84" s="589">
        <f>Q69</f>
        <v>0.6</v>
      </c>
      <c r="R84" s="573">
        <f t="shared" si="20"/>
        <v>0</v>
      </c>
      <c r="S84" s="332">
        <f>IF(L84="",0,(((O84*12)*L84)*(1+tab!$D$108)*tab!$E$110))</f>
        <v>0</v>
      </c>
      <c r="T84" s="580">
        <f t="shared" si="21"/>
        <v>0</v>
      </c>
      <c r="U84" s="243">
        <f t="shared" si="17"/>
        <v>0</v>
      </c>
      <c r="V84" s="332">
        <f t="shared" si="18"/>
        <v>0</v>
      </c>
      <c r="W84" s="541"/>
      <c r="AA84" s="405"/>
      <c r="AJ84" s="405"/>
    </row>
    <row r="85" spans="1:41" ht="12.75" customHeight="1">
      <c r="C85" s="131"/>
      <c r="D85" s="169" t="str">
        <f>IF(dir!D57="","",dir!D57)</f>
        <v/>
      </c>
      <c r="E85" s="169" t="str">
        <f>IF(dir!E57=0,"",dir!E57)</f>
        <v/>
      </c>
      <c r="F85" s="169" t="str">
        <f>IF(dir!F57=0,"",dir!F57)</f>
        <v/>
      </c>
      <c r="G85" s="170" t="str">
        <f>IF(dir!G57="","",dir!G57+1)</f>
        <v/>
      </c>
      <c r="H85" s="566" t="str">
        <f>IF(dir!H57="","",dir!H57)</f>
        <v/>
      </c>
      <c r="I85" s="567" t="str">
        <f t="shared" si="19"/>
        <v/>
      </c>
      <c r="J85" s="567" t="str">
        <f>IF(E85="","",(IF(dir!J57+1&gt;LOOKUP(I85,schaal2011,regels2011),dir!J57,dir!J57+1)))</f>
        <v/>
      </c>
      <c r="K85" s="568" t="str">
        <f>IF(dir!K57="","",dir!K57)</f>
        <v/>
      </c>
      <c r="L85" s="569" t="str">
        <f>IF(dir!L57="","",dir!L57)</f>
        <v/>
      </c>
      <c r="M85" s="570" t="str">
        <f t="shared" si="15"/>
        <v/>
      </c>
      <c r="N85" s="550"/>
      <c r="O85" s="571" t="str">
        <f>IF(I85="","",VLOOKUP(I85,tab!$A$119:$W$159,J85+3,FALSE))</f>
        <v/>
      </c>
      <c r="P85" s="572">
        <f t="shared" si="16"/>
        <v>0</v>
      </c>
      <c r="Q85" s="589">
        <f>Q69</f>
        <v>0.6</v>
      </c>
      <c r="R85" s="573">
        <f t="shared" si="20"/>
        <v>0</v>
      </c>
      <c r="S85" s="332">
        <f>IF(L85="",0,(((O85*12)*L85)*(1+tab!$D$108)*tab!$E$110))</f>
        <v>0</v>
      </c>
      <c r="T85" s="580">
        <f t="shared" si="21"/>
        <v>0</v>
      </c>
      <c r="U85" s="243">
        <f t="shared" si="17"/>
        <v>0</v>
      </c>
      <c r="V85" s="332">
        <f t="shared" si="18"/>
        <v>0</v>
      </c>
      <c r="W85" s="541"/>
      <c r="AA85" s="405"/>
      <c r="AJ85" s="405"/>
    </row>
    <row r="86" spans="1:41" ht="12.75" customHeight="1">
      <c r="C86" s="131"/>
      <c r="D86" s="319"/>
      <c r="E86" s="319"/>
      <c r="F86" s="319"/>
      <c r="G86" s="555"/>
      <c r="H86" s="556"/>
      <c r="I86" s="135"/>
      <c r="J86" s="135"/>
      <c r="K86" s="575">
        <f>SUM(K71:K85)</f>
        <v>0</v>
      </c>
      <c r="L86" s="575">
        <f>SUM(L71:L85)</f>
        <v>0</v>
      </c>
      <c r="M86" s="575">
        <f>SUM(M71:M85)</f>
        <v>0</v>
      </c>
      <c r="N86" s="555"/>
      <c r="O86" s="309">
        <f t="shared" ref="O86:V86" si="22">SUM(O71:O85)</f>
        <v>0</v>
      </c>
      <c r="P86" s="309">
        <f t="shared" si="22"/>
        <v>0</v>
      </c>
      <c r="Q86" s="590"/>
      <c r="R86" s="343"/>
      <c r="S86" s="344">
        <f t="shared" si="22"/>
        <v>0</v>
      </c>
      <c r="T86" s="309">
        <f t="shared" si="22"/>
        <v>0</v>
      </c>
      <c r="U86" s="574">
        <f t="shared" si="22"/>
        <v>0</v>
      </c>
      <c r="V86" s="344">
        <f t="shared" si="22"/>
        <v>0</v>
      </c>
      <c r="W86" s="554"/>
      <c r="AA86" s="405"/>
      <c r="AJ86" s="405"/>
    </row>
    <row r="87" spans="1:41" ht="12.75" customHeight="1">
      <c r="C87" s="141"/>
      <c r="D87" s="557"/>
      <c r="E87" s="557"/>
      <c r="F87" s="557"/>
      <c r="G87" s="557"/>
      <c r="H87" s="558"/>
      <c r="I87" s="146"/>
      <c r="J87" s="559"/>
      <c r="K87" s="560"/>
      <c r="L87" s="559"/>
      <c r="M87" s="560"/>
      <c r="N87" s="557"/>
      <c r="O87" s="559"/>
      <c r="P87" s="299"/>
      <c r="Q87" s="590"/>
      <c r="R87" s="561"/>
      <c r="S87" s="562"/>
      <c r="T87" s="299"/>
      <c r="U87" s="563"/>
      <c r="V87" s="562"/>
      <c r="W87" s="565"/>
      <c r="AA87" s="405"/>
      <c r="AJ87" s="405"/>
    </row>
    <row r="88" spans="1:41" ht="12.75" customHeight="1">
      <c r="I88" s="67"/>
      <c r="J88" s="350"/>
      <c r="K88" s="396"/>
      <c r="L88" s="349"/>
      <c r="M88" s="349"/>
      <c r="O88" s="406"/>
      <c r="P88" s="395"/>
      <c r="Q88" s="593"/>
      <c r="R88" s="407"/>
      <c r="S88" s="224"/>
      <c r="T88" s="408"/>
      <c r="U88" s="84"/>
      <c r="V88" s="224"/>
    </row>
    <row r="89" spans="1:41" ht="12.75" customHeight="1">
      <c r="I89" s="67"/>
      <c r="J89" s="350"/>
      <c r="K89" s="396"/>
      <c r="L89" s="349"/>
      <c r="M89" s="349"/>
      <c r="O89" s="406"/>
      <c r="P89" s="395"/>
      <c r="Q89" s="593"/>
      <c r="R89" s="407"/>
      <c r="S89" s="224"/>
      <c r="T89" s="408"/>
      <c r="U89" s="84"/>
      <c r="V89" s="224"/>
    </row>
    <row r="90" spans="1:41" ht="12.75" customHeight="1">
      <c r="C90" s="68" t="s">
        <v>290</v>
      </c>
      <c r="E90" s="401" t="str">
        <f>tab!G2</f>
        <v>2015/16</v>
      </c>
      <c r="I90" s="67"/>
      <c r="J90" s="350"/>
      <c r="K90" s="396"/>
      <c r="L90" s="349"/>
      <c r="M90" s="349"/>
      <c r="O90" s="406"/>
      <c r="P90" s="395"/>
      <c r="Q90" s="593"/>
      <c r="R90" s="407"/>
      <c r="S90" s="224"/>
      <c r="T90" s="408"/>
      <c r="U90" s="84"/>
      <c r="V90" s="224"/>
    </row>
    <row r="91" spans="1:41" ht="12.75" customHeight="1">
      <c r="C91" s="83" t="s">
        <v>291</v>
      </c>
      <c r="E91" s="370">
        <f>tab!H3</f>
        <v>42278</v>
      </c>
      <c r="I91" s="67"/>
      <c r="J91" s="350"/>
      <c r="K91" s="396"/>
      <c r="L91" s="349"/>
      <c r="M91" s="349"/>
      <c r="O91" s="406"/>
      <c r="P91" s="395"/>
      <c r="Q91" s="593"/>
      <c r="R91" s="407"/>
      <c r="S91" s="224"/>
      <c r="T91" s="408"/>
      <c r="U91" s="84"/>
      <c r="V91" s="224"/>
    </row>
    <row r="92" spans="1:41" ht="12.75" customHeight="1">
      <c r="I92" s="67"/>
      <c r="J92" s="350"/>
      <c r="K92" s="396"/>
      <c r="L92" s="349"/>
      <c r="M92" s="349"/>
      <c r="O92" s="406"/>
      <c r="P92" s="395"/>
      <c r="Q92" s="593"/>
      <c r="R92" s="407"/>
      <c r="S92" s="224"/>
      <c r="T92" s="408"/>
      <c r="U92" s="84"/>
      <c r="V92" s="224"/>
    </row>
    <row r="93" spans="1:41" ht="12.75" customHeight="1">
      <c r="C93" s="124"/>
      <c r="D93" s="514"/>
      <c r="E93" s="515"/>
      <c r="F93" s="516"/>
      <c r="G93" s="129"/>
      <c r="H93" s="517"/>
      <c r="I93" s="518"/>
      <c r="J93" s="518"/>
      <c r="K93" s="519"/>
      <c r="L93" s="518"/>
      <c r="M93" s="520"/>
      <c r="N93" s="127"/>
      <c r="O93" s="521"/>
      <c r="P93" s="127"/>
      <c r="Q93" s="586"/>
      <c r="R93" s="129"/>
      <c r="S93" s="522"/>
      <c r="T93" s="302"/>
      <c r="U93" s="523"/>
      <c r="V93" s="522"/>
      <c r="W93" s="130"/>
      <c r="AC93" s="348"/>
      <c r="AD93" s="353"/>
      <c r="AE93" s="348"/>
      <c r="AF93" s="348"/>
      <c r="AG93" s="348"/>
      <c r="AH93" s="348"/>
      <c r="AI93" s="349"/>
      <c r="AJ93" s="350"/>
      <c r="AK93" s="351"/>
      <c r="AL93" s="368"/>
      <c r="AM93" s="349"/>
    </row>
    <row r="94" spans="1:41" s="409" customFormat="1" ht="12.75" customHeight="1">
      <c r="C94" s="524"/>
      <c r="D94" s="1176" t="s">
        <v>292</v>
      </c>
      <c r="E94" s="1177"/>
      <c r="F94" s="1177"/>
      <c r="G94" s="1177"/>
      <c r="H94" s="1177"/>
      <c r="I94" s="1178"/>
      <c r="J94" s="1178"/>
      <c r="K94" s="1178"/>
      <c r="L94" s="1178"/>
      <c r="M94" s="1178"/>
      <c r="N94" s="525"/>
      <c r="O94" s="1176" t="s">
        <v>293</v>
      </c>
      <c r="P94" s="1178"/>
      <c r="Q94" s="1178"/>
      <c r="R94" s="1178"/>
      <c r="S94" s="1178"/>
      <c r="T94" s="1178"/>
      <c r="U94" s="526"/>
      <c r="V94" s="242"/>
      <c r="W94" s="527"/>
      <c r="X94" s="410"/>
      <c r="Y94" s="410"/>
      <c r="Z94" s="411"/>
      <c r="AA94" s="412"/>
      <c r="AB94" s="411"/>
      <c r="AN94" s="410"/>
      <c r="AO94" s="410"/>
    </row>
    <row r="95" spans="1:41" s="409" customFormat="1" ht="12.75" customHeight="1">
      <c r="C95" s="524"/>
      <c r="D95" s="528" t="s">
        <v>541</v>
      </c>
      <c r="E95" s="528" t="s">
        <v>294</v>
      </c>
      <c r="F95" s="528" t="s">
        <v>295</v>
      </c>
      <c r="G95" s="529" t="s">
        <v>296</v>
      </c>
      <c r="H95" s="530" t="s">
        <v>297</v>
      </c>
      <c r="I95" s="529" t="s">
        <v>302</v>
      </c>
      <c r="J95" s="529" t="s">
        <v>303</v>
      </c>
      <c r="K95" s="531" t="s">
        <v>305</v>
      </c>
      <c r="L95" s="532" t="s">
        <v>306</v>
      </c>
      <c r="M95" s="534" t="s">
        <v>307</v>
      </c>
      <c r="N95" s="533"/>
      <c r="O95" s="535" t="s">
        <v>304</v>
      </c>
      <c r="P95" s="535" t="s">
        <v>738</v>
      </c>
      <c r="Q95" s="587" t="s">
        <v>739</v>
      </c>
      <c r="R95" s="510"/>
      <c r="S95" s="536" t="s">
        <v>306</v>
      </c>
      <c r="T95" s="576" t="s">
        <v>308</v>
      </c>
      <c r="U95" s="537" t="s">
        <v>309</v>
      </c>
      <c r="V95" s="242" t="s">
        <v>740</v>
      </c>
      <c r="W95" s="538"/>
      <c r="X95" s="413"/>
      <c r="Y95" s="413"/>
      <c r="Z95" s="414"/>
      <c r="AA95" s="415"/>
      <c r="AB95" s="414"/>
      <c r="AN95" s="410"/>
      <c r="AO95" s="413"/>
    </row>
    <row r="96" spans="1:41" s="417" customFormat="1" ht="12.75" customHeight="1">
      <c r="A96" s="416"/>
      <c r="B96" s="416"/>
      <c r="C96" s="539"/>
      <c r="D96" s="540"/>
      <c r="E96" s="528"/>
      <c r="F96" s="532"/>
      <c r="G96" s="529" t="s">
        <v>312</v>
      </c>
      <c r="H96" s="530" t="s">
        <v>313</v>
      </c>
      <c r="I96" s="529"/>
      <c r="J96" s="529"/>
      <c r="K96" s="531" t="s">
        <v>316</v>
      </c>
      <c r="L96" s="532" t="s">
        <v>317</v>
      </c>
      <c r="M96" s="534" t="s">
        <v>318</v>
      </c>
      <c r="N96" s="533"/>
      <c r="O96" s="535" t="s">
        <v>315</v>
      </c>
      <c r="P96" s="535" t="s">
        <v>741</v>
      </c>
      <c r="Q96" s="577">
        <f>Q69</f>
        <v>0.6</v>
      </c>
      <c r="R96" s="510" t="s">
        <v>742</v>
      </c>
      <c r="S96" s="536" t="s">
        <v>310</v>
      </c>
      <c r="T96" s="576" t="s">
        <v>391</v>
      </c>
      <c r="U96" s="537"/>
      <c r="V96" s="536" t="s">
        <v>310</v>
      </c>
      <c r="W96" s="541"/>
      <c r="AO96" s="418"/>
    </row>
    <row r="97" spans="3:41" s="379" customFormat="1" ht="12.75" customHeight="1">
      <c r="C97" s="131"/>
      <c r="D97" s="155"/>
      <c r="E97" s="155"/>
      <c r="F97" s="155"/>
      <c r="G97" s="542"/>
      <c r="H97" s="543"/>
      <c r="I97" s="544"/>
      <c r="J97" s="544"/>
      <c r="K97" s="545"/>
      <c r="L97" s="542"/>
      <c r="M97" s="545"/>
      <c r="N97" s="542"/>
      <c r="O97" s="546"/>
      <c r="P97" s="547"/>
      <c r="Q97" s="588"/>
      <c r="R97" s="547"/>
      <c r="S97" s="548"/>
      <c r="T97" s="547"/>
      <c r="U97" s="549"/>
      <c r="V97" s="548"/>
      <c r="W97" s="136"/>
      <c r="AO97" s="406"/>
    </row>
    <row r="98" spans="3:41" ht="12.75" customHeight="1">
      <c r="C98" s="131"/>
      <c r="D98" s="169" t="str">
        <f>IF(dir!D71=0,"",dir!D71)</f>
        <v/>
      </c>
      <c r="E98" s="169" t="str">
        <f>IF(dir!E71=0,"",dir!E71)</f>
        <v/>
      </c>
      <c r="F98" s="169" t="str">
        <f>IF(dir!F71=0,"",dir!F71)</f>
        <v/>
      </c>
      <c r="G98" s="170" t="str">
        <f>IF(dir!G71="","",dir!G71+1)</f>
        <v/>
      </c>
      <c r="H98" s="566" t="str">
        <f>IF(dir!H71="","",dir!H71)</f>
        <v/>
      </c>
      <c r="I98" s="567" t="str">
        <f t="shared" ref="I98:I112" si="23">IF(I71=0,"",I71)</f>
        <v/>
      </c>
      <c r="J98" s="567" t="str">
        <f>IF(E98="","",(IF(dir!J71+1&gt;LOOKUP(I98,schaal2011,regels2011),dir!J71,dir!J71+1)))</f>
        <v/>
      </c>
      <c r="K98" s="568" t="str">
        <f>IF(dir!K71="","",dir!K71)</f>
        <v/>
      </c>
      <c r="L98" s="569" t="str">
        <f>IF(dir!L71="","",dir!L71)</f>
        <v/>
      </c>
      <c r="M98" s="570" t="str">
        <f t="shared" ref="M98:M112" si="24">(IF(L98="",(K98),(K98)-L98))</f>
        <v/>
      </c>
      <c r="N98" s="550"/>
      <c r="O98" s="571" t="str">
        <f>IF(I98="","",VLOOKUP(I98,tab!$A$119:$W$159,J98+3,FALSE))</f>
        <v/>
      </c>
      <c r="P98" s="572">
        <f t="shared" ref="P98:P112" si="25">IF(E98="",0,(O98*M98*12))</f>
        <v>0</v>
      </c>
      <c r="Q98" s="589">
        <f>Q96</f>
        <v>0.6</v>
      </c>
      <c r="R98" s="573">
        <f>IF(E98=0,"",(P98)*Q98)</f>
        <v>0</v>
      </c>
      <c r="S98" s="332">
        <f>IF(L98="",0,(((O98*12)*L98)*(1+tab!$D$108)*tab!$E$110))</f>
        <v>0</v>
      </c>
      <c r="T98" s="580">
        <f>IF(E98=0,0,(P98+R98+S98))</f>
        <v>0</v>
      </c>
      <c r="U98" s="243">
        <f t="shared" ref="U98:U112" si="26">IF(G98&lt;25,0,IF(G98=25,25,IF(G98&lt;40,0,IF(G98=40,40,IF(G98&gt;=40,0)))))</f>
        <v>0</v>
      </c>
      <c r="V98" s="332">
        <f t="shared" ref="V98:V112" si="27">IF(U98=25,(O98*1.08*(K98)/2),IF(U98=40,(O98*1.08*(K98)),IF(U98=0,0)))</f>
        <v>0</v>
      </c>
      <c r="W98" s="541"/>
      <c r="AA98" s="405"/>
      <c r="AJ98" s="405"/>
    </row>
    <row r="99" spans="3:41" ht="12.75" customHeight="1">
      <c r="C99" s="131"/>
      <c r="D99" s="169" t="str">
        <f>IF(dir!D72=0,"",dir!D72)</f>
        <v/>
      </c>
      <c r="E99" s="169" t="str">
        <f>IF(dir!E72=0,"",dir!E72)</f>
        <v/>
      </c>
      <c r="F99" s="169" t="str">
        <f>IF(dir!F72=0,"",dir!F72)</f>
        <v/>
      </c>
      <c r="G99" s="170" t="str">
        <f>IF(dir!G72="","",dir!G72+1)</f>
        <v/>
      </c>
      <c r="H99" s="566" t="str">
        <f>IF(dir!H72="","",dir!H72)</f>
        <v/>
      </c>
      <c r="I99" s="567" t="str">
        <f t="shared" si="23"/>
        <v/>
      </c>
      <c r="J99" s="567" t="str">
        <f>IF(E99="","",(IF(dir!J72+1&gt;LOOKUP(I99,schaal2011,regels2011),dir!J72,dir!J72+1)))</f>
        <v/>
      </c>
      <c r="K99" s="568" t="str">
        <f>IF(dir!K72="","",dir!K72)</f>
        <v/>
      </c>
      <c r="L99" s="569" t="str">
        <f>IF(dir!L72="","",dir!L72)</f>
        <v/>
      </c>
      <c r="M99" s="570" t="str">
        <f t="shared" si="24"/>
        <v/>
      </c>
      <c r="N99" s="550"/>
      <c r="O99" s="571" t="str">
        <f>IF(I99="","",VLOOKUP(I99,tab!$A$119:$W$159,J99+3,FALSE))</f>
        <v/>
      </c>
      <c r="P99" s="572">
        <f t="shared" si="25"/>
        <v>0</v>
      </c>
      <c r="Q99" s="589">
        <f>Q96</f>
        <v>0.6</v>
      </c>
      <c r="R99" s="573">
        <f t="shared" ref="R99:R112" si="28">IF(E99=0,"",(P99)*Q99)</f>
        <v>0</v>
      </c>
      <c r="S99" s="332">
        <f>IF(L99="",0,(((O99*12)*L99)*(1+tab!$D$108)*tab!$E$110))</f>
        <v>0</v>
      </c>
      <c r="T99" s="580">
        <f t="shared" ref="T99:T112" si="29">IF(E99=0,0,(P99+R99+S99))</f>
        <v>0</v>
      </c>
      <c r="U99" s="243">
        <f t="shared" si="26"/>
        <v>0</v>
      </c>
      <c r="V99" s="332">
        <f t="shared" si="27"/>
        <v>0</v>
      </c>
      <c r="W99" s="541"/>
      <c r="AA99" s="405"/>
      <c r="AJ99" s="405"/>
    </row>
    <row r="100" spans="3:41" ht="12.75" customHeight="1">
      <c r="C100" s="131"/>
      <c r="D100" s="169" t="str">
        <f>IF(dir!D73=0,"",dir!D73)</f>
        <v/>
      </c>
      <c r="E100" s="169" t="str">
        <f>IF(dir!E73=0,"",dir!E73)</f>
        <v/>
      </c>
      <c r="F100" s="169" t="str">
        <f>IF(dir!F73=0,"",dir!F73)</f>
        <v/>
      </c>
      <c r="G100" s="170" t="str">
        <f>IF(dir!G73="","",dir!G73+1)</f>
        <v/>
      </c>
      <c r="H100" s="566" t="str">
        <f>IF(dir!H73="","",dir!H73)</f>
        <v/>
      </c>
      <c r="I100" s="567" t="str">
        <f t="shared" si="23"/>
        <v/>
      </c>
      <c r="J100" s="567" t="str">
        <f>IF(E100="","",(IF(dir!J73+1&gt;LOOKUP(I100,schaal2011,regels2011),dir!J73,dir!J73+1)))</f>
        <v/>
      </c>
      <c r="K100" s="568" t="str">
        <f>IF(dir!K73="","",dir!K73)</f>
        <v/>
      </c>
      <c r="L100" s="569" t="str">
        <f>IF(dir!L73="","",dir!L73)</f>
        <v/>
      </c>
      <c r="M100" s="570" t="str">
        <f t="shared" si="24"/>
        <v/>
      </c>
      <c r="N100" s="550"/>
      <c r="O100" s="571" t="str">
        <f>IF(I100="","",VLOOKUP(I100,tab!$A$119:$W$159,J100+3,FALSE))</f>
        <v/>
      </c>
      <c r="P100" s="572">
        <f t="shared" si="25"/>
        <v>0</v>
      </c>
      <c r="Q100" s="589">
        <f>Q96</f>
        <v>0.6</v>
      </c>
      <c r="R100" s="573">
        <f t="shared" si="28"/>
        <v>0</v>
      </c>
      <c r="S100" s="332">
        <f>IF(L100="",0,(((O100*12)*L100)*(1+tab!$D$108)*tab!$E$110))</f>
        <v>0</v>
      </c>
      <c r="T100" s="580">
        <f t="shared" si="29"/>
        <v>0</v>
      </c>
      <c r="U100" s="243">
        <f t="shared" si="26"/>
        <v>0</v>
      </c>
      <c r="V100" s="332">
        <f t="shared" si="27"/>
        <v>0</v>
      </c>
      <c r="W100" s="541"/>
      <c r="AA100" s="405"/>
      <c r="AJ100" s="405"/>
    </row>
    <row r="101" spans="3:41" ht="12.75" customHeight="1">
      <c r="C101" s="131"/>
      <c r="D101" s="169" t="str">
        <f>IF(dir!D74=0,"",dir!D74)</f>
        <v/>
      </c>
      <c r="E101" s="169" t="str">
        <f>IF(dir!E74=0,"",dir!E74)</f>
        <v/>
      </c>
      <c r="F101" s="169" t="str">
        <f>IF(dir!F74=0,"",dir!F74)</f>
        <v/>
      </c>
      <c r="G101" s="170" t="str">
        <f>IF(dir!G74="","",dir!G74+1)</f>
        <v/>
      </c>
      <c r="H101" s="566" t="str">
        <f>IF(dir!H74="","",dir!H74)</f>
        <v/>
      </c>
      <c r="I101" s="567" t="str">
        <f t="shared" si="23"/>
        <v/>
      </c>
      <c r="J101" s="567" t="str">
        <f>IF(E101="","",(IF(dir!J74+1&gt;LOOKUP(I101,schaal2011,regels2011),dir!J74,dir!J74+1)))</f>
        <v/>
      </c>
      <c r="K101" s="568" t="str">
        <f>IF(dir!K74="","",dir!K74)</f>
        <v/>
      </c>
      <c r="L101" s="569" t="str">
        <f>IF(dir!L74="","",dir!L74)</f>
        <v/>
      </c>
      <c r="M101" s="570" t="str">
        <f t="shared" si="24"/>
        <v/>
      </c>
      <c r="N101" s="550"/>
      <c r="O101" s="571" t="str">
        <f>IF(I101="","",VLOOKUP(I101,tab!$A$119:$W$159,J101+3,FALSE))</f>
        <v/>
      </c>
      <c r="P101" s="572">
        <f t="shared" si="25"/>
        <v>0</v>
      </c>
      <c r="Q101" s="589">
        <f>Q96</f>
        <v>0.6</v>
      </c>
      <c r="R101" s="573">
        <f t="shared" si="28"/>
        <v>0</v>
      </c>
      <c r="S101" s="332">
        <f>IF(L101="",0,(((O101*12)*L101)*(1+tab!$D$108)*tab!$E$110))</f>
        <v>0</v>
      </c>
      <c r="T101" s="580">
        <f t="shared" si="29"/>
        <v>0</v>
      </c>
      <c r="U101" s="243">
        <f t="shared" si="26"/>
        <v>0</v>
      </c>
      <c r="V101" s="332">
        <f t="shared" si="27"/>
        <v>0</v>
      </c>
      <c r="W101" s="541"/>
      <c r="AA101" s="405"/>
      <c r="AJ101" s="405"/>
    </row>
    <row r="102" spans="3:41" ht="12.75" customHeight="1">
      <c r="C102" s="131"/>
      <c r="D102" s="169" t="str">
        <f>IF(dir!D75=0,"",dir!D75)</f>
        <v/>
      </c>
      <c r="E102" s="169" t="str">
        <f>IF(dir!E75=0,"",dir!E75)</f>
        <v/>
      </c>
      <c r="F102" s="169" t="str">
        <f>IF(dir!F75=0,"",dir!F75)</f>
        <v/>
      </c>
      <c r="G102" s="170" t="str">
        <f>IF(dir!G75="","",dir!G75+1)</f>
        <v/>
      </c>
      <c r="H102" s="566" t="str">
        <f>IF(dir!H75="","",dir!H75)</f>
        <v/>
      </c>
      <c r="I102" s="567" t="str">
        <f t="shared" si="23"/>
        <v/>
      </c>
      <c r="J102" s="567" t="str">
        <f>IF(E102="","",(IF(dir!J75+1&gt;LOOKUP(I102,schaal2011,regels2011),dir!J75,dir!J75+1)))</f>
        <v/>
      </c>
      <c r="K102" s="568" t="str">
        <f>IF(dir!K75="","",dir!K75)</f>
        <v/>
      </c>
      <c r="L102" s="569" t="str">
        <f>IF(dir!L75="","",dir!L75)</f>
        <v/>
      </c>
      <c r="M102" s="570" t="str">
        <f t="shared" si="24"/>
        <v/>
      </c>
      <c r="N102" s="550"/>
      <c r="O102" s="571" t="str">
        <f>IF(I102="","",VLOOKUP(I102,tab!$A$119:$W$159,J102+3,FALSE))</f>
        <v/>
      </c>
      <c r="P102" s="572">
        <f t="shared" si="25"/>
        <v>0</v>
      </c>
      <c r="Q102" s="589">
        <f>Q96</f>
        <v>0.6</v>
      </c>
      <c r="R102" s="573">
        <f t="shared" si="28"/>
        <v>0</v>
      </c>
      <c r="S102" s="332">
        <f>IF(L102="",0,(((O102*12)*L102)*(1+tab!$D$108)*tab!$E$110))</f>
        <v>0</v>
      </c>
      <c r="T102" s="580">
        <f t="shared" si="29"/>
        <v>0</v>
      </c>
      <c r="U102" s="243">
        <f t="shared" si="26"/>
        <v>0</v>
      </c>
      <c r="V102" s="332">
        <f t="shared" si="27"/>
        <v>0</v>
      </c>
      <c r="W102" s="541"/>
      <c r="AA102" s="405"/>
      <c r="AJ102" s="405"/>
    </row>
    <row r="103" spans="3:41" ht="12.75" customHeight="1">
      <c r="C103" s="131"/>
      <c r="D103" s="169" t="str">
        <f>IF(dir!D76=0,"",dir!D76)</f>
        <v/>
      </c>
      <c r="E103" s="169" t="str">
        <f>IF(dir!E76=0,"",dir!E76)</f>
        <v/>
      </c>
      <c r="F103" s="169" t="str">
        <f>IF(dir!F76=0,"",dir!F76)</f>
        <v/>
      </c>
      <c r="G103" s="170" t="str">
        <f>IF(dir!G76="","",dir!G76+1)</f>
        <v/>
      </c>
      <c r="H103" s="566" t="str">
        <f>IF(dir!H76="","",dir!H76)</f>
        <v/>
      </c>
      <c r="I103" s="567" t="str">
        <f t="shared" si="23"/>
        <v/>
      </c>
      <c r="J103" s="567" t="str">
        <f>IF(E103="","",(IF(dir!J76+1&gt;LOOKUP(I103,schaal2011,regels2011),dir!J76,dir!J76+1)))</f>
        <v/>
      </c>
      <c r="K103" s="568" t="str">
        <f>IF(dir!K76="","",dir!K76)</f>
        <v/>
      </c>
      <c r="L103" s="569" t="str">
        <f>IF(dir!L76="","",dir!L76)</f>
        <v/>
      </c>
      <c r="M103" s="570" t="str">
        <f t="shared" si="24"/>
        <v/>
      </c>
      <c r="N103" s="550"/>
      <c r="O103" s="571" t="str">
        <f>IF(I103="","",VLOOKUP(I103,tab!$A$119:$W$159,J103+3,FALSE))</f>
        <v/>
      </c>
      <c r="P103" s="572">
        <f t="shared" si="25"/>
        <v>0</v>
      </c>
      <c r="Q103" s="589">
        <f>Q96</f>
        <v>0.6</v>
      </c>
      <c r="R103" s="573">
        <f t="shared" si="28"/>
        <v>0</v>
      </c>
      <c r="S103" s="332">
        <f>IF(L103="",0,(((O103*12)*L103)*(1+tab!$D$108)*tab!$E$110))</f>
        <v>0</v>
      </c>
      <c r="T103" s="580">
        <f t="shared" si="29"/>
        <v>0</v>
      </c>
      <c r="U103" s="243">
        <f t="shared" si="26"/>
        <v>0</v>
      </c>
      <c r="V103" s="332">
        <f t="shared" si="27"/>
        <v>0</v>
      </c>
      <c r="W103" s="541"/>
      <c r="AA103" s="405"/>
      <c r="AJ103" s="405"/>
    </row>
    <row r="104" spans="3:41" ht="12.75" customHeight="1">
      <c r="C104" s="131"/>
      <c r="D104" s="169" t="str">
        <f>IF(dir!D77=0,"",dir!D77)</f>
        <v/>
      </c>
      <c r="E104" s="169" t="str">
        <f>IF(dir!E77=0,"",dir!E77)</f>
        <v/>
      </c>
      <c r="F104" s="169" t="str">
        <f>IF(dir!F77=0,"",dir!F77)</f>
        <v/>
      </c>
      <c r="G104" s="170" t="str">
        <f>IF(dir!G77="","",dir!G77+1)</f>
        <v/>
      </c>
      <c r="H104" s="566" t="str">
        <f>IF(dir!H77="","",dir!H77)</f>
        <v/>
      </c>
      <c r="I104" s="567" t="str">
        <f t="shared" si="23"/>
        <v/>
      </c>
      <c r="J104" s="567" t="str">
        <f>IF(E104="","",(IF(dir!J77+1&gt;LOOKUP(I104,schaal2011,regels2011),dir!J77,dir!J77+1)))</f>
        <v/>
      </c>
      <c r="K104" s="568" t="str">
        <f>IF(dir!K77="","",dir!K77)</f>
        <v/>
      </c>
      <c r="L104" s="569" t="str">
        <f>IF(dir!L77="","",dir!L77)</f>
        <v/>
      </c>
      <c r="M104" s="570" t="str">
        <f t="shared" si="24"/>
        <v/>
      </c>
      <c r="N104" s="550"/>
      <c r="O104" s="571" t="str">
        <f>IF(I104="","",VLOOKUP(I104,tab!$A$119:$W$159,J104+3,FALSE))</f>
        <v/>
      </c>
      <c r="P104" s="572">
        <f t="shared" si="25"/>
        <v>0</v>
      </c>
      <c r="Q104" s="589">
        <f>Q96</f>
        <v>0.6</v>
      </c>
      <c r="R104" s="573">
        <f t="shared" si="28"/>
        <v>0</v>
      </c>
      <c r="S104" s="332">
        <f>IF(L104="",0,(((O104*12)*L104)*(1+tab!$D$108)*tab!$E$110))</f>
        <v>0</v>
      </c>
      <c r="T104" s="580">
        <f t="shared" si="29"/>
        <v>0</v>
      </c>
      <c r="U104" s="243">
        <f t="shared" si="26"/>
        <v>0</v>
      </c>
      <c r="V104" s="332">
        <f t="shared" si="27"/>
        <v>0</v>
      </c>
      <c r="W104" s="541"/>
      <c r="AA104" s="405"/>
      <c r="AJ104" s="405"/>
    </row>
    <row r="105" spans="3:41" ht="12.75" customHeight="1">
      <c r="C105" s="131"/>
      <c r="D105" s="169" t="str">
        <f>IF(dir!D78=0,"",dir!D78)</f>
        <v/>
      </c>
      <c r="E105" s="169" t="str">
        <f>IF(dir!E78=0,"",dir!E78)</f>
        <v/>
      </c>
      <c r="F105" s="169" t="str">
        <f>IF(dir!F78=0,"",dir!F78)</f>
        <v/>
      </c>
      <c r="G105" s="170" t="str">
        <f>IF(dir!G78="","",dir!G78+1)</f>
        <v/>
      </c>
      <c r="H105" s="566" t="str">
        <f>IF(dir!H78="","",dir!H78)</f>
        <v/>
      </c>
      <c r="I105" s="567" t="str">
        <f t="shared" si="23"/>
        <v/>
      </c>
      <c r="J105" s="567" t="str">
        <f>IF(E105="","",(IF(dir!J78+1&gt;LOOKUP(I105,schaal2011,regels2011),dir!J78,dir!J78+1)))</f>
        <v/>
      </c>
      <c r="K105" s="568" t="str">
        <f>IF(dir!K78="","",dir!K78)</f>
        <v/>
      </c>
      <c r="L105" s="569" t="str">
        <f>IF(dir!L78="","",dir!L78)</f>
        <v/>
      </c>
      <c r="M105" s="570" t="str">
        <f t="shared" si="24"/>
        <v/>
      </c>
      <c r="N105" s="550"/>
      <c r="O105" s="571" t="str">
        <f>IF(I105="","",VLOOKUP(I105,tab!$A$119:$W$159,J105+3,FALSE))</f>
        <v/>
      </c>
      <c r="P105" s="572">
        <f t="shared" si="25"/>
        <v>0</v>
      </c>
      <c r="Q105" s="589">
        <f>Q96</f>
        <v>0.6</v>
      </c>
      <c r="R105" s="573">
        <f t="shared" si="28"/>
        <v>0</v>
      </c>
      <c r="S105" s="332">
        <f>IF(L105="",0,(((O105*12)*L105)*(1+tab!$D$108)*tab!$E$110))</f>
        <v>0</v>
      </c>
      <c r="T105" s="580">
        <f t="shared" si="29"/>
        <v>0</v>
      </c>
      <c r="U105" s="243">
        <f t="shared" si="26"/>
        <v>0</v>
      </c>
      <c r="V105" s="332">
        <f t="shared" si="27"/>
        <v>0</v>
      </c>
      <c r="W105" s="541"/>
      <c r="AA105" s="405"/>
      <c r="AJ105" s="405"/>
    </row>
    <row r="106" spans="3:41" ht="12.75" customHeight="1">
      <c r="C106" s="131"/>
      <c r="D106" s="169" t="str">
        <f>IF(dir!D79=0,"",dir!D79)</f>
        <v/>
      </c>
      <c r="E106" s="169" t="str">
        <f>IF(dir!E79=0,"",dir!E79)</f>
        <v/>
      </c>
      <c r="F106" s="169" t="str">
        <f>IF(dir!F79=0,"",dir!F79)</f>
        <v/>
      </c>
      <c r="G106" s="170" t="str">
        <f>IF(dir!G79="","",dir!G79+1)</f>
        <v/>
      </c>
      <c r="H106" s="566" t="str">
        <f>IF(dir!H79="","",dir!H79)</f>
        <v/>
      </c>
      <c r="I106" s="567" t="str">
        <f t="shared" si="23"/>
        <v/>
      </c>
      <c r="J106" s="567" t="str">
        <f>IF(E106="","",(IF(dir!J79+1&gt;LOOKUP(I106,schaal2011,regels2011),dir!J79,dir!J79+1)))</f>
        <v/>
      </c>
      <c r="K106" s="568" t="str">
        <f>IF(dir!K79="","",dir!K79)</f>
        <v/>
      </c>
      <c r="L106" s="569" t="str">
        <f>IF(dir!L79="","",dir!L79)</f>
        <v/>
      </c>
      <c r="M106" s="570" t="str">
        <f t="shared" si="24"/>
        <v/>
      </c>
      <c r="N106" s="550"/>
      <c r="O106" s="571" t="str">
        <f>IF(I106="","",VLOOKUP(I106,tab!$A$119:$W$159,J106+3,FALSE))</f>
        <v/>
      </c>
      <c r="P106" s="572">
        <f t="shared" si="25"/>
        <v>0</v>
      </c>
      <c r="Q106" s="589">
        <f>Q96</f>
        <v>0.6</v>
      </c>
      <c r="R106" s="573">
        <f t="shared" si="28"/>
        <v>0</v>
      </c>
      <c r="S106" s="332">
        <f>IF(L106="",0,(((O106*12)*L106)*(1+tab!$D$108)*tab!$E$110))</f>
        <v>0</v>
      </c>
      <c r="T106" s="580">
        <f t="shared" si="29"/>
        <v>0</v>
      </c>
      <c r="U106" s="243">
        <f t="shared" si="26"/>
        <v>0</v>
      </c>
      <c r="V106" s="332">
        <f t="shared" si="27"/>
        <v>0</v>
      </c>
      <c r="W106" s="541"/>
      <c r="AA106" s="405"/>
      <c r="AJ106" s="405"/>
    </row>
    <row r="107" spans="3:41" ht="12.75" customHeight="1">
      <c r="C107" s="131"/>
      <c r="D107" s="169" t="str">
        <f>IF(dir!D80=0,"",dir!D80)</f>
        <v/>
      </c>
      <c r="E107" s="169" t="str">
        <f>IF(dir!E80=0,"",dir!E80)</f>
        <v/>
      </c>
      <c r="F107" s="169" t="str">
        <f>IF(dir!F80=0,"",dir!F80)</f>
        <v/>
      </c>
      <c r="G107" s="170" t="str">
        <f>IF(dir!G80="","",dir!G80+1)</f>
        <v/>
      </c>
      <c r="H107" s="566" t="str">
        <f>IF(dir!H80="","",dir!H80)</f>
        <v/>
      </c>
      <c r="I107" s="567" t="str">
        <f t="shared" si="23"/>
        <v/>
      </c>
      <c r="J107" s="567" t="str">
        <f>IF(E107="","",(IF(dir!J80+1&gt;LOOKUP(I107,schaal2011,regels2011),dir!J80,dir!J80+1)))</f>
        <v/>
      </c>
      <c r="K107" s="568" t="str">
        <f>IF(dir!K80="","",dir!K80)</f>
        <v/>
      </c>
      <c r="L107" s="569" t="str">
        <f>IF(dir!L80="","",dir!L80)</f>
        <v/>
      </c>
      <c r="M107" s="570" t="str">
        <f t="shared" si="24"/>
        <v/>
      </c>
      <c r="N107" s="550"/>
      <c r="O107" s="571" t="str">
        <f>IF(I107="","",VLOOKUP(I107,tab!$A$119:$W$159,J107+3,FALSE))</f>
        <v/>
      </c>
      <c r="P107" s="572">
        <f t="shared" si="25"/>
        <v>0</v>
      </c>
      <c r="Q107" s="589">
        <f>Q96</f>
        <v>0.6</v>
      </c>
      <c r="R107" s="573">
        <f t="shared" si="28"/>
        <v>0</v>
      </c>
      <c r="S107" s="332">
        <f>IF(L107="",0,(((O107*12)*L107)*(1+tab!$D$108)*tab!$E$110))</f>
        <v>0</v>
      </c>
      <c r="T107" s="580">
        <f t="shared" si="29"/>
        <v>0</v>
      </c>
      <c r="U107" s="243">
        <f t="shared" si="26"/>
        <v>0</v>
      </c>
      <c r="V107" s="332">
        <f t="shared" si="27"/>
        <v>0</v>
      </c>
      <c r="W107" s="541"/>
      <c r="AA107" s="405"/>
      <c r="AJ107" s="405"/>
    </row>
    <row r="108" spans="3:41" ht="12.75" customHeight="1">
      <c r="C108" s="131"/>
      <c r="D108" s="169" t="str">
        <f>IF(dir!D81=0,"",dir!D81)</f>
        <v/>
      </c>
      <c r="E108" s="169" t="str">
        <f>IF(dir!E81=0,"",dir!E81)</f>
        <v/>
      </c>
      <c r="F108" s="169" t="str">
        <f>IF(dir!F81=0,"",dir!F81)</f>
        <v/>
      </c>
      <c r="G108" s="170" t="str">
        <f>IF(dir!G81="","",dir!G81+1)</f>
        <v/>
      </c>
      <c r="H108" s="566" t="str">
        <f>IF(dir!H81="","",dir!H81)</f>
        <v/>
      </c>
      <c r="I108" s="567" t="str">
        <f t="shared" si="23"/>
        <v/>
      </c>
      <c r="J108" s="567" t="str">
        <f>IF(E108="","",(IF(dir!J81+1&gt;LOOKUP(I108,schaal2011,regels2011),dir!J81,dir!J81+1)))</f>
        <v/>
      </c>
      <c r="K108" s="568" t="str">
        <f>IF(dir!K81="","",dir!K81)</f>
        <v/>
      </c>
      <c r="L108" s="569" t="str">
        <f>IF(dir!L81="","",dir!L81)</f>
        <v/>
      </c>
      <c r="M108" s="570" t="str">
        <f t="shared" si="24"/>
        <v/>
      </c>
      <c r="N108" s="550"/>
      <c r="O108" s="571" t="str">
        <f>IF(I108="","",VLOOKUP(I108,tab!$A$119:$W$159,J108+3,FALSE))</f>
        <v/>
      </c>
      <c r="P108" s="572">
        <f t="shared" si="25"/>
        <v>0</v>
      </c>
      <c r="Q108" s="589">
        <f>Q96</f>
        <v>0.6</v>
      </c>
      <c r="R108" s="573">
        <f t="shared" si="28"/>
        <v>0</v>
      </c>
      <c r="S108" s="332">
        <f>IF(L108="",0,(((O108*12)*L108)*(1+tab!$D$108)*tab!$E$110))</f>
        <v>0</v>
      </c>
      <c r="T108" s="580">
        <f t="shared" si="29"/>
        <v>0</v>
      </c>
      <c r="U108" s="243">
        <f t="shared" si="26"/>
        <v>0</v>
      </c>
      <c r="V108" s="332">
        <f t="shared" si="27"/>
        <v>0</v>
      </c>
      <c r="W108" s="541"/>
      <c r="AA108" s="405"/>
      <c r="AJ108" s="405"/>
    </row>
    <row r="109" spans="3:41" ht="12.75" customHeight="1">
      <c r="C109" s="131"/>
      <c r="D109" s="169" t="str">
        <f>IF(dir!D82=0,"",dir!D82)</f>
        <v/>
      </c>
      <c r="E109" s="169" t="str">
        <f>IF(dir!E82=0,"",dir!E82)</f>
        <v/>
      </c>
      <c r="F109" s="169" t="str">
        <f>IF(dir!F82=0,"",dir!F82)</f>
        <v/>
      </c>
      <c r="G109" s="170" t="str">
        <f>IF(dir!G82="","",dir!G82+1)</f>
        <v/>
      </c>
      <c r="H109" s="566" t="str">
        <f>IF(dir!H82="","",dir!H82)</f>
        <v/>
      </c>
      <c r="I109" s="567" t="str">
        <f t="shared" si="23"/>
        <v/>
      </c>
      <c r="J109" s="567" t="str">
        <f>IF(E109="","",(IF(dir!J82+1&gt;LOOKUP(I109,schaal2011,regels2011),dir!J82,dir!J82+1)))</f>
        <v/>
      </c>
      <c r="K109" s="568" t="str">
        <f>IF(dir!K82="","",dir!K82)</f>
        <v/>
      </c>
      <c r="L109" s="569" t="str">
        <f>IF(dir!L82="","",dir!L82)</f>
        <v/>
      </c>
      <c r="M109" s="570" t="str">
        <f t="shared" si="24"/>
        <v/>
      </c>
      <c r="N109" s="550"/>
      <c r="O109" s="571" t="str">
        <f>IF(I109="","",VLOOKUP(I109,tab!$A$119:$W$159,J109+3,FALSE))</f>
        <v/>
      </c>
      <c r="P109" s="572">
        <f t="shared" si="25"/>
        <v>0</v>
      </c>
      <c r="Q109" s="589">
        <f>Q96</f>
        <v>0.6</v>
      </c>
      <c r="R109" s="573">
        <f t="shared" si="28"/>
        <v>0</v>
      </c>
      <c r="S109" s="332">
        <f>IF(L109="",0,(((O109*12)*L109)*(1+tab!$D$108)*tab!$E$110))</f>
        <v>0</v>
      </c>
      <c r="T109" s="580">
        <f t="shared" si="29"/>
        <v>0</v>
      </c>
      <c r="U109" s="243">
        <f t="shared" si="26"/>
        <v>0</v>
      </c>
      <c r="V109" s="332">
        <f t="shared" si="27"/>
        <v>0</v>
      </c>
      <c r="W109" s="541"/>
      <c r="AA109" s="405"/>
      <c r="AJ109" s="405"/>
    </row>
    <row r="110" spans="3:41" ht="12.75" customHeight="1">
      <c r="C110" s="131"/>
      <c r="D110" s="169" t="str">
        <f>IF(dir!D83=0,"",dir!D83)</f>
        <v/>
      </c>
      <c r="E110" s="169" t="str">
        <f>IF(dir!E83=0,"",dir!E83)</f>
        <v/>
      </c>
      <c r="F110" s="169" t="str">
        <f>IF(dir!F83=0,"",dir!F83)</f>
        <v/>
      </c>
      <c r="G110" s="170" t="str">
        <f>IF(dir!G83="","",dir!G83+1)</f>
        <v/>
      </c>
      <c r="H110" s="566" t="str">
        <f>IF(dir!H83="","",dir!H83)</f>
        <v/>
      </c>
      <c r="I110" s="567" t="str">
        <f t="shared" si="23"/>
        <v/>
      </c>
      <c r="J110" s="567" t="str">
        <f>IF(E110="","",(IF(dir!J83+1&gt;LOOKUP(I110,schaal2011,regels2011),dir!J83,dir!J83+1)))</f>
        <v/>
      </c>
      <c r="K110" s="568" t="str">
        <f>IF(dir!K83="","",dir!K83)</f>
        <v/>
      </c>
      <c r="L110" s="569" t="str">
        <f>IF(dir!L83="","",dir!L83)</f>
        <v/>
      </c>
      <c r="M110" s="570" t="str">
        <f t="shared" si="24"/>
        <v/>
      </c>
      <c r="N110" s="550"/>
      <c r="O110" s="571" t="str">
        <f>IF(I110="","",VLOOKUP(I110,tab!$A$119:$W$159,J110+3,FALSE))</f>
        <v/>
      </c>
      <c r="P110" s="572">
        <f t="shared" si="25"/>
        <v>0</v>
      </c>
      <c r="Q110" s="589">
        <f>Q96</f>
        <v>0.6</v>
      </c>
      <c r="R110" s="573">
        <f t="shared" si="28"/>
        <v>0</v>
      </c>
      <c r="S110" s="332">
        <f>IF(L110="",0,(((O110*12)*L110)*(1+tab!$D$108)*tab!$E$110))</f>
        <v>0</v>
      </c>
      <c r="T110" s="580">
        <f t="shared" si="29"/>
        <v>0</v>
      </c>
      <c r="U110" s="243">
        <f t="shared" si="26"/>
        <v>0</v>
      </c>
      <c r="V110" s="332">
        <f t="shared" si="27"/>
        <v>0</v>
      </c>
      <c r="W110" s="541"/>
      <c r="AA110" s="405"/>
      <c r="AJ110" s="405"/>
    </row>
    <row r="111" spans="3:41" ht="12.75" customHeight="1">
      <c r="C111" s="131"/>
      <c r="D111" s="169" t="str">
        <f>IF(dir!D84=0,"",dir!D84)</f>
        <v/>
      </c>
      <c r="E111" s="169" t="str">
        <f>IF(dir!E84=0,"",dir!E84)</f>
        <v/>
      </c>
      <c r="F111" s="169" t="str">
        <f>IF(dir!F84=0,"",dir!F84)</f>
        <v/>
      </c>
      <c r="G111" s="170" t="str">
        <f>IF(dir!G84="","",dir!G84+1)</f>
        <v/>
      </c>
      <c r="H111" s="566" t="str">
        <f>IF(dir!H84="","",dir!H84)</f>
        <v/>
      </c>
      <c r="I111" s="567" t="str">
        <f t="shared" si="23"/>
        <v/>
      </c>
      <c r="J111" s="567" t="str">
        <f>IF(E111="","",(IF(dir!J84+1&gt;LOOKUP(I111,schaal2011,regels2011),dir!J84,dir!J84+1)))</f>
        <v/>
      </c>
      <c r="K111" s="568" t="str">
        <f>IF(dir!K84="","",dir!K84)</f>
        <v/>
      </c>
      <c r="L111" s="569" t="str">
        <f>IF(dir!L84="","",dir!L84)</f>
        <v/>
      </c>
      <c r="M111" s="570" t="str">
        <f t="shared" si="24"/>
        <v/>
      </c>
      <c r="N111" s="550"/>
      <c r="O111" s="571" t="str">
        <f>IF(I111="","",VLOOKUP(I111,tab!$A$119:$W$159,J111+3,FALSE))</f>
        <v/>
      </c>
      <c r="P111" s="572">
        <f t="shared" si="25"/>
        <v>0</v>
      </c>
      <c r="Q111" s="589">
        <f>Q96</f>
        <v>0.6</v>
      </c>
      <c r="R111" s="573">
        <f t="shared" si="28"/>
        <v>0</v>
      </c>
      <c r="S111" s="332">
        <f>IF(L111="",0,(((O111*12)*L111)*(1+tab!$D$108)*tab!$E$110))</f>
        <v>0</v>
      </c>
      <c r="T111" s="580">
        <f t="shared" si="29"/>
        <v>0</v>
      </c>
      <c r="U111" s="243">
        <f t="shared" si="26"/>
        <v>0</v>
      </c>
      <c r="V111" s="332">
        <f t="shared" si="27"/>
        <v>0</v>
      </c>
      <c r="W111" s="541"/>
      <c r="AA111" s="405"/>
      <c r="AJ111" s="405"/>
    </row>
    <row r="112" spans="3:41" ht="12.75" customHeight="1">
      <c r="C112" s="131"/>
      <c r="D112" s="169" t="str">
        <f>IF(dir!D85=0,"",dir!D85)</f>
        <v/>
      </c>
      <c r="E112" s="169" t="str">
        <f>IF(dir!E85=0,"",dir!E85)</f>
        <v/>
      </c>
      <c r="F112" s="169" t="str">
        <f>IF(dir!F85=0,"",dir!F85)</f>
        <v/>
      </c>
      <c r="G112" s="170" t="str">
        <f>IF(dir!G85="","",dir!G85+1)</f>
        <v/>
      </c>
      <c r="H112" s="566" t="str">
        <f>IF(dir!H85="","",dir!H85)</f>
        <v/>
      </c>
      <c r="I112" s="567" t="str">
        <f t="shared" si="23"/>
        <v/>
      </c>
      <c r="J112" s="567" t="str">
        <f>IF(E112="","",(IF(dir!J85+1&gt;LOOKUP(I112,schaal2011,regels2011),dir!J85,dir!J85+1)))</f>
        <v/>
      </c>
      <c r="K112" s="568" t="str">
        <f>IF(dir!K85="","",dir!K85)</f>
        <v/>
      </c>
      <c r="L112" s="569" t="str">
        <f>IF(dir!L85="","",dir!L85)</f>
        <v/>
      </c>
      <c r="M112" s="570" t="str">
        <f t="shared" si="24"/>
        <v/>
      </c>
      <c r="N112" s="550"/>
      <c r="O112" s="571" t="str">
        <f>IF(I112="","",VLOOKUP(I112,tab!$A$119:$W$159,J112+3,FALSE))</f>
        <v/>
      </c>
      <c r="P112" s="572">
        <f t="shared" si="25"/>
        <v>0</v>
      </c>
      <c r="Q112" s="589">
        <f>Q96</f>
        <v>0.6</v>
      </c>
      <c r="R112" s="573">
        <f t="shared" si="28"/>
        <v>0</v>
      </c>
      <c r="S112" s="332">
        <f>IF(L112="",0,(((O112*12)*L112)*(1+tab!$D$108)*tab!$E$110))</f>
        <v>0</v>
      </c>
      <c r="T112" s="580">
        <f t="shared" si="29"/>
        <v>0</v>
      </c>
      <c r="U112" s="243">
        <f t="shared" si="26"/>
        <v>0</v>
      </c>
      <c r="V112" s="332">
        <f t="shared" si="27"/>
        <v>0</v>
      </c>
      <c r="W112" s="541"/>
      <c r="AA112" s="405"/>
      <c r="AJ112" s="405"/>
    </row>
    <row r="113" spans="1:41" ht="12.75" customHeight="1">
      <c r="C113" s="131"/>
      <c r="D113" s="319"/>
      <c r="E113" s="319"/>
      <c r="F113" s="319"/>
      <c r="G113" s="555"/>
      <c r="H113" s="556"/>
      <c r="I113" s="135"/>
      <c r="J113" s="135"/>
      <c r="K113" s="575">
        <f>SUM(K98:K112)</f>
        <v>0</v>
      </c>
      <c r="L113" s="575">
        <f>SUM(L98:L112)</f>
        <v>0</v>
      </c>
      <c r="M113" s="575">
        <f>SUM(M98:M112)</f>
        <v>0</v>
      </c>
      <c r="N113" s="555"/>
      <c r="O113" s="309">
        <f t="shared" ref="O113:V113" si="30">SUM(O98:O112)</f>
        <v>0</v>
      </c>
      <c r="P113" s="309">
        <f t="shared" si="30"/>
        <v>0</v>
      </c>
      <c r="Q113" s="590"/>
      <c r="R113" s="343"/>
      <c r="S113" s="344">
        <f t="shared" si="30"/>
        <v>0</v>
      </c>
      <c r="T113" s="309">
        <f t="shared" si="30"/>
        <v>0</v>
      </c>
      <c r="U113" s="574">
        <f t="shared" si="30"/>
        <v>0</v>
      </c>
      <c r="V113" s="344">
        <f t="shared" si="30"/>
        <v>0</v>
      </c>
      <c r="W113" s="554"/>
      <c r="AA113" s="405"/>
      <c r="AJ113" s="405"/>
    </row>
    <row r="114" spans="1:41" ht="12.75" customHeight="1">
      <c r="C114" s="141"/>
      <c r="D114" s="557"/>
      <c r="E114" s="557"/>
      <c r="F114" s="557"/>
      <c r="G114" s="557"/>
      <c r="H114" s="558"/>
      <c r="I114" s="146"/>
      <c r="J114" s="559"/>
      <c r="K114" s="560"/>
      <c r="L114" s="559"/>
      <c r="M114" s="560"/>
      <c r="N114" s="557"/>
      <c r="O114" s="559"/>
      <c r="P114" s="299"/>
      <c r="Q114" s="590"/>
      <c r="R114" s="561"/>
      <c r="S114" s="562"/>
      <c r="T114" s="299"/>
      <c r="U114" s="563"/>
      <c r="V114" s="562"/>
      <c r="W114" s="565"/>
      <c r="AA114" s="405"/>
      <c r="AJ114" s="405"/>
    </row>
    <row r="115" spans="1:41" ht="12.75" customHeight="1">
      <c r="I115" s="67"/>
      <c r="J115" s="350"/>
      <c r="K115" s="396"/>
      <c r="M115" s="349"/>
      <c r="O115" s="406"/>
      <c r="P115" s="395"/>
      <c r="Q115" s="593"/>
      <c r="R115" s="407"/>
      <c r="S115" s="224"/>
      <c r="T115" s="408"/>
      <c r="U115" s="84"/>
      <c r="V115" s="224"/>
    </row>
    <row r="117" spans="1:41">
      <c r="C117" s="68" t="s">
        <v>290</v>
      </c>
      <c r="E117" s="401" t="str">
        <f>tab!H2</f>
        <v>2016/17</v>
      </c>
      <c r="I117" s="67"/>
      <c r="J117" s="350"/>
      <c r="K117" s="396"/>
      <c r="L117" s="349"/>
      <c r="M117" s="349"/>
      <c r="O117" s="406"/>
      <c r="P117" s="395"/>
      <c r="Q117" s="593"/>
      <c r="R117" s="407"/>
      <c r="S117" s="224"/>
      <c r="T117" s="408"/>
      <c r="U117" s="84"/>
      <c r="V117" s="224"/>
    </row>
    <row r="118" spans="1:41">
      <c r="C118" s="83" t="s">
        <v>291</v>
      </c>
      <c r="E118" s="370">
        <f>tab!I3</f>
        <v>42644</v>
      </c>
      <c r="I118" s="67"/>
      <c r="J118" s="350"/>
      <c r="K118" s="396"/>
      <c r="L118" s="349"/>
      <c r="M118" s="349"/>
      <c r="O118" s="406"/>
      <c r="P118" s="395"/>
      <c r="Q118" s="593"/>
      <c r="R118" s="407"/>
      <c r="S118" s="224"/>
      <c r="T118" s="408"/>
      <c r="U118" s="84"/>
      <c r="V118" s="224"/>
    </row>
    <row r="119" spans="1:41">
      <c r="I119" s="67"/>
      <c r="J119" s="350"/>
      <c r="K119" s="396"/>
      <c r="L119" s="349"/>
      <c r="M119" s="349"/>
      <c r="O119" s="406"/>
      <c r="P119" s="395"/>
      <c r="Q119" s="593"/>
      <c r="R119" s="407"/>
      <c r="S119" s="224"/>
      <c r="T119" s="408"/>
      <c r="U119" s="84"/>
      <c r="V119" s="224"/>
    </row>
    <row r="120" spans="1:41">
      <c r="C120" s="124"/>
      <c r="D120" s="514"/>
      <c r="E120" s="515"/>
      <c r="F120" s="516"/>
      <c r="G120" s="129"/>
      <c r="H120" s="517"/>
      <c r="I120" s="518"/>
      <c r="J120" s="518"/>
      <c r="K120" s="519"/>
      <c r="L120" s="518"/>
      <c r="M120" s="520"/>
      <c r="N120" s="127"/>
      <c r="O120" s="521"/>
      <c r="P120" s="127"/>
      <c r="Q120" s="586"/>
      <c r="R120" s="129"/>
      <c r="S120" s="522"/>
      <c r="T120" s="302"/>
      <c r="U120" s="523"/>
      <c r="V120" s="522"/>
      <c r="W120" s="130"/>
    </row>
    <row r="121" spans="1:41" s="72" customFormat="1" ht="12.75" customHeight="1">
      <c r="C121" s="524"/>
      <c r="D121" s="1176" t="s">
        <v>292</v>
      </c>
      <c r="E121" s="1177"/>
      <c r="F121" s="1177"/>
      <c r="G121" s="1177"/>
      <c r="H121" s="1177"/>
      <c r="I121" s="1178"/>
      <c r="J121" s="1178"/>
      <c r="K121" s="1178"/>
      <c r="L121" s="1178"/>
      <c r="M121" s="1178"/>
      <c r="N121" s="525"/>
      <c r="O121" s="1176" t="s">
        <v>293</v>
      </c>
      <c r="P121" s="1178"/>
      <c r="Q121" s="1178"/>
      <c r="R121" s="1178"/>
      <c r="S121" s="1178"/>
      <c r="T121" s="1178"/>
      <c r="U121" s="526"/>
      <c r="V121" s="242"/>
      <c r="W121" s="527"/>
      <c r="X121" s="380"/>
      <c r="Y121" s="380"/>
      <c r="Z121" s="381"/>
      <c r="AA121" s="382"/>
      <c r="AB121" s="381"/>
      <c r="AN121" s="380"/>
      <c r="AO121" s="380"/>
    </row>
    <row r="122" spans="1:41" s="72" customFormat="1" ht="12.75" customHeight="1">
      <c r="C122" s="524"/>
      <c r="D122" s="528" t="s">
        <v>541</v>
      </c>
      <c r="E122" s="528" t="s">
        <v>294</v>
      </c>
      <c r="F122" s="528" t="s">
        <v>295</v>
      </c>
      <c r="G122" s="529" t="s">
        <v>296</v>
      </c>
      <c r="H122" s="530" t="s">
        <v>297</v>
      </c>
      <c r="I122" s="529" t="s">
        <v>302</v>
      </c>
      <c r="J122" s="529" t="s">
        <v>303</v>
      </c>
      <c r="K122" s="531" t="s">
        <v>305</v>
      </c>
      <c r="L122" s="532" t="s">
        <v>306</v>
      </c>
      <c r="M122" s="534" t="s">
        <v>307</v>
      </c>
      <c r="N122" s="533"/>
      <c r="O122" s="535" t="s">
        <v>304</v>
      </c>
      <c r="P122" s="535" t="s">
        <v>738</v>
      </c>
      <c r="Q122" s="587" t="s">
        <v>739</v>
      </c>
      <c r="R122" s="510"/>
      <c r="S122" s="536" t="s">
        <v>306</v>
      </c>
      <c r="T122" s="576" t="s">
        <v>308</v>
      </c>
      <c r="U122" s="537" t="s">
        <v>309</v>
      </c>
      <c r="V122" s="242" t="s">
        <v>740</v>
      </c>
      <c r="W122" s="538"/>
      <c r="X122" s="387"/>
      <c r="Y122" s="387"/>
      <c r="Z122" s="386"/>
      <c r="AA122" s="388"/>
      <c r="AB122" s="386"/>
      <c r="AN122" s="380"/>
      <c r="AO122" s="387"/>
    </row>
    <row r="123" spans="1:41" s="420" customFormat="1" ht="12.75" customHeight="1">
      <c r="A123" s="419"/>
      <c r="B123" s="419"/>
      <c r="C123" s="539"/>
      <c r="D123" s="540"/>
      <c r="E123" s="528"/>
      <c r="F123" s="532"/>
      <c r="G123" s="529" t="s">
        <v>312</v>
      </c>
      <c r="H123" s="530" t="s">
        <v>313</v>
      </c>
      <c r="I123" s="529"/>
      <c r="J123" s="529"/>
      <c r="K123" s="531" t="s">
        <v>316</v>
      </c>
      <c r="L123" s="532" t="s">
        <v>317</v>
      </c>
      <c r="M123" s="534" t="s">
        <v>318</v>
      </c>
      <c r="N123" s="533"/>
      <c r="O123" s="535" t="s">
        <v>315</v>
      </c>
      <c r="P123" s="535" t="s">
        <v>741</v>
      </c>
      <c r="Q123" s="577">
        <f>Q96</f>
        <v>0.6</v>
      </c>
      <c r="R123" s="510" t="s">
        <v>742</v>
      </c>
      <c r="S123" s="536" t="s">
        <v>310</v>
      </c>
      <c r="T123" s="576" t="s">
        <v>391</v>
      </c>
      <c r="U123" s="537"/>
      <c r="V123" s="536" t="s">
        <v>310</v>
      </c>
      <c r="W123" s="541"/>
      <c r="AO123" s="421"/>
    </row>
    <row r="124" spans="1:41">
      <c r="C124" s="131"/>
      <c r="D124" s="155"/>
      <c r="E124" s="155"/>
      <c r="F124" s="155"/>
      <c r="G124" s="542"/>
      <c r="H124" s="543"/>
      <c r="I124" s="544"/>
      <c r="J124" s="544"/>
      <c r="K124" s="545"/>
      <c r="L124" s="542"/>
      <c r="M124" s="545"/>
      <c r="N124" s="542"/>
      <c r="O124" s="546"/>
      <c r="P124" s="547"/>
      <c r="Q124" s="588"/>
      <c r="R124" s="547"/>
      <c r="S124" s="548"/>
      <c r="T124" s="547"/>
      <c r="U124" s="549"/>
      <c r="V124" s="548"/>
      <c r="W124" s="136"/>
    </row>
    <row r="125" spans="1:41">
      <c r="C125" s="131"/>
      <c r="D125" s="169" t="str">
        <f>IF(dir!D98=0,"",dir!D98)</f>
        <v/>
      </c>
      <c r="E125" s="169" t="str">
        <f>IF(dir!E98=0,"",dir!E98)</f>
        <v/>
      </c>
      <c r="F125" s="169" t="str">
        <f>IF(dir!F98=0,"",dir!F98)</f>
        <v/>
      </c>
      <c r="G125" s="170" t="str">
        <f>IF(dir!G98="","",dir!G98+1)</f>
        <v/>
      </c>
      <c r="H125" s="566" t="str">
        <f>IF(dir!H98="","",dir!H98)</f>
        <v/>
      </c>
      <c r="I125" s="567" t="str">
        <f t="shared" ref="I125:I139" si="31">IF(I98=0,"",I98)</f>
        <v/>
      </c>
      <c r="J125" s="567" t="str">
        <f>IF(E125="","",(IF(dir!J98+1&gt;LOOKUP(I125,schaal2011,regels2011),dir!J98,dir!J98+1)))</f>
        <v/>
      </c>
      <c r="K125" s="568" t="str">
        <f>IF(dir!K98="","",dir!K98)</f>
        <v/>
      </c>
      <c r="L125" s="569" t="str">
        <f>IF(dir!L98="","",dir!L98)</f>
        <v/>
      </c>
      <c r="M125" s="570" t="str">
        <f t="shared" ref="M125:M139" si="32">(IF(L125="",(K125),(K125)-L125))</f>
        <v/>
      </c>
      <c r="N125" s="550"/>
      <c r="O125" s="571" t="str">
        <f>IF(I125="","",VLOOKUP(I125,tab!$A$119:$W$159,J125+3,FALSE))</f>
        <v/>
      </c>
      <c r="P125" s="572">
        <f t="shared" ref="P125:P139" si="33">IF(E125="",0,(O125*M125*12))</f>
        <v>0</v>
      </c>
      <c r="Q125" s="589">
        <f>Q123</f>
        <v>0.6</v>
      </c>
      <c r="R125" s="573">
        <f>IF(E125=0,"",(P125)*Q125)</f>
        <v>0</v>
      </c>
      <c r="S125" s="332">
        <f>IF(L125="",0,(((O125*12)*L125)*(1+tab!$D$108)*tab!$E$110))</f>
        <v>0</v>
      </c>
      <c r="T125" s="580">
        <f>IF(E125=0,0,(P125+R125+S125))</f>
        <v>0</v>
      </c>
      <c r="U125" s="243">
        <f t="shared" ref="U125:U139" si="34">IF(G125&lt;25,0,IF(G125=25,25,IF(G125&lt;40,0,IF(G125=40,40,IF(G125&gt;=40,0)))))</f>
        <v>0</v>
      </c>
      <c r="V125" s="332">
        <f t="shared" ref="V125:V139" si="35">IF(U125=25,(O125*1.08*(K125)/2),IF(U125=40,(O125*1.08*(K125)),IF(U125=0,0)))</f>
        <v>0</v>
      </c>
      <c r="W125" s="541"/>
    </row>
    <row r="126" spans="1:41">
      <c r="C126" s="131"/>
      <c r="D126" s="169" t="str">
        <f>IF(dir!D99=0,"",dir!D99)</f>
        <v/>
      </c>
      <c r="E126" s="169" t="str">
        <f>IF(dir!E99=0,"",dir!E99)</f>
        <v/>
      </c>
      <c r="F126" s="169" t="str">
        <f>IF(dir!F99=0,"",dir!F99)</f>
        <v/>
      </c>
      <c r="G126" s="170" t="str">
        <f>IF(dir!G99="","",dir!G99+1)</f>
        <v/>
      </c>
      <c r="H126" s="566" t="str">
        <f>IF(dir!H99="","",dir!H99)</f>
        <v/>
      </c>
      <c r="I126" s="567" t="str">
        <f t="shared" si="31"/>
        <v/>
      </c>
      <c r="J126" s="567" t="str">
        <f>IF(E126="","",(IF(dir!J99+1&gt;LOOKUP(I126,schaal2011,regels2011),dir!J99,dir!J99+1)))</f>
        <v/>
      </c>
      <c r="K126" s="568" t="str">
        <f>IF(dir!K99="","",dir!K99)</f>
        <v/>
      </c>
      <c r="L126" s="569" t="str">
        <f>IF(dir!L99="","",dir!L99)</f>
        <v/>
      </c>
      <c r="M126" s="570" t="str">
        <f t="shared" si="32"/>
        <v/>
      </c>
      <c r="N126" s="550"/>
      <c r="O126" s="571" t="str">
        <f>IF(I126="","",VLOOKUP(I126,tab!$A$119:$W$159,J126+3,FALSE))</f>
        <v/>
      </c>
      <c r="P126" s="572">
        <f t="shared" si="33"/>
        <v>0</v>
      </c>
      <c r="Q126" s="589">
        <f>Q123</f>
        <v>0.6</v>
      </c>
      <c r="R126" s="573">
        <f t="shared" ref="R126:R139" si="36">IF(E126=0,"",(P126)*Q126)</f>
        <v>0</v>
      </c>
      <c r="S126" s="332">
        <f>IF(L126="",0,(((O126*12)*L126)*(1+tab!$D$108)*tab!$E$110))</f>
        <v>0</v>
      </c>
      <c r="T126" s="580">
        <f t="shared" ref="T126:T139" si="37">IF(E126=0,0,(P126+R126+S126))</f>
        <v>0</v>
      </c>
      <c r="U126" s="243">
        <f t="shared" si="34"/>
        <v>0</v>
      </c>
      <c r="V126" s="332">
        <f t="shared" si="35"/>
        <v>0</v>
      </c>
      <c r="W126" s="541"/>
    </row>
    <row r="127" spans="1:41">
      <c r="C127" s="131"/>
      <c r="D127" s="169" t="str">
        <f>IF(dir!D100=0,"",dir!D100)</f>
        <v/>
      </c>
      <c r="E127" s="169" t="str">
        <f>IF(dir!E100=0,"",dir!E100)</f>
        <v/>
      </c>
      <c r="F127" s="169" t="str">
        <f>IF(dir!F100=0,"",dir!F100)</f>
        <v/>
      </c>
      <c r="G127" s="170" t="str">
        <f>IF(dir!G100="","",dir!G100+1)</f>
        <v/>
      </c>
      <c r="H127" s="566" t="str">
        <f>IF(dir!H100="","",dir!H100)</f>
        <v/>
      </c>
      <c r="I127" s="567" t="str">
        <f t="shared" si="31"/>
        <v/>
      </c>
      <c r="J127" s="567" t="str">
        <f>IF(E127="","",(IF(dir!J100+1&gt;LOOKUP(I127,schaal2011,regels2011),dir!J100,dir!J100+1)))</f>
        <v/>
      </c>
      <c r="K127" s="568" t="str">
        <f>IF(dir!K100="","",dir!K100)</f>
        <v/>
      </c>
      <c r="L127" s="569" t="str">
        <f>IF(dir!L100="","",dir!L100)</f>
        <v/>
      </c>
      <c r="M127" s="570" t="str">
        <f t="shared" si="32"/>
        <v/>
      </c>
      <c r="N127" s="550"/>
      <c r="O127" s="571" t="str">
        <f>IF(I127="","",VLOOKUP(I127,tab!$A$119:$W$159,J127+3,FALSE))</f>
        <v/>
      </c>
      <c r="P127" s="572">
        <f t="shared" si="33"/>
        <v>0</v>
      </c>
      <c r="Q127" s="589">
        <f>Q123</f>
        <v>0.6</v>
      </c>
      <c r="R127" s="573">
        <f t="shared" si="36"/>
        <v>0</v>
      </c>
      <c r="S127" s="332">
        <f>IF(L127="",0,(((O127*12)*L127)*(1+tab!$D$108)*tab!$E$110))</f>
        <v>0</v>
      </c>
      <c r="T127" s="580">
        <f t="shared" si="37"/>
        <v>0</v>
      </c>
      <c r="U127" s="243">
        <f t="shared" si="34"/>
        <v>0</v>
      </c>
      <c r="V127" s="332">
        <f t="shared" si="35"/>
        <v>0</v>
      </c>
      <c r="W127" s="541"/>
    </row>
    <row r="128" spans="1:41">
      <c r="C128" s="131"/>
      <c r="D128" s="169" t="str">
        <f>IF(dir!D101=0,"",dir!D101)</f>
        <v/>
      </c>
      <c r="E128" s="169" t="str">
        <f>IF(dir!E101=0,"",dir!E101)</f>
        <v/>
      </c>
      <c r="F128" s="169" t="str">
        <f>IF(dir!F101=0,"",dir!F101)</f>
        <v/>
      </c>
      <c r="G128" s="170" t="str">
        <f>IF(dir!G101="","",dir!G101+1)</f>
        <v/>
      </c>
      <c r="H128" s="566" t="str">
        <f>IF(dir!H101="","",dir!H101)</f>
        <v/>
      </c>
      <c r="I128" s="567" t="str">
        <f t="shared" si="31"/>
        <v/>
      </c>
      <c r="J128" s="567" t="str">
        <f>IF(E128="","",(IF(dir!J101+1&gt;LOOKUP(I128,schaal2011,regels2011),dir!J101,dir!J101+1)))</f>
        <v/>
      </c>
      <c r="K128" s="568" t="str">
        <f>IF(dir!K101="","",dir!K101)</f>
        <v/>
      </c>
      <c r="L128" s="569" t="str">
        <f>IF(dir!L101="","",dir!L101)</f>
        <v/>
      </c>
      <c r="M128" s="570" t="str">
        <f t="shared" si="32"/>
        <v/>
      </c>
      <c r="N128" s="550"/>
      <c r="O128" s="571" t="str">
        <f>IF(I128="","",VLOOKUP(I128,tab!$A$119:$W$159,J128+3,FALSE))</f>
        <v/>
      </c>
      <c r="P128" s="572">
        <f t="shared" si="33"/>
        <v>0</v>
      </c>
      <c r="Q128" s="589">
        <f>Q123</f>
        <v>0.6</v>
      </c>
      <c r="R128" s="573">
        <f t="shared" si="36"/>
        <v>0</v>
      </c>
      <c r="S128" s="332">
        <f>IF(L128="",0,(((O128*12)*L128)*(1+tab!$D$108)*tab!$E$110))</f>
        <v>0</v>
      </c>
      <c r="T128" s="580">
        <f t="shared" si="37"/>
        <v>0</v>
      </c>
      <c r="U128" s="243">
        <f t="shared" si="34"/>
        <v>0</v>
      </c>
      <c r="V128" s="332">
        <f t="shared" si="35"/>
        <v>0</v>
      </c>
      <c r="W128" s="541"/>
    </row>
    <row r="129" spans="3:23">
      <c r="C129" s="131"/>
      <c r="D129" s="169" t="str">
        <f>IF(dir!D102=0,"",dir!D102)</f>
        <v/>
      </c>
      <c r="E129" s="169" t="str">
        <f>IF(dir!E102=0,"",dir!E102)</f>
        <v/>
      </c>
      <c r="F129" s="169" t="str">
        <f>IF(dir!F102=0,"",dir!F102)</f>
        <v/>
      </c>
      <c r="G129" s="170" t="str">
        <f>IF(dir!G102="","",dir!G102+1)</f>
        <v/>
      </c>
      <c r="H129" s="566" t="str">
        <f>IF(dir!H102="","",dir!H102)</f>
        <v/>
      </c>
      <c r="I129" s="567" t="str">
        <f t="shared" si="31"/>
        <v/>
      </c>
      <c r="J129" s="567" t="str">
        <f>IF(E129="","",(IF(dir!J102+1&gt;LOOKUP(I129,schaal2011,regels2011),dir!J102,dir!J102+1)))</f>
        <v/>
      </c>
      <c r="K129" s="568" t="str">
        <f>IF(dir!K102="","",dir!K102)</f>
        <v/>
      </c>
      <c r="L129" s="569" t="str">
        <f>IF(dir!L102="","",dir!L102)</f>
        <v/>
      </c>
      <c r="M129" s="570" t="str">
        <f t="shared" si="32"/>
        <v/>
      </c>
      <c r="N129" s="550"/>
      <c r="O129" s="571" t="str">
        <f>IF(I129="","",VLOOKUP(I129,tab!$A$119:$W$159,J129+3,FALSE))</f>
        <v/>
      </c>
      <c r="P129" s="572">
        <f t="shared" si="33"/>
        <v>0</v>
      </c>
      <c r="Q129" s="589">
        <f>Q123</f>
        <v>0.6</v>
      </c>
      <c r="R129" s="573">
        <f t="shared" si="36"/>
        <v>0</v>
      </c>
      <c r="S129" s="332">
        <f>IF(L129="",0,(((O129*12)*L129)*(1+tab!$D$108)*tab!$E$110))</f>
        <v>0</v>
      </c>
      <c r="T129" s="580">
        <f t="shared" si="37"/>
        <v>0</v>
      </c>
      <c r="U129" s="243">
        <f t="shared" si="34"/>
        <v>0</v>
      </c>
      <c r="V129" s="332">
        <f t="shared" si="35"/>
        <v>0</v>
      </c>
      <c r="W129" s="541"/>
    </row>
    <row r="130" spans="3:23">
      <c r="C130" s="131"/>
      <c r="D130" s="169" t="str">
        <f>IF(dir!D103=0,"",dir!D103)</f>
        <v/>
      </c>
      <c r="E130" s="169" t="str">
        <f>IF(dir!E103=0,"",dir!E103)</f>
        <v/>
      </c>
      <c r="F130" s="169" t="str">
        <f>IF(dir!F103=0,"",dir!F103)</f>
        <v/>
      </c>
      <c r="G130" s="170" t="str">
        <f>IF(dir!G103="","",dir!G103+1)</f>
        <v/>
      </c>
      <c r="H130" s="566" t="str">
        <f>IF(dir!H103="","",dir!H103)</f>
        <v/>
      </c>
      <c r="I130" s="567" t="str">
        <f t="shared" si="31"/>
        <v/>
      </c>
      <c r="J130" s="567" t="str">
        <f>IF(E130="","",(IF(dir!J103+1&gt;LOOKUP(I130,schaal2011,regels2011),dir!J103,dir!J103+1)))</f>
        <v/>
      </c>
      <c r="K130" s="568" t="str">
        <f>IF(dir!K103="","",dir!K103)</f>
        <v/>
      </c>
      <c r="L130" s="569" t="str">
        <f>IF(dir!L103="","",dir!L103)</f>
        <v/>
      </c>
      <c r="M130" s="570" t="str">
        <f t="shared" si="32"/>
        <v/>
      </c>
      <c r="N130" s="550"/>
      <c r="O130" s="571" t="str">
        <f>IF(I130="","",VLOOKUP(I130,tab!$A$119:$W$159,J130+3,FALSE))</f>
        <v/>
      </c>
      <c r="P130" s="572">
        <f t="shared" si="33"/>
        <v>0</v>
      </c>
      <c r="Q130" s="589">
        <f>Q123</f>
        <v>0.6</v>
      </c>
      <c r="R130" s="573">
        <f t="shared" si="36"/>
        <v>0</v>
      </c>
      <c r="S130" s="332">
        <f>IF(L130="",0,(((O130*12)*L130)*(1+tab!$D$108)*tab!$E$110))</f>
        <v>0</v>
      </c>
      <c r="T130" s="580">
        <f t="shared" si="37"/>
        <v>0</v>
      </c>
      <c r="U130" s="243">
        <f t="shared" si="34"/>
        <v>0</v>
      </c>
      <c r="V130" s="332">
        <f t="shared" si="35"/>
        <v>0</v>
      </c>
      <c r="W130" s="541"/>
    </row>
    <row r="131" spans="3:23">
      <c r="C131" s="131"/>
      <c r="D131" s="169" t="str">
        <f>IF(dir!D104=0,"",dir!D104)</f>
        <v/>
      </c>
      <c r="E131" s="169" t="str">
        <f>IF(dir!E104=0,"",dir!E104)</f>
        <v/>
      </c>
      <c r="F131" s="169" t="str">
        <f>IF(dir!F104=0,"",dir!F104)</f>
        <v/>
      </c>
      <c r="G131" s="170" t="str">
        <f>IF(dir!G104="","",dir!G104+1)</f>
        <v/>
      </c>
      <c r="H131" s="566" t="str">
        <f>IF(dir!H104="","",dir!H104)</f>
        <v/>
      </c>
      <c r="I131" s="567" t="str">
        <f t="shared" si="31"/>
        <v/>
      </c>
      <c r="J131" s="567" t="str">
        <f>IF(E131="","",(IF(dir!J104+1&gt;LOOKUP(I131,schaal2011,regels2011),dir!J104,dir!J104+1)))</f>
        <v/>
      </c>
      <c r="K131" s="568" t="str">
        <f>IF(dir!K104="","",dir!K104)</f>
        <v/>
      </c>
      <c r="L131" s="569" t="str">
        <f>IF(dir!L104="","",dir!L104)</f>
        <v/>
      </c>
      <c r="M131" s="570" t="str">
        <f t="shared" si="32"/>
        <v/>
      </c>
      <c r="N131" s="550"/>
      <c r="O131" s="571" t="str">
        <f>IF(I131="","",VLOOKUP(I131,tab!$A$119:$W$159,J131+3,FALSE))</f>
        <v/>
      </c>
      <c r="P131" s="572">
        <f t="shared" si="33"/>
        <v>0</v>
      </c>
      <c r="Q131" s="589">
        <f>Q123</f>
        <v>0.6</v>
      </c>
      <c r="R131" s="573">
        <f t="shared" si="36"/>
        <v>0</v>
      </c>
      <c r="S131" s="332">
        <f>IF(L131="",0,(((O131*12)*L131)*(1+tab!$D$108)*tab!$E$110))</f>
        <v>0</v>
      </c>
      <c r="T131" s="580">
        <f t="shared" si="37"/>
        <v>0</v>
      </c>
      <c r="U131" s="243">
        <f t="shared" si="34"/>
        <v>0</v>
      </c>
      <c r="V131" s="332">
        <f t="shared" si="35"/>
        <v>0</v>
      </c>
      <c r="W131" s="541"/>
    </row>
    <row r="132" spans="3:23">
      <c r="C132" s="131"/>
      <c r="D132" s="169" t="str">
        <f>IF(dir!D105=0,"",dir!D105)</f>
        <v/>
      </c>
      <c r="E132" s="169" t="str">
        <f>IF(dir!E105=0,"",dir!E105)</f>
        <v/>
      </c>
      <c r="F132" s="169" t="str">
        <f>IF(dir!F105=0,"",dir!F105)</f>
        <v/>
      </c>
      <c r="G132" s="170" t="str">
        <f>IF(dir!G105="","",dir!G105+1)</f>
        <v/>
      </c>
      <c r="H132" s="566" t="str">
        <f>IF(dir!H105="","",dir!H105)</f>
        <v/>
      </c>
      <c r="I132" s="567" t="str">
        <f t="shared" si="31"/>
        <v/>
      </c>
      <c r="J132" s="567" t="str">
        <f>IF(E132="","",(IF(dir!J105+1&gt;LOOKUP(I132,schaal2011,regels2011),dir!J105,dir!J105+1)))</f>
        <v/>
      </c>
      <c r="K132" s="568" t="str">
        <f>IF(dir!K105="","",dir!K105)</f>
        <v/>
      </c>
      <c r="L132" s="569" t="str">
        <f>IF(dir!L105="","",dir!L105)</f>
        <v/>
      </c>
      <c r="M132" s="570" t="str">
        <f t="shared" si="32"/>
        <v/>
      </c>
      <c r="N132" s="550"/>
      <c r="O132" s="571" t="str">
        <f>IF(I132="","",VLOOKUP(I132,tab!$A$119:$W$159,J132+3,FALSE))</f>
        <v/>
      </c>
      <c r="P132" s="572">
        <f t="shared" si="33"/>
        <v>0</v>
      </c>
      <c r="Q132" s="589">
        <f>Q123</f>
        <v>0.6</v>
      </c>
      <c r="R132" s="573">
        <f t="shared" si="36"/>
        <v>0</v>
      </c>
      <c r="S132" s="332">
        <f>IF(L132="",0,(((O132*12)*L132)*(1+tab!$D$108)*tab!$E$110))</f>
        <v>0</v>
      </c>
      <c r="T132" s="580">
        <f t="shared" si="37"/>
        <v>0</v>
      </c>
      <c r="U132" s="243">
        <f t="shared" si="34"/>
        <v>0</v>
      </c>
      <c r="V132" s="332">
        <f t="shared" si="35"/>
        <v>0</v>
      </c>
      <c r="W132" s="541"/>
    </row>
    <row r="133" spans="3:23">
      <c r="C133" s="131"/>
      <c r="D133" s="169" t="str">
        <f>IF(dir!D106=0,"",dir!D106)</f>
        <v/>
      </c>
      <c r="E133" s="169" t="str">
        <f>IF(dir!E106=0,"",dir!E106)</f>
        <v/>
      </c>
      <c r="F133" s="169" t="str">
        <f>IF(dir!F106=0,"",dir!F106)</f>
        <v/>
      </c>
      <c r="G133" s="170" t="str">
        <f>IF(dir!G106="","",dir!G106+1)</f>
        <v/>
      </c>
      <c r="H133" s="566" t="str">
        <f>IF(dir!H106="","",dir!H106)</f>
        <v/>
      </c>
      <c r="I133" s="567" t="str">
        <f t="shared" si="31"/>
        <v/>
      </c>
      <c r="J133" s="567" t="str">
        <f>IF(E133="","",(IF(dir!J106+1&gt;LOOKUP(I133,schaal2011,regels2011),dir!J106,dir!J106+1)))</f>
        <v/>
      </c>
      <c r="K133" s="568" t="str">
        <f>IF(dir!K106="","",dir!K106)</f>
        <v/>
      </c>
      <c r="L133" s="569" t="str">
        <f>IF(dir!L106="","",dir!L106)</f>
        <v/>
      </c>
      <c r="M133" s="570" t="str">
        <f t="shared" si="32"/>
        <v/>
      </c>
      <c r="N133" s="550"/>
      <c r="O133" s="571" t="str">
        <f>IF(I133="","",VLOOKUP(I133,tab!$A$119:$W$159,J133+3,FALSE))</f>
        <v/>
      </c>
      <c r="P133" s="572">
        <f t="shared" si="33"/>
        <v>0</v>
      </c>
      <c r="Q133" s="589">
        <f>Q123</f>
        <v>0.6</v>
      </c>
      <c r="R133" s="573">
        <f t="shared" si="36"/>
        <v>0</v>
      </c>
      <c r="S133" s="332">
        <f>IF(L133="",0,(((O133*12)*L133)*(1+tab!$D$108)*tab!$E$110))</f>
        <v>0</v>
      </c>
      <c r="T133" s="580">
        <f t="shared" si="37"/>
        <v>0</v>
      </c>
      <c r="U133" s="243">
        <f t="shared" si="34"/>
        <v>0</v>
      </c>
      <c r="V133" s="332">
        <f t="shared" si="35"/>
        <v>0</v>
      </c>
      <c r="W133" s="541"/>
    </row>
    <row r="134" spans="3:23">
      <c r="C134" s="131"/>
      <c r="D134" s="169" t="str">
        <f>IF(dir!D107=0,"",dir!D107)</f>
        <v/>
      </c>
      <c r="E134" s="169" t="str">
        <f>IF(dir!E107=0,"",dir!E107)</f>
        <v/>
      </c>
      <c r="F134" s="169" t="str">
        <f>IF(dir!F107=0,"",dir!F107)</f>
        <v/>
      </c>
      <c r="G134" s="170" t="str">
        <f>IF(dir!G107="","",dir!G107+1)</f>
        <v/>
      </c>
      <c r="H134" s="566" t="str">
        <f>IF(dir!H107="","",dir!H107)</f>
        <v/>
      </c>
      <c r="I134" s="567" t="str">
        <f t="shared" si="31"/>
        <v/>
      </c>
      <c r="J134" s="567" t="str">
        <f>IF(E134="","",(IF(dir!J107+1&gt;LOOKUP(I134,schaal2011,regels2011),dir!J107,dir!J107+1)))</f>
        <v/>
      </c>
      <c r="K134" s="568" t="str">
        <f>IF(dir!K107="","",dir!K107)</f>
        <v/>
      </c>
      <c r="L134" s="569" t="str">
        <f>IF(dir!L107="","",dir!L107)</f>
        <v/>
      </c>
      <c r="M134" s="570" t="str">
        <f t="shared" si="32"/>
        <v/>
      </c>
      <c r="N134" s="550"/>
      <c r="O134" s="571" t="str">
        <f>IF(I134="","",VLOOKUP(I134,tab!$A$119:$W$159,J134+3,FALSE))</f>
        <v/>
      </c>
      <c r="P134" s="572">
        <f t="shared" si="33"/>
        <v>0</v>
      </c>
      <c r="Q134" s="589">
        <f>Q123</f>
        <v>0.6</v>
      </c>
      <c r="R134" s="573">
        <f t="shared" si="36"/>
        <v>0</v>
      </c>
      <c r="S134" s="332">
        <f>IF(L134="",0,(((O134*12)*L134)*(1+tab!$D$108)*tab!$E$110))</f>
        <v>0</v>
      </c>
      <c r="T134" s="580">
        <f t="shared" si="37"/>
        <v>0</v>
      </c>
      <c r="U134" s="243">
        <f t="shared" si="34"/>
        <v>0</v>
      </c>
      <c r="V134" s="332">
        <f t="shared" si="35"/>
        <v>0</v>
      </c>
      <c r="W134" s="541"/>
    </row>
    <row r="135" spans="3:23">
      <c r="C135" s="131"/>
      <c r="D135" s="169" t="str">
        <f>IF(dir!D108=0,"",dir!D108)</f>
        <v/>
      </c>
      <c r="E135" s="169" t="str">
        <f>IF(dir!E108=0,"",dir!E108)</f>
        <v/>
      </c>
      <c r="F135" s="169" t="str">
        <f>IF(dir!F108=0,"",dir!F108)</f>
        <v/>
      </c>
      <c r="G135" s="170" t="str">
        <f>IF(dir!G108="","",dir!G108+1)</f>
        <v/>
      </c>
      <c r="H135" s="566" t="str">
        <f>IF(dir!H108="","",dir!H108)</f>
        <v/>
      </c>
      <c r="I135" s="567" t="str">
        <f t="shared" si="31"/>
        <v/>
      </c>
      <c r="J135" s="567" t="str">
        <f>IF(E135="","",(IF(dir!J108+1&gt;LOOKUP(I135,schaal2011,regels2011),dir!J108,dir!J108+1)))</f>
        <v/>
      </c>
      <c r="K135" s="568" t="str">
        <f>IF(dir!K108="","",dir!K108)</f>
        <v/>
      </c>
      <c r="L135" s="569" t="str">
        <f>IF(dir!L108="","",dir!L108)</f>
        <v/>
      </c>
      <c r="M135" s="570" t="str">
        <f t="shared" si="32"/>
        <v/>
      </c>
      <c r="N135" s="550"/>
      <c r="O135" s="571" t="str">
        <f>IF(I135="","",VLOOKUP(I135,tab!$A$119:$W$159,J135+3,FALSE))</f>
        <v/>
      </c>
      <c r="P135" s="572">
        <f t="shared" si="33"/>
        <v>0</v>
      </c>
      <c r="Q135" s="589">
        <f>Q123</f>
        <v>0.6</v>
      </c>
      <c r="R135" s="573">
        <f t="shared" si="36"/>
        <v>0</v>
      </c>
      <c r="S135" s="332">
        <f>IF(L135="",0,(((O135*12)*L135)*(1+tab!$D$108)*tab!$E$110))</f>
        <v>0</v>
      </c>
      <c r="T135" s="580">
        <f t="shared" si="37"/>
        <v>0</v>
      </c>
      <c r="U135" s="243">
        <f t="shared" si="34"/>
        <v>0</v>
      </c>
      <c r="V135" s="332">
        <f t="shared" si="35"/>
        <v>0</v>
      </c>
      <c r="W135" s="541"/>
    </row>
    <row r="136" spans="3:23">
      <c r="C136" s="131"/>
      <c r="D136" s="169" t="str">
        <f>IF(dir!D109=0,"",dir!D109)</f>
        <v/>
      </c>
      <c r="E136" s="169" t="str">
        <f>IF(dir!E109=0,"",dir!E109)</f>
        <v/>
      </c>
      <c r="F136" s="169" t="str">
        <f>IF(dir!F109=0,"",dir!F109)</f>
        <v/>
      </c>
      <c r="G136" s="170" t="str">
        <f>IF(dir!G109="","",dir!G109+1)</f>
        <v/>
      </c>
      <c r="H136" s="566" t="str">
        <f>IF(dir!H109="","",dir!H109)</f>
        <v/>
      </c>
      <c r="I136" s="567" t="str">
        <f t="shared" si="31"/>
        <v/>
      </c>
      <c r="J136" s="567" t="str">
        <f>IF(E136="","",(IF(dir!J109+1&gt;LOOKUP(I136,schaal2011,regels2011),dir!J109,dir!J109+1)))</f>
        <v/>
      </c>
      <c r="K136" s="568" t="str">
        <f>IF(dir!K109="","",dir!K109)</f>
        <v/>
      </c>
      <c r="L136" s="569" t="str">
        <f>IF(dir!L109="","",dir!L109)</f>
        <v/>
      </c>
      <c r="M136" s="570" t="str">
        <f t="shared" si="32"/>
        <v/>
      </c>
      <c r="N136" s="550"/>
      <c r="O136" s="571" t="str">
        <f>IF(I136="","",VLOOKUP(I136,tab!$A$119:$W$159,J136+3,FALSE))</f>
        <v/>
      </c>
      <c r="P136" s="572">
        <f t="shared" si="33"/>
        <v>0</v>
      </c>
      <c r="Q136" s="589">
        <f>Q123</f>
        <v>0.6</v>
      </c>
      <c r="R136" s="573">
        <f t="shared" si="36"/>
        <v>0</v>
      </c>
      <c r="S136" s="332">
        <f>IF(L136="",0,(((O136*12)*L136)*(1+tab!$D$108)*tab!$E$110))</f>
        <v>0</v>
      </c>
      <c r="T136" s="580">
        <f t="shared" si="37"/>
        <v>0</v>
      </c>
      <c r="U136" s="243">
        <f t="shared" si="34"/>
        <v>0</v>
      </c>
      <c r="V136" s="332">
        <f t="shared" si="35"/>
        <v>0</v>
      </c>
      <c r="W136" s="541"/>
    </row>
    <row r="137" spans="3:23">
      <c r="C137" s="131"/>
      <c r="D137" s="169" t="str">
        <f>IF(dir!D110=0,"",dir!D110)</f>
        <v/>
      </c>
      <c r="E137" s="169" t="str">
        <f>IF(dir!E110=0,"",dir!E110)</f>
        <v/>
      </c>
      <c r="F137" s="169" t="str">
        <f>IF(dir!F110=0,"",dir!F110)</f>
        <v/>
      </c>
      <c r="G137" s="170" t="str">
        <f>IF(dir!G110="","",dir!G110+1)</f>
        <v/>
      </c>
      <c r="H137" s="566" t="str">
        <f>IF(dir!H110="","",dir!H110)</f>
        <v/>
      </c>
      <c r="I137" s="567" t="str">
        <f t="shared" si="31"/>
        <v/>
      </c>
      <c r="J137" s="567" t="str">
        <f>IF(E137="","",(IF(dir!J110+1&gt;LOOKUP(I137,schaal2011,regels2011),dir!J110,dir!J110+1)))</f>
        <v/>
      </c>
      <c r="K137" s="568" t="str">
        <f>IF(dir!K110="","",dir!K110)</f>
        <v/>
      </c>
      <c r="L137" s="569" t="str">
        <f>IF(dir!L110="","",dir!L110)</f>
        <v/>
      </c>
      <c r="M137" s="570" t="str">
        <f t="shared" si="32"/>
        <v/>
      </c>
      <c r="N137" s="550"/>
      <c r="O137" s="571" t="str">
        <f>IF(I137="","",VLOOKUP(I137,tab!$A$119:$W$159,J137+3,FALSE))</f>
        <v/>
      </c>
      <c r="P137" s="572">
        <f t="shared" si="33"/>
        <v>0</v>
      </c>
      <c r="Q137" s="589">
        <f>Q123</f>
        <v>0.6</v>
      </c>
      <c r="R137" s="573">
        <f t="shared" si="36"/>
        <v>0</v>
      </c>
      <c r="S137" s="332">
        <f>IF(L137="",0,(((O137*12)*L137)*(1+tab!$D$108)*tab!$E$110))</f>
        <v>0</v>
      </c>
      <c r="T137" s="580">
        <f t="shared" si="37"/>
        <v>0</v>
      </c>
      <c r="U137" s="243">
        <f t="shared" si="34"/>
        <v>0</v>
      </c>
      <c r="V137" s="332">
        <f t="shared" si="35"/>
        <v>0</v>
      </c>
      <c r="W137" s="541"/>
    </row>
    <row r="138" spans="3:23">
      <c r="C138" s="131"/>
      <c r="D138" s="169" t="str">
        <f>IF(dir!D111=0,"",dir!D111)</f>
        <v/>
      </c>
      <c r="E138" s="169" t="str">
        <f>IF(dir!E111=0,"",dir!E111)</f>
        <v/>
      </c>
      <c r="F138" s="169" t="str">
        <f>IF(dir!F111=0,"",dir!F111)</f>
        <v/>
      </c>
      <c r="G138" s="170" t="str">
        <f>IF(dir!G111="","",dir!G111+1)</f>
        <v/>
      </c>
      <c r="H138" s="566" t="str">
        <f>IF(dir!H111="","",dir!H111)</f>
        <v/>
      </c>
      <c r="I138" s="567" t="str">
        <f t="shared" si="31"/>
        <v/>
      </c>
      <c r="J138" s="567" t="str">
        <f>IF(E138="","",(IF(dir!J111+1&gt;LOOKUP(I138,schaal2011,regels2011),dir!J111,dir!J111+1)))</f>
        <v/>
      </c>
      <c r="K138" s="568" t="str">
        <f>IF(dir!K111="","",dir!K111)</f>
        <v/>
      </c>
      <c r="L138" s="569" t="str">
        <f>IF(dir!L111="","",dir!L111)</f>
        <v/>
      </c>
      <c r="M138" s="570" t="str">
        <f t="shared" si="32"/>
        <v/>
      </c>
      <c r="N138" s="550"/>
      <c r="O138" s="571" t="str">
        <f>IF(I138="","",VLOOKUP(I138,tab!$A$119:$W$159,J138+3,FALSE))</f>
        <v/>
      </c>
      <c r="P138" s="572">
        <f t="shared" si="33"/>
        <v>0</v>
      </c>
      <c r="Q138" s="589">
        <f>Q123</f>
        <v>0.6</v>
      </c>
      <c r="R138" s="573">
        <f t="shared" si="36"/>
        <v>0</v>
      </c>
      <c r="S138" s="332">
        <f>IF(L138="",0,(((O138*12)*L138)*(1+tab!$D$108)*tab!$E$110))</f>
        <v>0</v>
      </c>
      <c r="T138" s="580">
        <f t="shared" si="37"/>
        <v>0</v>
      </c>
      <c r="U138" s="243">
        <f t="shared" si="34"/>
        <v>0</v>
      </c>
      <c r="V138" s="332">
        <f t="shared" si="35"/>
        <v>0</v>
      </c>
      <c r="W138" s="541"/>
    </row>
    <row r="139" spans="3:23">
      <c r="C139" s="131"/>
      <c r="D139" s="169" t="str">
        <f>IF(dir!D112=0,"",dir!D112)</f>
        <v/>
      </c>
      <c r="E139" s="169" t="str">
        <f>IF(dir!E112=0,"",dir!E112)</f>
        <v/>
      </c>
      <c r="F139" s="169" t="str">
        <f>IF(dir!F112=0,"",dir!F112)</f>
        <v/>
      </c>
      <c r="G139" s="170" t="str">
        <f>IF(dir!G112="","",dir!G112+1)</f>
        <v/>
      </c>
      <c r="H139" s="566" t="str">
        <f>IF(dir!H112="","",dir!H112)</f>
        <v/>
      </c>
      <c r="I139" s="567" t="str">
        <f t="shared" si="31"/>
        <v/>
      </c>
      <c r="J139" s="567" t="str">
        <f>IF(E139="","",(IF(dir!J112+1&gt;LOOKUP(I139,schaal2011,regels2011),dir!J112,dir!J112+1)))</f>
        <v/>
      </c>
      <c r="K139" s="568" t="str">
        <f>IF(dir!K112="","",dir!K112)</f>
        <v/>
      </c>
      <c r="L139" s="569" t="str">
        <f>IF(dir!L112="","",dir!L112)</f>
        <v/>
      </c>
      <c r="M139" s="570" t="str">
        <f t="shared" si="32"/>
        <v/>
      </c>
      <c r="N139" s="550"/>
      <c r="O139" s="571" t="str">
        <f>IF(I139="","",VLOOKUP(I139,tab!$A$119:$W$159,J139+3,FALSE))</f>
        <v/>
      </c>
      <c r="P139" s="572">
        <f t="shared" si="33"/>
        <v>0</v>
      </c>
      <c r="Q139" s="589">
        <f>Q123</f>
        <v>0.6</v>
      </c>
      <c r="R139" s="573">
        <f t="shared" si="36"/>
        <v>0</v>
      </c>
      <c r="S139" s="332">
        <f>IF(L139="",0,(((O139*12)*L139)*(1+tab!$D$108)*tab!$E$110))</f>
        <v>0</v>
      </c>
      <c r="T139" s="580">
        <f t="shared" si="37"/>
        <v>0</v>
      </c>
      <c r="U139" s="243">
        <f t="shared" si="34"/>
        <v>0</v>
      </c>
      <c r="V139" s="332">
        <f t="shared" si="35"/>
        <v>0</v>
      </c>
      <c r="W139" s="541"/>
    </row>
    <row r="140" spans="3:23">
      <c r="C140" s="131"/>
      <c r="D140" s="319"/>
      <c r="E140" s="319"/>
      <c r="F140" s="319"/>
      <c r="G140" s="555"/>
      <c r="H140" s="556"/>
      <c r="I140" s="135"/>
      <c r="J140" s="135"/>
      <c r="K140" s="575">
        <f>SUM(K125:K139)</f>
        <v>0</v>
      </c>
      <c r="L140" s="575">
        <f>SUM(L125:L139)</f>
        <v>0</v>
      </c>
      <c r="M140" s="575">
        <f>SUM(M125:M139)</f>
        <v>0</v>
      </c>
      <c r="N140" s="555"/>
      <c r="O140" s="309">
        <f t="shared" ref="O140:V140" si="38">SUM(O125:O139)</f>
        <v>0</v>
      </c>
      <c r="P140" s="309">
        <f t="shared" si="38"/>
        <v>0</v>
      </c>
      <c r="Q140" s="590"/>
      <c r="R140" s="343"/>
      <c r="S140" s="344">
        <f t="shared" si="38"/>
        <v>0</v>
      </c>
      <c r="T140" s="309">
        <f t="shared" si="38"/>
        <v>0</v>
      </c>
      <c r="U140" s="574">
        <f t="shared" si="38"/>
        <v>0</v>
      </c>
      <c r="V140" s="344">
        <f t="shared" si="38"/>
        <v>0</v>
      </c>
      <c r="W140" s="554"/>
    </row>
    <row r="141" spans="3:23">
      <c r="C141" s="141"/>
      <c r="D141" s="557"/>
      <c r="E141" s="557"/>
      <c r="F141" s="557"/>
      <c r="G141" s="557"/>
      <c r="H141" s="558"/>
      <c r="I141" s="146"/>
      <c r="J141" s="559"/>
      <c r="K141" s="560"/>
      <c r="L141" s="559"/>
      <c r="M141" s="560"/>
      <c r="N141" s="557"/>
      <c r="O141" s="559"/>
      <c r="P141" s="299"/>
      <c r="Q141" s="590"/>
      <c r="R141" s="561"/>
      <c r="S141" s="562"/>
      <c r="T141" s="299"/>
      <c r="U141" s="563"/>
      <c r="V141" s="562"/>
      <c r="W141" s="565"/>
    </row>
    <row r="159" spans="5:5">
      <c r="E159" s="422" t="s">
        <v>332</v>
      </c>
    </row>
    <row r="160" spans="5:5">
      <c r="E160" s="422" t="s">
        <v>333</v>
      </c>
    </row>
    <row r="161" spans="5:5">
      <c r="E161" s="422" t="s">
        <v>334</v>
      </c>
    </row>
    <row r="162" spans="5:5">
      <c r="E162" s="422" t="s">
        <v>335</v>
      </c>
    </row>
    <row r="163" spans="5:5">
      <c r="E163" s="422" t="s">
        <v>336</v>
      </c>
    </row>
    <row r="164" spans="5:5">
      <c r="E164" s="422" t="s">
        <v>337</v>
      </c>
    </row>
    <row r="165" spans="5:5">
      <c r="E165" s="422" t="s">
        <v>338</v>
      </c>
    </row>
    <row r="166" spans="5:5">
      <c r="E166" s="422" t="s">
        <v>339</v>
      </c>
    </row>
    <row r="167" spans="5:5">
      <c r="E167" s="422" t="s">
        <v>320</v>
      </c>
    </row>
    <row r="168" spans="5:5">
      <c r="E168" s="422" t="s">
        <v>340</v>
      </c>
    </row>
    <row r="169" spans="5:5">
      <c r="E169" s="422" t="s">
        <v>341</v>
      </c>
    </row>
    <row r="170" spans="5:5">
      <c r="E170" s="422" t="s">
        <v>342</v>
      </c>
    </row>
    <row r="171" spans="5:5">
      <c r="E171" s="423" t="s">
        <v>352</v>
      </c>
    </row>
    <row r="172" spans="5:5">
      <c r="E172" s="423" t="s">
        <v>353</v>
      </c>
    </row>
    <row r="173" spans="5:5">
      <c r="E173" s="423" t="s">
        <v>354</v>
      </c>
    </row>
    <row r="174" spans="5:5">
      <c r="E174" s="423" t="s">
        <v>28</v>
      </c>
    </row>
    <row r="175" spans="5:5">
      <c r="E175" s="423" t="s">
        <v>355</v>
      </c>
    </row>
  </sheetData>
  <sheetProtection password="DFB1" sheet="1" objects="1" scenarios="1"/>
  <mergeCells count="10">
    <mergeCell ref="O12:T12"/>
    <mergeCell ref="O39:T39"/>
    <mergeCell ref="O67:T67"/>
    <mergeCell ref="O94:T94"/>
    <mergeCell ref="O121:T121"/>
    <mergeCell ref="D94:M94"/>
    <mergeCell ref="D121:M121"/>
    <mergeCell ref="D12:M12"/>
    <mergeCell ref="D39:M39"/>
    <mergeCell ref="D67:M67"/>
  </mergeCells>
  <phoneticPr fontId="0" type="noConversion"/>
  <dataValidations disablePrompts="1" count="3">
    <dataValidation type="list" allowBlank="1" showInputMessage="1" showErrorMessage="1" sqref="I125:I139 I98:I112 I71:I85 I43:I57 I16:I30">
      <formula1>"AA,AB,AC,AD,AE,DA,DB,DBuit,DC,DCuit,DD,DE,meerh bas DA11, meerh sbo DB10, meerh sbo DB11, meerh sbo DC13, meerh sbo DCuit15"</formula1>
    </dataValidation>
    <dataValidation type="list" allowBlank="1" showInputMessage="1" showErrorMessage="1" sqref="I115">
      <formula1>"LIOa,LIOb,J1,J2,J3,J4,J5,J6,1,2,3,4,5,6,7,8,9,10,11,12,13,14,15,LA,LB,LC,LD,LE,ID1,ID2,ID3"</formula1>
    </dataValidation>
    <dataValidation type="list" allowBlank="1" showInputMessage="1" showErrorMessage="1" sqref="I117:I119 I88:I92 I60:I65">
      <formula1>"LA,LB,LC,LD,LE"</formula1>
    </dataValidation>
  </dataValidations>
  <pageMargins left="0.78740157480314965" right="0.78740157480314965" top="0.98425196850393704" bottom="0.98425196850393704" header="0.51181102362204722" footer="0.51181102362204722"/>
  <pageSetup paperSize="9" scale="59" orientation="landscape" r:id="rId1"/>
  <headerFooter alignWithMargins="0">
    <oddHeader>&amp;L&amp;"Arial,Vet"&amp;F&amp;R&amp;"Arial,Vet"&amp;A</oddHeader>
    <oddFooter>&amp;L&amp;"Arial,Vet"keizer / goedhart&amp;C&amp;"Arial,Vet"&amp;D&amp;R&amp;"Arial,Vet"pagina &amp;P</oddFooter>
  </headerFooter>
  <rowBreaks count="1" manualBreakCount="1">
    <brk id="103" min="1" max="37" man="1"/>
  </rowBreaks>
  <drawing r:id="rId2"/>
  <legacyDrawing r:id="rId3"/>
</worksheet>
</file>

<file path=xl/worksheets/sheet6.xml><?xml version="1.0" encoding="utf-8"?>
<worksheet xmlns="http://schemas.openxmlformats.org/spreadsheetml/2006/main" xmlns:r="http://schemas.openxmlformats.org/officeDocument/2006/relationships">
  <sheetPr codeName="Blad19"/>
  <dimension ref="A1:BK633"/>
  <sheetViews>
    <sheetView showGridLines="0" zoomScale="85" zoomScaleNormal="85" workbookViewId="0">
      <selection activeCell="B2" sqref="B2"/>
    </sheetView>
  </sheetViews>
  <sheetFormatPr defaultRowHeight="12.75"/>
  <cols>
    <col min="1" max="1" width="3.7109375" style="68" customWidth="1"/>
    <col min="2" max="3" width="2.7109375" style="68" customWidth="1"/>
    <col min="4" max="4" width="10.7109375" style="83" customWidth="1"/>
    <col min="5" max="6" width="20.7109375" style="83" customWidth="1"/>
    <col min="7" max="7" width="8.7109375" style="83" customWidth="1"/>
    <col min="8" max="8" width="8.7109375" style="347" customWidth="1"/>
    <col min="9" max="10" width="8.7109375" style="348" customWidth="1"/>
    <col min="11" max="11" width="8.7109375" style="349" customWidth="1"/>
    <col min="12" max="12" width="8.7109375" style="350" customWidth="1"/>
    <col min="13" max="13" width="8.7109375" style="351" customWidth="1"/>
    <col min="14" max="14" width="0.85546875" style="68" customWidth="1"/>
    <col min="15" max="15" width="10.7109375" style="352" customWidth="1"/>
    <col min="16" max="16" width="12.7109375" style="68" customWidth="1"/>
    <col min="17" max="17" width="10.7109375" style="68" customWidth="1"/>
    <col min="18" max="18" width="12.7109375" style="68" customWidth="1"/>
    <col min="19" max="19" width="10.7109375" style="353" customWidth="1"/>
    <col min="20" max="20" width="12.7109375" style="254" customWidth="1"/>
    <col min="21" max="21" width="10.7109375" style="253" hidden="1" customWidth="1"/>
    <col min="22" max="22" width="10.7109375" style="353" customWidth="1"/>
    <col min="23" max="23" width="3" style="68" customWidth="1"/>
    <col min="24" max="24" width="2.7109375" style="68" customWidth="1"/>
    <col min="25" max="25" width="20.7109375" style="68" customWidth="1"/>
    <col min="26" max="27" width="10.7109375" style="83" customWidth="1"/>
    <col min="28" max="29" width="10.7109375" style="67" customWidth="1"/>
    <col min="30" max="30" width="10.7109375" style="85" customWidth="1"/>
    <col min="31" max="31" width="1.7109375" style="68" customWidth="1"/>
    <col min="32" max="35" width="8.7109375" style="68" customWidth="1"/>
    <col min="36" max="36" width="1.5703125" style="68" customWidth="1"/>
    <col min="37" max="37" width="12.7109375" style="68" customWidth="1"/>
    <col min="38" max="38" width="12.7109375" style="67" customWidth="1"/>
    <col min="39" max="39" width="12.7109375" style="354" customWidth="1"/>
    <col min="40" max="40" width="12.7109375" style="68" customWidth="1"/>
    <col min="41" max="41" width="1.5703125" style="68" customWidth="1"/>
    <col min="42" max="43" width="10.7109375" style="68" customWidth="1"/>
    <col min="44" max="45" width="2.7109375" style="68" customWidth="1"/>
    <col min="46" max="51" width="9.28515625" style="68" bestFit="1" customWidth="1"/>
    <col min="52" max="16384" width="9.140625" style="68"/>
  </cols>
  <sheetData>
    <row r="1" spans="1:63" ht="12.75" customHeight="1"/>
    <row r="2" spans="1:63">
      <c r="B2" s="87"/>
      <c r="C2" s="88"/>
      <c r="D2" s="424"/>
      <c r="E2" s="424"/>
      <c r="F2" s="424"/>
      <c r="G2" s="424"/>
      <c r="H2" s="425"/>
      <c r="I2" s="426"/>
      <c r="J2" s="426"/>
      <c r="K2" s="427"/>
      <c r="L2" s="428"/>
      <c r="M2" s="429"/>
      <c r="N2" s="88"/>
      <c r="O2" s="430"/>
      <c r="P2" s="88"/>
      <c r="Q2" s="88"/>
      <c r="R2" s="88"/>
      <c r="S2" s="431"/>
      <c r="T2" s="432"/>
      <c r="U2" s="433"/>
      <c r="V2" s="431"/>
      <c r="W2" s="88"/>
      <c r="X2" s="91"/>
    </row>
    <row r="3" spans="1:63">
      <c r="B3" s="92"/>
      <c r="C3" s="93"/>
      <c r="D3" s="271"/>
      <c r="E3" s="271"/>
      <c r="F3" s="271"/>
      <c r="G3" s="271"/>
      <c r="H3" s="434"/>
      <c r="I3" s="435"/>
      <c r="J3" s="435"/>
      <c r="K3" s="436"/>
      <c r="L3" s="437"/>
      <c r="M3" s="438"/>
      <c r="N3" s="93"/>
      <c r="O3" s="439"/>
      <c r="P3" s="93"/>
      <c r="Q3" s="93"/>
      <c r="R3" s="93"/>
      <c r="S3" s="440"/>
      <c r="T3" s="273"/>
      <c r="U3" s="262"/>
      <c r="V3" s="440"/>
      <c r="W3" s="93"/>
      <c r="X3" s="97"/>
    </row>
    <row r="4" spans="1:63" s="356" customFormat="1" ht="18.75">
      <c r="A4" s="355"/>
      <c r="B4" s="441"/>
      <c r="C4" s="304" t="s">
        <v>321</v>
      </c>
      <c r="D4" s="442"/>
      <c r="E4" s="442"/>
      <c r="F4" s="442"/>
      <c r="G4" s="442"/>
      <c r="H4" s="443"/>
      <c r="I4" s="444"/>
      <c r="J4" s="444"/>
      <c r="K4" s="445"/>
      <c r="L4" s="446"/>
      <c r="M4" s="447"/>
      <c r="N4" s="442"/>
      <c r="O4" s="448"/>
      <c r="P4" s="442"/>
      <c r="Q4" s="442"/>
      <c r="R4" s="442"/>
      <c r="S4" s="450"/>
      <c r="T4" s="451"/>
      <c r="U4" s="452"/>
      <c r="V4" s="450"/>
      <c r="W4" s="442"/>
      <c r="X4" s="453"/>
      <c r="Y4" s="355"/>
      <c r="Z4" s="642"/>
      <c r="AA4" s="642"/>
      <c r="AB4" s="643"/>
      <c r="AC4" s="643"/>
      <c r="AD4" s="644"/>
      <c r="AE4" s="362"/>
      <c r="AF4" s="362"/>
      <c r="AG4" s="362"/>
      <c r="AH4" s="362"/>
      <c r="AI4" s="364"/>
      <c r="AJ4" s="365"/>
      <c r="AK4" s="366"/>
      <c r="AL4" s="367"/>
      <c r="AM4" s="364"/>
      <c r="AN4" s="355"/>
      <c r="AO4" s="355"/>
      <c r="AP4" s="355"/>
      <c r="AQ4" s="355"/>
      <c r="AR4" s="355"/>
      <c r="AS4" s="355"/>
      <c r="AT4" s="355"/>
      <c r="AU4" s="355"/>
      <c r="AV4" s="355"/>
      <c r="AW4" s="355"/>
      <c r="AX4" s="355"/>
      <c r="AY4" s="355"/>
      <c r="AZ4" s="355"/>
      <c r="BA4" s="355"/>
      <c r="BB4" s="355"/>
      <c r="BC4" s="355"/>
      <c r="BD4" s="355"/>
      <c r="BE4" s="355"/>
      <c r="BF4" s="355"/>
      <c r="BG4" s="355"/>
      <c r="BH4" s="355"/>
      <c r="BI4" s="355"/>
      <c r="BJ4" s="355"/>
      <c r="BK4" s="355"/>
    </row>
    <row r="5" spans="1:63" s="356" customFormat="1" ht="18.75">
      <c r="A5" s="355"/>
      <c r="B5" s="441"/>
      <c r="C5" s="260" t="str">
        <f>geg!I12</f>
        <v>De speciale school</v>
      </c>
      <c r="D5" s="442"/>
      <c r="E5" s="442"/>
      <c r="F5" s="442"/>
      <c r="G5" s="442"/>
      <c r="H5" s="443"/>
      <c r="I5" s="444"/>
      <c r="J5" s="444"/>
      <c r="K5" s="445"/>
      <c r="L5" s="446"/>
      <c r="M5" s="447"/>
      <c r="N5" s="442"/>
      <c r="O5" s="448"/>
      <c r="P5" s="442"/>
      <c r="Q5" s="442"/>
      <c r="R5" s="442"/>
      <c r="S5" s="450"/>
      <c r="T5" s="451"/>
      <c r="U5" s="452"/>
      <c r="V5" s="450"/>
      <c r="W5" s="442"/>
      <c r="X5" s="453"/>
      <c r="Y5" s="355"/>
      <c r="Z5" s="642"/>
      <c r="AA5" s="642"/>
      <c r="AB5" s="643"/>
      <c r="AC5" s="643"/>
      <c r="AD5" s="644"/>
      <c r="AE5" s="362"/>
      <c r="AF5" s="362"/>
      <c r="AG5" s="362"/>
      <c r="AH5" s="362"/>
      <c r="AI5" s="364"/>
      <c r="AJ5" s="365"/>
      <c r="AK5" s="366"/>
      <c r="AL5" s="367"/>
      <c r="AM5" s="364"/>
      <c r="AN5" s="355"/>
      <c r="AO5" s="355"/>
      <c r="AP5" s="355"/>
      <c r="AQ5" s="355"/>
      <c r="AR5" s="355"/>
      <c r="AS5" s="355"/>
      <c r="AT5" s="355"/>
      <c r="AU5" s="355"/>
      <c r="AV5" s="355"/>
      <c r="AW5" s="355"/>
      <c r="AX5" s="355"/>
      <c r="AY5" s="355"/>
      <c r="AZ5" s="355"/>
      <c r="BA5" s="355"/>
      <c r="BB5" s="355"/>
      <c r="BC5" s="355"/>
      <c r="BD5" s="355"/>
      <c r="BE5" s="355"/>
      <c r="BF5" s="355"/>
      <c r="BG5" s="355"/>
      <c r="BH5" s="355"/>
      <c r="BI5" s="355"/>
      <c r="BJ5" s="355"/>
      <c r="BK5" s="355"/>
    </row>
    <row r="6" spans="1:63" ht="12.75" customHeight="1">
      <c r="B6" s="92"/>
      <c r="C6" s="93"/>
      <c r="D6" s="93"/>
      <c r="E6" s="93"/>
      <c r="F6" s="271"/>
      <c r="G6" s="271"/>
      <c r="H6" s="434"/>
      <c r="I6" s="435"/>
      <c r="J6" s="435"/>
      <c r="K6" s="436"/>
      <c r="L6" s="437"/>
      <c r="M6" s="438"/>
      <c r="N6" s="93"/>
      <c r="O6" s="439"/>
      <c r="P6" s="93"/>
      <c r="Q6" s="93"/>
      <c r="R6" s="93"/>
      <c r="S6" s="440"/>
      <c r="T6" s="273"/>
      <c r="U6" s="262"/>
      <c r="V6" s="440"/>
      <c r="W6" s="93"/>
      <c r="X6" s="97"/>
      <c r="AE6" s="348"/>
      <c r="AF6" s="348"/>
      <c r="AG6" s="348"/>
      <c r="AH6" s="348"/>
      <c r="AI6" s="349"/>
      <c r="AJ6" s="350"/>
      <c r="AK6" s="351"/>
      <c r="AL6" s="368"/>
      <c r="AM6" s="349"/>
    </row>
    <row r="7" spans="1:63" ht="12.75" customHeight="1">
      <c r="B7" s="92"/>
      <c r="C7" s="93"/>
      <c r="D7" s="93"/>
      <c r="E7" s="93"/>
      <c r="F7" s="271"/>
      <c r="G7" s="271"/>
      <c r="H7" s="434"/>
      <c r="I7" s="435"/>
      <c r="J7" s="435"/>
      <c r="K7" s="436"/>
      <c r="L7" s="437"/>
      <c r="M7" s="438"/>
      <c r="N7" s="93"/>
      <c r="O7" s="439"/>
      <c r="P7" s="93"/>
      <c r="Q7" s="93"/>
      <c r="R7" s="93"/>
      <c r="S7" s="440"/>
      <c r="T7" s="273"/>
      <c r="U7" s="262"/>
      <c r="V7" s="440"/>
      <c r="W7" s="93"/>
      <c r="X7" s="97"/>
      <c r="AE7" s="348"/>
      <c r="AF7" s="348"/>
      <c r="AG7" s="348"/>
      <c r="AH7" s="348"/>
      <c r="AI7" s="349"/>
      <c r="AJ7" s="350"/>
      <c r="AK7" s="351"/>
      <c r="AL7" s="368"/>
      <c r="AM7" s="349"/>
    </row>
    <row r="8" spans="1:63" s="369" customFormat="1" ht="12.75" customHeight="1">
      <c r="B8" s="454"/>
      <c r="C8" s="93" t="s">
        <v>290</v>
      </c>
      <c r="D8" s="271"/>
      <c r="E8" s="277" t="str">
        <f>dir!E8</f>
        <v>2012/13</v>
      </c>
      <c r="F8" s="456"/>
      <c r="G8" s="456"/>
      <c r="H8" s="457"/>
      <c r="I8" s="458"/>
      <c r="J8" s="458"/>
      <c r="K8" s="459"/>
      <c r="L8" s="460"/>
      <c r="M8" s="461"/>
      <c r="N8" s="462"/>
      <c r="O8" s="463"/>
      <c r="P8" s="462"/>
      <c r="Q8" s="462"/>
      <c r="R8" s="462"/>
      <c r="S8" s="465"/>
      <c r="T8" s="466"/>
      <c r="U8" s="467"/>
      <c r="V8" s="465"/>
      <c r="W8" s="462"/>
      <c r="X8" s="468"/>
      <c r="Z8" s="371"/>
      <c r="AA8" s="371"/>
      <c r="AB8" s="645"/>
      <c r="AC8" s="645"/>
      <c r="AD8" s="595"/>
      <c r="AE8" s="372"/>
      <c r="AF8" s="372"/>
      <c r="AG8" s="372"/>
      <c r="AH8" s="372"/>
      <c r="AI8" s="373"/>
      <c r="AJ8" s="374"/>
      <c r="AK8" s="375"/>
      <c r="AL8" s="377"/>
      <c r="AM8" s="373"/>
    </row>
    <row r="9" spans="1:63" ht="12.75" customHeight="1">
      <c r="B9" s="92"/>
      <c r="C9" s="93" t="s">
        <v>291</v>
      </c>
      <c r="D9" s="271"/>
      <c r="E9" s="455">
        <f>dir!E9</f>
        <v>41183</v>
      </c>
      <c r="F9" s="469"/>
      <c r="G9" s="469"/>
      <c r="H9" s="470"/>
      <c r="I9" s="435"/>
      <c r="J9" s="435"/>
      <c r="K9" s="436"/>
      <c r="L9" s="437"/>
      <c r="M9" s="438"/>
      <c r="N9" s="93"/>
      <c r="O9" s="439"/>
      <c r="P9" s="93"/>
      <c r="Q9" s="93"/>
      <c r="R9" s="93"/>
      <c r="S9" s="440"/>
      <c r="T9" s="273"/>
      <c r="U9" s="262"/>
      <c r="V9" s="440"/>
      <c r="W9" s="93"/>
      <c r="X9" s="97"/>
      <c r="Z9" s="378"/>
      <c r="AA9" s="378"/>
      <c r="AB9" s="379"/>
      <c r="AC9" s="379"/>
      <c r="AE9" s="348"/>
      <c r="AF9" s="348"/>
      <c r="AG9" s="348"/>
      <c r="AH9" s="348"/>
      <c r="AI9" s="349"/>
      <c r="AJ9" s="350"/>
      <c r="AK9" s="351"/>
      <c r="AL9" s="368"/>
      <c r="AM9" s="349"/>
    </row>
    <row r="10" spans="1:63" ht="12.75" customHeight="1">
      <c r="B10" s="92"/>
      <c r="C10" s="93"/>
      <c r="D10" s="471"/>
      <c r="E10" s="472"/>
      <c r="F10" s="469"/>
      <c r="G10" s="469"/>
      <c r="H10" s="470"/>
      <c r="I10" s="435"/>
      <c r="J10" s="435"/>
      <c r="K10" s="436"/>
      <c r="L10" s="437"/>
      <c r="M10" s="438"/>
      <c r="N10" s="93"/>
      <c r="O10" s="439"/>
      <c r="P10" s="93"/>
      <c r="Q10" s="93"/>
      <c r="R10" s="93"/>
      <c r="S10" s="440"/>
      <c r="T10" s="273"/>
      <c r="U10" s="262"/>
      <c r="V10" s="440"/>
      <c r="W10" s="93"/>
      <c r="X10" s="97"/>
      <c r="Z10" s="378"/>
      <c r="AA10" s="378"/>
      <c r="AB10" s="379"/>
      <c r="AC10" s="379"/>
      <c r="AE10" s="348"/>
      <c r="AF10" s="348"/>
      <c r="AG10" s="348"/>
      <c r="AH10" s="348"/>
      <c r="AI10" s="349"/>
      <c r="AJ10" s="350"/>
      <c r="AK10" s="351"/>
      <c r="AL10" s="368"/>
      <c r="AM10" s="349"/>
    </row>
    <row r="11" spans="1:63" ht="12.75" customHeight="1">
      <c r="B11" s="92"/>
      <c r="C11" s="124"/>
      <c r="D11" s="514"/>
      <c r="E11" s="515"/>
      <c r="F11" s="516"/>
      <c r="G11" s="129"/>
      <c r="H11" s="517"/>
      <c r="I11" s="518"/>
      <c r="J11" s="518"/>
      <c r="K11" s="519"/>
      <c r="L11" s="518"/>
      <c r="M11" s="520"/>
      <c r="N11" s="127"/>
      <c r="O11" s="521"/>
      <c r="P11" s="127"/>
      <c r="Q11" s="127"/>
      <c r="R11" s="127"/>
      <c r="S11" s="522"/>
      <c r="T11" s="302"/>
      <c r="U11" s="523"/>
      <c r="V11" s="522"/>
      <c r="W11" s="130"/>
      <c r="X11" s="97"/>
      <c r="AE11" s="348"/>
      <c r="AF11" s="348"/>
      <c r="AG11" s="348"/>
      <c r="AH11" s="348"/>
      <c r="AI11" s="349"/>
      <c r="AJ11" s="350"/>
      <c r="AK11" s="351"/>
      <c r="AL11" s="368"/>
      <c r="AM11" s="349"/>
    </row>
    <row r="12" spans="1:63" s="512" customFormat="1" ht="12.75" customHeight="1">
      <c r="B12" s="658"/>
      <c r="C12" s="659"/>
      <c r="D12" s="1176" t="s">
        <v>292</v>
      </c>
      <c r="E12" s="1177"/>
      <c r="F12" s="1177"/>
      <c r="G12" s="1177"/>
      <c r="H12" s="1177"/>
      <c r="I12" s="1178"/>
      <c r="J12" s="1178"/>
      <c r="K12" s="1178"/>
      <c r="L12" s="1178"/>
      <c r="M12" s="1178"/>
      <c r="N12" s="525"/>
      <c r="O12" s="1176" t="s">
        <v>293</v>
      </c>
      <c r="P12" s="1178"/>
      <c r="Q12" s="1178"/>
      <c r="R12" s="1178"/>
      <c r="S12" s="1178"/>
      <c r="T12" s="1178"/>
      <c r="U12" s="526"/>
      <c r="V12" s="242"/>
      <c r="W12" s="660"/>
      <c r="X12" s="661"/>
      <c r="Y12" s="662"/>
      <c r="AN12" s="662"/>
      <c r="AO12" s="662"/>
    </row>
    <row r="13" spans="1:63" s="663" customFormat="1" ht="12.75" customHeight="1">
      <c r="B13" s="664"/>
      <c r="C13" s="665"/>
      <c r="D13" s="528" t="s">
        <v>541</v>
      </c>
      <c r="E13" s="528" t="s">
        <v>294</v>
      </c>
      <c r="F13" s="528" t="s">
        <v>295</v>
      </c>
      <c r="G13" s="529" t="s">
        <v>296</v>
      </c>
      <c r="H13" s="530" t="s">
        <v>297</v>
      </c>
      <c r="I13" s="529" t="s">
        <v>302</v>
      </c>
      <c r="J13" s="529" t="s">
        <v>303</v>
      </c>
      <c r="K13" s="531" t="s">
        <v>305</v>
      </c>
      <c r="L13" s="532" t="s">
        <v>306</v>
      </c>
      <c r="M13" s="531" t="s">
        <v>307</v>
      </c>
      <c r="N13" s="528"/>
      <c r="O13" s="535" t="s">
        <v>304</v>
      </c>
      <c r="P13" s="535" t="s">
        <v>738</v>
      </c>
      <c r="Q13" s="587" t="s">
        <v>739</v>
      </c>
      <c r="R13" s="510"/>
      <c r="S13" s="536" t="s">
        <v>306</v>
      </c>
      <c r="T13" s="576" t="s">
        <v>308</v>
      </c>
      <c r="U13" s="537" t="s">
        <v>309</v>
      </c>
      <c r="V13" s="242" t="s">
        <v>740</v>
      </c>
      <c r="W13" s="666"/>
      <c r="X13" s="667"/>
      <c r="Y13" s="511"/>
      <c r="Z13" s="508" t="s">
        <v>298</v>
      </c>
      <c r="AA13" s="508" t="s">
        <v>299</v>
      </c>
      <c r="AB13" s="508" t="s">
        <v>300</v>
      </c>
      <c r="AC13" s="510" t="s">
        <v>301</v>
      </c>
      <c r="AD13" s="513" t="s">
        <v>178</v>
      </c>
      <c r="AN13" s="668"/>
      <c r="AO13" s="511"/>
    </row>
    <row r="14" spans="1:63" s="663" customFormat="1" ht="12.75" customHeight="1">
      <c r="B14" s="664"/>
      <c r="C14" s="669"/>
      <c r="D14" s="540"/>
      <c r="E14" s="528"/>
      <c r="F14" s="532"/>
      <c r="G14" s="529" t="s">
        <v>312</v>
      </c>
      <c r="H14" s="530" t="s">
        <v>313</v>
      </c>
      <c r="I14" s="529"/>
      <c r="J14" s="529"/>
      <c r="K14" s="531" t="s">
        <v>316</v>
      </c>
      <c r="L14" s="532" t="s">
        <v>317</v>
      </c>
      <c r="M14" s="531" t="s">
        <v>318</v>
      </c>
      <c r="N14" s="528"/>
      <c r="O14" s="535" t="s">
        <v>315</v>
      </c>
      <c r="P14" s="535" t="s">
        <v>741</v>
      </c>
      <c r="Q14" s="577">
        <f>tab!D108</f>
        <v>0.6</v>
      </c>
      <c r="R14" s="510" t="s">
        <v>742</v>
      </c>
      <c r="S14" s="536" t="s">
        <v>310</v>
      </c>
      <c r="T14" s="576" t="s">
        <v>391</v>
      </c>
      <c r="U14" s="537"/>
      <c r="V14" s="536" t="s">
        <v>310</v>
      </c>
      <c r="W14" s="670"/>
      <c r="X14" s="671"/>
      <c r="Z14" s="509" t="s">
        <v>314</v>
      </c>
      <c r="AA14" s="509" t="s">
        <v>314</v>
      </c>
      <c r="AB14" s="508"/>
      <c r="AC14" s="510" t="s">
        <v>178</v>
      </c>
      <c r="AD14" s="513"/>
      <c r="AO14" s="672"/>
    </row>
    <row r="15" spans="1:63" ht="12.75" customHeight="1">
      <c r="B15" s="92"/>
      <c r="C15" s="131"/>
      <c r="D15" s="155"/>
      <c r="E15" s="155"/>
      <c r="F15" s="155"/>
      <c r="G15" s="155"/>
      <c r="H15" s="543"/>
      <c r="I15" s="544"/>
      <c r="J15" s="544"/>
      <c r="K15" s="545"/>
      <c r="L15" s="542"/>
      <c r="M15" s="545"/>
      <c r="N15" s="155"/>
      <c r="O15" s="546"/>
      <c r="P15" s="547"/>
      <c r="Q15" s="547"/>
      <c r="R15" s="547"/>
      <c r="S15" s="548"/>
      <c r="T15" s="547"/>
      <c r="U15" s="549"/>
      <c r="V15" s="548"/>
      <c r="W15" s="136"/>
      <c r="X15" s="97"/>
      <c r="AD15" s="391"/>
      <c r="AL15" s="68"/>
      <c r="AM15" s="68"/>
      <c r="AO15" s="395"/>
    </row>
    <row r="16" spans="1:63" ht="12.75" customHeight="1">
      <c r="B16" s="92"/>
      <c r="C16" s="131"/>
      <c r="D16" s="169"/>
      <c r="E16" s="169" t="s">
        <v>809</v>
      </c>
      <c r="F16" s="169" t="s">
        <v>809</v>
      </c>
      <c r="G16" s="170"/>
      <c r="H16" s="566">
        <v>18264</v>
      </c>
      <c r="I16" s="170" t="s">
        <v>322</v>
      </c>
      <c r="J16" s="567">
        <v>15</v>
      </c>
      <c r="K16" s="568">
        <v>1</v>
      </c>
      <c r="L16" s="569"/>
      <c r="M16" s="570">
        <f>IF(L16=0,K16,K16-L16)</f>
        <v>1</v>
      </c>
      <c r="N16" s="155"/>
      <c r="O16" s="571">
        <f>IF(I16="","",VLOOKUP(I16,tab!$A$119:$V$159,J16+3,FALSE))</f>
        <v>3597</v>
      </c>
      <c r="P16" s="572">
        <f>IF(E16=0,0,O16*M16*12)</f>
        <v>43164</v>
      </c>
      <c r="Q16" s="589">
        <f>$Q$14</f>
        <v>0.6</v>
      </c>
      <c r="R16" s="573">
        <f>IF(E16=0,"",(P16)*Q16)</f>
        <v>25898.399999999998</v>
      </c>
      <c r="S16" s="332">
        <f>IF(L16="",0,O16*12*L16*(1+tab!$D$108)*tab!$E$110)</f>
        <v>0</v>
      </c>
      <c r="T16" s="580">
        <f>IF(E16=0,0,(P16+R16+S16))</f>
        <v>69062.399999999994</v>
      </c>
      <c r="U16" s="243">
        <f>IF(G16&lt;25,0,IF(G16=25,25,IF(G16&lt;40,0,IF(G16=40,40,IF(G16&gt;=40,0)))))</f>
        <v>0</v>
      </c>
      <c r="V16" s="332">
        <f>IF(U16=25,O16*1.08*K16/2,IF(U16=40,O16*1.08*K16,0))</f>
        <v>0</v>
      </c>
      <c r="W16" s="553"/>
      <c r="X16" s="480"/>
      <c r="Y16" s="395"/>
      <c r="Z16" s="647" t="b">
        <f t="shared" ref="Z16:Z47" si="0">DATE(YEAR($E$9),MONTH(H16),DAY(H16))&gt;$E$9</f>
        <v>0</v>
      </c>
      <c r="AA16" s="85">
        <f t="shared" ref="AA16:AA47" si="1">YEAR($E$9)-YEAR(H16)-Z16</f>
        <v>62</v>
      </c>
      <c r="AB16" s="67">
        <f t="shared" ref="AB16:AB47" si="2">IF((H16=""),30,AA16)</f>
        <v>62</v>
      </c>
      <c r="AC16" s="67">
        <f>IF(AB16&gt;50,50,AB16)</f>
        <v>50</v>
      </c>
      <c r="AD16" s="84">
        <f>AC16*K16</f>
        <v>50</v>
      </c>
      <c r="AL16" s="68"/>
      <c r="AM16" s="68"/>
      <c r="AN16" s="395"/>
      <c r="AO16" s="254"/>
    </row>
    <row r="17" spans="2:41" ht="12.75" customHeight="1">
      <c r="B17" s="92"/>
      <c r="C17" s="131"/>
      <c r="D17" s="169"/>
      <c r="E17" s="169"/>
      <c r="F17" s="169"/>
      <c r="G17" s="170"/>
      <c r="H17" s="566"/>
      <c r="I17" s="170"/>
      <c r="J17" s="567"/>
      <c r="K17" s="568"/>
      <c r="L17" s="569"/>
      <c r="M17" s="570">
        <f t="shared" ref="M17:M47" si="3">(IF(L17=0,(K17),(K17)-L17))</f>
        <v>0</v>
      </c>
      <c r="N17" s="155"/>
      <c r="O17" s="571" t="str">
        <f>IF(I17="","",VLOOKUP(I17,tab!$A$119:$V$159,J17+3,FALSE))</f>
        <v/>
      </c>
      <c r="P17" s="572">
        <f t="shared" ref="P17:P48" si="4">IF(E17=0,0,(O17*M17*12))</f>
        <v>0</v>
      </c>
      <c r="Q17" s="589">
        <f t="shared" ref="Q17:Q80" si="5">$Q$14</f>
        <v>0.6</v>
      </c>
      <c r="R17" s="573" t="str">
        <f t="shared" ref="R17:R80" si="6">IF(E17=0,"",(P17)*Q17)</f>
        <v/>
      </c>
      <c r="S17" s="332">
        <f>IF(L17="",0,O17*12*L17*(1+tab!$D$108)*tab!$E$110)</f>
        <v>0</v>
      </c>
      <c r="T17" s="580">
        <f t="shared" ref="T17:T80" si="7">IF(E17=0,0,(P17+R17+S17))</f>
        <v>0</v>
      </c>
      <c r="U17" s="243">
        <f t="shared" ref="U17:U80" si="8">IF(G17&lt;25,0,IF(G17=25,25,IF(G17&lt;40,0,IF(G17=40,40,IF(G17&gt;=40,0)))))</f>
        <v>0</v>
      </c>
      <c r="V17" s="332">
        <f t="shared" ref="V17:V48" si="9">IF(U17=25,(O17*1.08*(K17)/2),IF(U17=40,(O17*1.08*(K17)),IF(U17=0,0)))</f>
        <v>0</v>
      </c>
      <c r="W17" s="553"/>
      <c r="X17" s="480"/>
      <c r="Y17" s="395"/>
      <c r="Z17" s="647" t="b">
        <f t="shared" si="0"/>
        <v>0</v>
      </c>
      <c r="AA17" s="85">
        <f t="shared" si="1"/>
        <v>112</v>
      </c>
      <c r="AB17" s="67">
        <f t="shared" si="2"/>
        <v>30</v>
      </c>
      <c r="AC17" s="67">
        <f t="shared" ref="AC17:AC47" si="10">IF((AB17)&gt;50,50,(AB17))</f>
        <v>30</v>
      </c>
      <c r="AD17" s="84">
        <f t="shared" ref="AD17:AD48" si="11">(AC17*(SUM(K17:K17)))</f>
        <v>0</v>
      </c>
      <c r="AL17" s="68"/>
      <c r="AM17" s="68"/>
      <c r="AN17" s="395"/>
      <c r="AO17" s="254"/>
    </row>
    <row r="18" spans="2:41" ht="12.75" customHeight="1">
      <c r="B18" s="92"/>
      <c r="C18" s="131"/>
      <c r="D18" s="169"/>
      <c r="E18" s="169"/>
      <c r="F18" s="169"/>
      <c r="G18" s="170"/>
      <c r="H18" s="566"/>
      <c r="I18" s="170"/>
      <c r="J18" s="567"/>
      <c r="K18" s="568"/>
      <c r="L18" s="569"/>
      <c r="M18" s="570">
        <f t="shared" si="3"/>
        <v>0</v>
      </c>
      <c r="N18" s="155"/>
      <c r="O18" s="571" t="str">
        <f>IF(I18="","",VLOOKUP(I18,tab!$A$119:$V$159,J18+3,FALSE))</f>
        <v/>
      </c>
      <c r="P18" s="572">
        <f t="shared" si="4"/>
        <v>0</v>
      </c>
      <c r="Q18" s="589">
        <f t="shared" si="5"/>
        <v>0.6</v>
      </c>
      <c r="R18" s="573" t="str">
        <f t="shared" si="6"/>
        <v/>
      </c>
      <c r="S18" s="332">
        <f>IF(L18="",0,O18*12*L18*(1+tab!$D$108)*tab!$E$110)</f>
        <v>0</v>
      </c>
      <c r="T18" s="580">
        <f t="shared" si="7"/>
        <v>0</v>
      </c>
      <c r="U18" s="243">
        <f t="shared" si="8"/>
        <v>0</v>
      </c>
      <c r="V18" s="332">
        <f t="shared" si="9"/>
        <v>0</v>
      </c>
      <c r="W18" s="554"/>
      <c r="X18" s="481"/>
      <c r="Y18" s="397"/>
      <c r="Z18" s="647" t="b">
        <f t="shared" si="0"/>
        <v>0</v>
      </c>
      <c r="AA18" s="85">
        <f t="shared" si="1"/>
        <v>112</v>
      </c>
      <c r="AB18" s="67">
        <f t="shared" si="2"/>
        <v>30</v>
      </c>
      <c r="AC18" s="67">
        <f t="shared" si="10"/>
        <v>30</v>
      </c>
      <c r="AD18" s="84">
        <f t="shared" si="11"/>
        <v>0</v>
      </c>
      <c r="AL18" s="68"/>
      <c r="AM18" s="68"/>
      <c r="AN18" s="254"/>
      <c r="AO18" s="395"/>
    </row>
    <row r="19" spans="2:41" ht="12.75" customHeight="1">
      <c r="B19" s="92"/>
      <c r="C19" s="131"/>
      <c r="D19" s="169"/>
      <c r="E19" s="169"/>
      <c r="F19" s="169"/>
      <c r="G19" s="170"/>
      <c r="H19" s="566"/>
      <c r="I19" s="170"/>
      <c r="J19" s="567"/>
      <c r="K19" s="568"/>
      <c r="L19" s="569"/>
      <c r="M19" s="570">
        <f t="shared" si="3"/>
        <v>0</v>
      </c>
      <c r="N19" s="155"/>
      <c r="O19" s="571" t="str">
        <f>IF(I19="","",VLOOKUP(I19,tab!$A$119:$V$159,J19+3,FALSE))</f>
        <v/>
      </c>
      <c r="P19" s="572">
        <f t="shared" si="4"/>
        <v>0</v>
      </c>
      <c r="Q19" s="589">
        <f t="shared" si="5"/>
        <v>0.6</v>
      </c>
      <c r="R19" s="573" t="str">
        <f t="shared" si="6"/>
        <v/>
      </c>
      <c r="S19" s="332">
        <f>IF(L19="",0,O19*12*L19*(1+tab!$D$108)*tab!$E$110)</f>
        <v>0</v>
      </c>
      <c r="T19" s="580">
        <f t="shared" si="7"/>
        <v>0</v>
      </c>
      <c r="U19" s="243">
        <f t="shared" si="8"/>
        <v>0</v>
      </c>
      <c r="V19" s="332">
        <f t="shared" si="9"/>
        <v>0</v>
      </c>
      <c r="W19" s="554"/>
      <c r="X19" s="481"/>
      <c r="Y19" s="397"/>
      <c r="Z19" s="647" t="b">
        <f t="shared" si="0"/>
        <v>0</v>
      </c>
      <c r="AA19" s="85">
        <f t="shared" si="1"/>
        <v>112</v>
      </c>
      <c r="AB19" s="67">
        <f t="shared" si="2"/>
        <v>30</v>
      </c>
      <c r="AC19" s="67">
        <f t="shared" si="10"/>
        <v>30</v>
      </c>
      <c r="AD19" s="84">
        <f t="shared" si="11"/>
        <v>0</v>
      </c>
      <c r="AL19" s="68"/>
      <c r="AM19" s="68"/>
      <c r="AN19" s="254"/>
      <c r="AO19" s="395"/>
    </row>
    <row r="20" spans="2:41" ht="12.75" customHeight="1">
      <c r="B20" s="92"/>
      <c r="C20" s="131"/>
      <c r="D20" s="169"/>
      <c r="E20" s="169"/>
      <c r="F20" s="169"/>
      <c r="G20" s="170"/>
      <c r="H20" s="566"/>
      <c r="I20" s="170"/>
      <c r="J20" s="567"/>
      <c r="K20" s="568"/>
      <c r="L20" s="569"/>
      <c r="M20" s="570">
        <f t="shared" si="3"/>
        <v>0</v>
      </c>
      <c r="N20" s="155"/>
      <c r="O20" s="571" t="str">
        <f>IF(I20="","",VLOOKUP(I20,tab!$A$119:$V$159,J20+3,FALSE))</f>
        <v/>
      </c>
      <c r="P20" s="572">
        <f t="shared" si="4"/>
        <v>0</v>
      </c>
      <c r="Q20" s="589">
        <f t="shared" si="5"/>
        <v>0.6</v>
      </c>
      <c r="R20" s="573" t="str">
        <f t="shared" si="6"/>
        <v/>
      </c>
      <c r="S20" s="332">
        <f>IF(L20="",0,O20*12*L20*(1+tab!$D$108)*tab!$E$110)</f>
        <v>0</v>
      </c>
      <c r="T20" s="580">
        <f t="shared" si="7"/>
        <v>0</v>
      </c>
      <c r="U20" s="243">
        <f t="shared" si="8"/>
        <v>0</v>
      </c>
      <c r="V20" s="332">
        <f t="shared" si="9"/>
        <v>0</v>
      </c>
      <c r="W20" s="553"/>
      <c r="X20" s="480"/>
      <c r="Y20" s="395"/>
      <c r="Z20" s="647" t="b">
        <f t="shared" si="0"/>
        <v>0</v>
      </c>
      <c r="AA20" s="85">
        <f t="shared" si="1"/>
        <v>112</v>
      </c>
      <c r="AB20" s="67">
        <f t="shared" si="2"/>
        <v>30</v>
      </c>
      <c r="AC20" s="67">
        <f t="shared" si="10"/>
        <v>30</v>
      </c>
      <c r="AD20" s="84">
        <f t="shared" si="11"/>
        <v>0</v>
      </c>
      <c r="AL20" s="68"/>
      <c r="AM20" s="68"/>
      <c r="AN20" s="395"/>
    </row>
    <row r="21" spans="2:41" ht="12.75" customHeight="1">
      <c r="B21" s="92"/>
      <c r="C21" s="131"/>
      <c r="D21" s="169"/>
      <c r="E21" s="169"/>
      <c r="F21" s="169"/>
      <c r="G21" s="170"/>
      <c r="H21" s="566"/>
      <c r="I21" s="170"/>
      <c r="J21" s="567"/>
      <c r="K21" s="568"/>
      <c r="L21" s="569"/>
      <c r="M21" s="570">
        <f t="shared" si="3"/>
        <v>0</v>
      </c>
      <c r="N21" s="155"/>
      <c r="O21" s="571" t="str">
        <f>IF(I21="","",VLOOKUP(I21,tab!$A$119:$V$159,J21+3,FALSE))</f>
        <v/>
      </c>
      <c r="P21" s="572">
        <f t="shared" si="4"/>
        <v>0</v>
      </c>
      <c r="Q21" s="589">
        <f t="shared" si="5"/>
        <v>0.6</v>
      </c>
      <c r="R21" s="573" t="str">
        <f t="shared" si="6"/>
        <v/>
      </c>
      <c r="S21" s="332">
        <f>IF(L21="",0,O21*12*L21*(1+tab!$D$108)*tab!$E$110)</f>
        <v>0</v>
      </c>
      <c r="T21" s="580">
        <f t="shared" si="7"/>
        <v>0</v>
      </c>
      <c r="U21" s="243">
        <f t="shared" si="8"/>
        <v>0</v>
      </c>
      <c r="V21" s="332">
        <f t="shared" si="9"/>
        <v>0</v>
      </c>
      <c r="W21" s="553"/>
      <c r="X21" s="480"/>
      <c r="Y21" s="395"/>
      <c r="Z21" s="647" t="b">
        <f t="shared" si="0"/>
        <v>0</v>
      </c>
      <c r="AA21" s="85">
        <f t="shared" si="1"/>
        <v>112</v>
      </c>
      <c r="AB21" s="67">
        <f t="shared" si="2"/>
        <v>30</v>
      </c>
      <c r="AC21" s="67">
        <f t="shared" si="10"/>
        <v>30</v>
      </c>
      <c r="AD21" s="84">
        <f t="shared" si="11"/>
        <v>0</v>
      </c>
      <c r="AL21" s="68"/>
      <c r="AM21" s="68"/>
      <c r="AN21" s="395"/>
    </row>
    <row r="22" spans="2:41" ht="12.75" customHeight="1">
      <c r="B22" s="92"/>
      <c r="C22" s="131"/>
      <c r="D22" s="169"/>
      <c r="E22" s="169"/>
      <c r="F22" s="169"/>
      <c r="G22" s="170"/>
      <c r="H22" s="566"/>
      <c r="I22" s="170"/>
      <c r="J22" s="567"/>
      <c r="K22" s="568"/>
      <c r="L22" s="569"/>
      <c r="M22" s="570">
        <f t="shared" si="3"/>
        <v>0</v>
      </c>
      <c r="N22" s="155"/>
      <c r="O22" s="571" t="str">
        <f>IF(I22="","",VLOOKUP(I22,tab!$A$119:$V$159,J22+3,FALSE))</f>
        <v/>
      </c>
      <c r="P22" s="572">
        <f t="shared" si="4"/>
        <v>0</v>
      </c>
      <c r="Q22" s="589">
        <f t="shared" si="5"/>
        <v>0.6</v>
      </c>
      <c r="R22" s="573" t="str">
        <f t="shared" si="6"/>
        <v/>
      </c>
      <c r="S22" s="332">
        <f>IF(L22="",0,O22*12*L22*(1+tab!$D$108)*tab!$E$110)</f>
        <v>0</v>
      </c>
      <c r="T22" s="580">
        <f t="shared" si="7"/>
        <v>0</v>
      </c>
      <c r="U22" s="243">
        <f t="shared" si="8"/>
        <v>0</v>
      </c>
      <c r="V22" s="332">
        <f t="shared" si="9"/>
        <v>0</v>
      </c>
      <c r="W22" s="136"/>
      <c r="X22" s="97"/>
      <c r="Z22" s="647" t="b">
        <f t="shared" si="0"/>
        <v>0</v>
      </c>
      <c r="AA22" s="85">
        <f t="shared" si="1"/>
        <v>112</v>
      </c>
      <c r="AB22" s="67">
        <f t="shared" si="2"/>
        <v>30</v>
      </c>
      <c r="AC22" s="67">
        <f t="shared" si="10"/>
        <v>30</v>
      </c>
      <c r="AD22" s="84">
        <f t="shared" si="11"/>
        <v>0</v>
      </c>
      <c r="AL22" s="68"/>
      <c r="AM22" s="68"/>
    </row>
    <row r="23" spans="2:41" ht="12.75" customHeight="1">
      <c r="B23" s="92"/>
      <c r="C23" s="131"/>
      <c r="D23" s="169"/>
      <c r="E23" s="169"/>
      <c r="F23" s="169"/>
      <c r="G23" s="170"/>
      <c r="H23" s="566"/>
      <c r="I23" s="170"/>
      <c r="J23" s="567"/>
      <c r="K23" s="568"/>
      <c r="L23" s="569"/>
      <c r="M23" s="570">
        <f t="shared" si="3"/>
        <v>0</v>
      </c>
      <c r="N23" s="155"/>
      <c r="O23" s="571" t="str">
        <f>IF(I23="","",VLOOKUP(I23,tab!$A$119:$V$159,J23+3,FALSE))</f>
        <v/>
      </c>
      <c r="P23" s="572">
        <f t="shared" si="4"/>
        <v>0</v>
      </c>
      <c r="Q23" s="589">
        <f t="shared" si="5"/>
        <v>0.6</v>
      </c>
      <c r="R23" s="573" t="str">
        <f t="shared" si="6"/>
        <v/>
      </c>
      <c r="S23" s="332">
        <f>IF(L23="",0,O23*12*L23*(1+tab!$D$108)*tab!$E$110)</f>
        <v>0</v>
      </c>
      <c r="T23" s="580">
        <f t="shared" si="7"/>
        <v>0</v>
      </c>
      <c r="U23" s="243">
        <f t="shared" si="8"/>
        <v>0</v>
      </c>
      <c r="V23" s="332">
        <f t="shared" si="9"/>
        <v>0</v>
      </c>
      <c r="W23" s="136"/>
      <c r="X23" s="97"/>
      <c r="Z23" s="647" t="b">
        <f t="shared" si="0"/>
        <v>0</v>
      </c>
      <c r="AA23" s="85">
        <f t="shared" si="1"/>
        <v>112</v>
      </c>
      <c r="AB23" s="67">
        <f t="shared" si="2"/>
        <v>30</v>
      </c>
      <c r="AC23" s="67">
        <f t="shared" si="10"/>
        <v>30</v>
      </c>
      <c r="AD23" s="84">
        <f t="shared" si="11"/>
        <v>0</v>
      </c>
    </row>
    <row r="24" spans="2:41" ht="12.75" customHeight="1">
      <c r="B24" s="92"/>
      <c r="C24" s="131"/>
      <c r="D24" s="169"/>
      <c r="E24" s="169"/>
      <c r="F24" s="169"/>
      <c r="G24" s="170"/>
      <c r="H24" s="566"/>
      <c r="I24" s="170"/>
      <c r="J24" s="567"/>
      <c r="K24" s="568"/>
      <c r="L24" s="569"/>
      <c r="M24" s="570">
        <f t="shared" si="3"/>
        <v>0</v>
      </c>
      <c r="N24" s="155"/>
      <c r="O24" s="571" t="str">
        <f>IF(I24="","",VLOOKUP(I24,tab!$A$119:$V$159,J24+3,FALSE))</f>
        <v/>
      </c>
      <c r="P24" s="572">
        <f t="shared" si="4"/>
        <v>0</v>
      </c>
      <c r="Q24" s="589">
        <f t="shared" si="5"/>
        <v>0.6</v>
      </c>
      <c r="R24" s="573" t="str">
        <f t="shared" si="6"/>
        <v/>
      </c>
      <c r="S24" s="332">
        <f>IF(L24="",0,O24*12*L24*(1+tab!$D$108)*tab!$E$110)</f>
        <v>0</v>
      </c>
      <c r="T24" s="580">
        <f t="shared" si="7"/>
        <v>0</v>
      </c>
      <c r="U24" s="243">
        <f t="shared" si="8"/>
        <v>0</v>
      </c>
      <c r="V24" s="332">
        <f t="shared" si="9"/>
        <v>0</v>
      </c>
      <c r="W24" s="136"/>
      <c r="X24" s="97"/>
      <c r="Z24" s="647" t="b">
        <f t="shared" si="0"/>
        <v>0</v>
      </c>
      <c r="AA24" s="85">
        <f t="shared" si="1"/>
        <v>112</v>
      </c>
      <c r="AB24" s="67">
        <f t="shared" si="2"/>
        <v>30</v>
      </c>
      <c r="AC24" s="67">
        <f t="shared" si="10"/>
        <v>30</v>
      </c>
      <c r="AD24" s="84">
        <f t="shared" si="11"/>
        <v>0</v>
      </c>
    </row>
    <row r="25" spans="2:41" ht="12.75" customHeight="1">
      <c r="B25" s="92"/>
      <c r="C25" s="131"/>
      <c r="D25" s="169"/>
      <c r="E25" s="169"/>
      <c r="F25" s="169"/>
      <c r="G25" s="170"/>
      <c r="H25" s="566"/>
      <c r="I25" s="170"/>
      <c r="J25" s="567"/>
      <c r="K25" s="568"/>
      <c r="L25" s="569"/>
      <c r="M25" s="570">
        <f t="shared" si="3"/>
        <v>0</v>
      </c>
      <c r="N25" s="155"/>
      <c r="O25" s="571" t="str">
        <f>IF(I25="","",VLOOKUP(I25,tab!$A$119:$V$159,J25+3,FALSE))</f>
        <v/>
      </c>
      <c r="P25" s="572">
        <f t="shared" si="4"/>
        <v>0</v>
      </c>
      <c r="Q25" s="589">
        <f t="shared" si="5"/>
        <v>0.6</v>
      </c>
      <c r="R25" s="573" t="str">
        <f t="shared" si="6"/>
        <v/>
      </c>
      <c r="S25" s="332">
        <f>IF(L25="",0,O25*12*L25*(1+tab!$D$108)*tab!$E$110)</f>
        <v>0</v>
      </c>
      <c r="T25" s="580">
        <f t="shared" si="7"/>
        <v>0</v>
      </c>
      <c r="U25" s="243">
        <f t="shared" si="8"/>
        <v>0</v>
      </c>
      <c r="V25" s="332">
        <f t="shared" si="9"/>
        <v>0</v>
      </c>
      <c r="W25" s="136"/>
      <c r="X25" s="97"/>
      <c r="Z25" s="647" t="b">
        <f t="shared" si="0"/>
        <v>0</v>
      </c>
      <c r="AA25" s="85">
        <f t="shared" si="1"/>
        <v>112</v>
      </c>
      <c r="AB25" s="67">
        <f t="shared" si="2"/>
        <v>30</v>
      </c>
      <c r="AC25" s="67">
        <f t="shared" si="10"/>
        <v>30</v>
      </c>
      <c r="AD25" s="84">
        <f t="shared" si="11"/>
        <v>0</v>
      </c>
    </row>
    <row r="26" spans="2:41" ht="12.75" customHeight="1">
      <c r="B26" s="92"/>
      <c r="C26" s="131"/>
      <c r="D26" s="169"/>
      <c r="E26" s="169"/>
      <c r="F26" s="169"/>
      <c r="G26" s="170"/>
      <c r="H26" s="566"/>
      <c r="I26" s="170"/>
      <c r="J26" s="567"/>
      <c r="K26" s="568"/>
      <c r="L26" s="569"/>
      <c r="M26" s="570">
        <f t="shared" si="3"/>
        <v>0</v>
      </c>
      <c r="N26" s="155"/>
      <c r="O26" s="571" t="str">
        <f>IF(I26="","",VLOOKUP(I26,tab!$A$119:$V$159,J26+3,FALSE))</f>
        <v/>
      </c>
      <c r="P26" s="572">
        <f t="shared" si="4"/>
        <v>0</v>
      </c>
      <c r="Q26" s="589">
        <f t="shared" si="5"/>
        <v>0.6</v>
      </c>
      <c r="R26" s="573" t="str">
        <f t="shared" si="6"/>
        <v/>
      </c>
      <c r="S26" s="332">
        <f>IF(L26="",0,O26*12*L26*(1+tab!$D$108)*tab!$E$110)</f>
        <v>0</v>
      </c>
      <c r="T26" s="580">
        <f t="shared" si="7"/>
        <v>0</v>
      </c>
      <c r="U26" s="243">
        <f t="shared" si="8"/>
        <v>0</v>
      </c>
      <c r="V26" s="332">
        <f t="shared" si="9"/>
        <v>0</v>
      </c>
      <c r="W26" s="136"/>
      <c r="X26" s="97"/>
      <c r="Z26" s="647" t="b">
        <f t="shared" si="0"/>
        <v>0</v>
      </c>
      <c r="AA26" s="85">
        <f t="shared" si="1"/>
        <v>112</v>
      </c>
      <c r="AB26" s="67">
        <f t="shared" si="2"/>
        <v>30</v>
      </c>
      <c r="AC26" s="67">
        <f t="shared" si="10"/>
        <v>30</v>
      </c>
      <c r="AD26" s="84">
        <f t="shared" si="11"/>
        <v>0</v>
      </c>
    </row>
    <row r="27" spans="2:41" ht="12.75" customHeight="1">
      <c r="B27" s="92"/>
      <c r="C27" s="131"/>
      <c r="D27" s="169"/>
      <c r="E27" s="169"/>
      <c r="F27" s="169"/>
      <c r="G27" s="170"/>
      <c r="H27" s="566"/>
      <c r="I27" s="170"/>
      <c r="J27" s="567"/>
      <c r="K27" s="568"/>
      <c r="L27" s="569"/>
      <c r="M27" s="570">
        <f t="shared" si="3"/>
        <v>0</v>
      </c>
      <c r="N27" s="155"/>
      <c r="O27" s="571" t="str">
        <f>IF(I27="","",VLOOKUP(I27,tab!$A$119:$V$159,J27+3,FALSE))</f>
        <v/>
      </c>
      <c r="P27" s="572">
        <f t="shared" si="4"/>
        <v>0</v>
      </c>
      <c r="Q27" s="589">
        <f t="shared" si="5"/>
        <v>0.6</v>
      </c>
      <c r="R27" s="573" t="str">
        <f t="shared" si="6"/>
        <v/>
      </c>
      <c r="S27" s="332">
        <f>IF(L27="",0,O27*12*L27*(1+tab!$D$108)*tab!$E$110)</f>
        <v>0</v>
      </c>
      <c r="T27" s="580">
        <f t="shared" si="7"/>
        <v>0</v>
      </c>
      <c r="U27" s="243">
        <f t="shared" si="8"/>
        <v>0</v>
      </c>
      <c r="V27" s="332">
        <f t="shared" si="9"/>
        <v>0</v>
      </c>
      <c r="W27" s="136"/>
      <c r="X27" s="97"/>
      <c r="Z27" s="647" t="b">
        <f t="shared" si="0"/>
        <v>0</v>
      </c>
      <c r="AA27" s="85">
        <f t="shared" si="1"/>
        <v>112</v>
      </c>
      <c r="AB27" s="67">
        <f t="shared" si="2"/>
        <v>30</v>
      </c>
      <c r="AC27" s="67">
        <f t="shared" si="10"/>
        <v>30</v>
      </c>
      <c r="AD27" s="84">
        <f t="shared" si="11"/>
        <v>0</v>
      </c>
    </row>
    <row r="28" spans="2:41" ht="12.75" customHeight="1">
      <c r="B28" s="92"/>
      <c r="C28" s="131"/>
      <c r="D28" s="169"/>
      <c r="E28" s="169"/>
      <c r="F28" s="169"/>
      <c r="G28" s="170"/>
      <c r="H28" s="566"/>
      <c r="I28" s="170"/>
      <c r="J28" s="567"/>
      <c r="K28" s="568"/>
      <c r="L28" s="569"/>
      <c r="M28" s="570">
        <f t="shared" si="3"/>
        <v>0</v>
      </c>
      <c r="N28" s="155"/>
      <c r="O28" s="571" t="str">
        <f>IF(I28="","",VLOOKUP(I28,tab!$A$119:$V$159,J28+3,FALSE))</f>
        <v/>
      </c>
      <c r="P28" s="572">
        <f t="shared" si="4"/>
        <v>0</v>
      </c>
      <c r="Q28" s="589">
        <f t="shared" si="5"/>
        <v>0.6</v>
      </c>
      <c r="R28" s="573" t="str">
        <f t="shared" si="6"/>
        <v/>
      </c>
      <c r="S28" s="332">
        <f>IF(L28="",0,O28*12*L28*(1+tab!$D$108)*tab!$E$110)</f>
        <v>0</v>
      </c>
      <c r="T28" s="580">
        <f t="shared" si="7"/>
        <v>0</v>
      </c>
      <c r="U28" s="243">
        <f t="shared" si="8"/>
        <v>0</v>
      </c>
      <c r="V28" s="332">
        <f t="shared" si="9"/>
        <v>0</v>
      </c>
      <c r="W28" s="136"/>
      <c r="X28" s="97"/>
      <c r="Z28" s="647" t="b">
        <f t="shared" si="0"/>
        <v>0</v>
      </c>
      <c r="AA28" s="85">
        <f t="shared" si="1"/>
        <v>112</v>
      </c>
      <c r="AB28" s="67">
        <f t="shared" si="2"/>
        <v>30</v>
      </c>
      <c r="AC28" s="67">
        <f t="shared" si="10"/>
        <v>30</v>
      </c>
      <c r="AD28" s="84">
        <f t="shared" si="11"/>
        <v>0</v>
      </c>
    </row>
    <row r="29" spans="2:41" ht="12.75" customHeight="1">
      <c r="B29" s="92"/>
      <c r="C29" s="131"/>
      <c r="D29" s="169"/>
      <c r="E29" s="169"/>
      <c r="F29" s="169"/>
      <c r="G29" s="170"/>
      <c r="H29" s="566"/>
      <c r="I29" s="170"/>
      <c r="J29" s="567"/>
      <c r="K29" s="568"/>
      <c r="L29" s="569"/>
      <c r="M29" s="570">
        <f t="shared" si="3"/>
        <v>0</v>
      </c>
      <c r="N29" s="155"/>
      <c r="O29" s="571" t="str">
        <f>IF(I29="","",VLOOKUP(I29,tab!$A$119:$V$159,J29+3,FALSE))</f>
        <v/>
      </c>
      <c r="P29" s="572">
        <f t="shared" si="4"/>
        <v>0</v>
      </c>
      <c r="Q29" s="589">
        <f t="shared" si="5"/>
        <v>0.6</v>
      </c>
      <c r="R29" s="573" t="str">
        <f t="shared" si="6"/>
        <v/>
      </c>
      <c r="S29" s="332">
        <f>IF(L29="",0,O29*12*L29*(1+tab!$D$108)*tab!$E$110)</f>
        <v>0</v>
      </c>
      <c r="T29" s="580">
        <f t="shared" si="7"/>
        <v>0</v>
      </c>
      <c r="U29" s="243">
        <f t="shared" si="8"/>
        <v>0</v>
      </c>
      <c r="V29" s="332">
        <f t="shared" si="9"/>
        <v>0</v>
      </c>
      <c r="W29" s="136"/>
      <c r="X29" s="97"/>
      <c r="Z29" s="647" t="b">
        <f t="shared" si="0"/>
        <v>0</v>
      </c>
      <c r="AA29" s="85">
        <f t="shared" si="1"/>
        <v>112</v>
      </c>
      <c r="AB29" s="67">
        <f t="shared" si="2"/>
        <v>30</v>
      </c>
      <c r="AC29" s="67">
        <f t="shared" si="10"/>
        <v>30</v>
      </c>
      <c r="AD29" s="84">
        <f t="shared" si="11"/>
        <v>0</v>
      </c>
    </row>
    <row r="30" spans="2:41" ht="12.75" customHeight="1">
      <c r="B30" s="92"/>
      <c r="C30" s="131"/>
      <c r="D30" s="169"/>
      <c r="E30" s="169"/>
      <c r="F30" s="169"/>
      <c r="G30" s="170"/>
      <c r="H30" s="566"/>
      <c r="I30" s="170"/>
      <c r="J30" s="567"/>
      <c r="K30" s="568"/>
      <c r="L30" s="569"/>
      <c r="M30" s="570">
        <f t="shared" si="3"/>
        <v>0</v>
      </c>
      <c r="N30" s="155"/>
      <c r="O30" s="571" t="str">
        <f>IF(I30="","",VLOOKUP(I30,tab!$A$119:$V$159,J30+3,FALSE))</f>
        <v/>
      </c>
      <c r="P30" s="572">
        <f t="shared" si="4"/>
        <v>0</v>
      </c>
      <c r="Q30" s="589">
        <f t="shared" si="5"/>
        <v>0.6</v>
      </c>
      <c r="R30" s="573" t="str">
        <f t="shared" si="6"/>
        <v/>
      </c>
      <c r="S30" s="332">
        <f>IF(L30="",0,O30*12*L30*(1+tab!$D$108)*tab!$E$110)</f>
        <v>0</v>
      </c>
      <c r="T30" s="580">
        <f t="shared" si="7"/>
        <v>0</v>
      </c>
      <c r="U30" s="243">
        <f t="shared" si="8"/>
        <v>0</v>
      </c>
      <c r="V30" s="332">
        <f t="shared" si="9"/>
        <v>0</v>
      </c>
      <c r="W30" s="136"/>
      <c r="X30" s="97"/>
      <c r="Z30" s="647" t="b">
        <f t="shared" si="0"/>
        <v>0</v>
      </c>
      <c r="AA30" s="85">
        <f t="shared" si="1"/>
        <v>112</v>
      </c>
      <c r="AB30" s="67">
        <f t="shared" si="2"/>
        <v>30</v>
      </c>
      <c r="AC30" s="67">
        <f t="shared" si="10"/>
        <v>30</v>
      </c>
      <c r="AD30" s="84">
        <f t="shared" si="11"/>
        <v>0</v>
      </c>
    </row>
    <row r="31" spans="2:41" ht="12.75" customHeight="1">
      <c r="B31" s="92"/>
      <c r="C31" s="131"/>
      <c r="D31" s="169"/>
      <c r="E31" s="169"/>
      <c r="F31" s="169"/>
      <c r="G31" s="170"/>
      <c r="H31" s="566"/>
      <c r="I31" s="170"/>
      <c r="J31" s="567"/>
      <c r="K31" s="568"/>
      <c r="L31" s="569"/>
      <c r="M31" s="570">
        <f t="shared" si="3"/>
        <v>0</v>
      </c>
      <c r="N31" s="155"/>
      <c r="O31" s="571" t="str">
        <f>IF(I31="","",VLOOKUP(I31,tab!$A$119:$V$159,J31+3,FALSE))</f>
        <v/>
      </c>
      <c r="P31" s="572">
        <f t="shared" si="4"/>
        <v>0</v>
      </c>
      <c r="Q31" s="589">
        <f t="shared" si="5"/>
        <v>0.6</v>
      </c>
      <c r="R31" s="573" t="str">
        <f t="shared" si="6"/>
        <v/>
      </c>
      <c r="S31" s="332">
        <f>IF(L31="",0,O31*12*L31*(1+tab!$D$108)*tab!$E$110)</f>
        <v>0</v>
      </c>
      <c r="T31" s="580">
        <f t="shared" si="7"/>
        <v>0</v>
      </c>
      <c r="U31" s="243">
        <f t="shared" si="8"/>
        <v>0</v>
      </c>
      <c r="V31" s="332">
        <f t="shared" si="9"/>
        <v>0</v>
      </c>
      <c r="W31" s="136"/>
      <c r="X31" s="97"/>
      <c r="Z31" s="647" t="b">
        <f t="shared" si="0"/>
        <v>0</v>
      </c>
      <c r="AA31" s="85">
        <f t="shared" si="1"/>
        <v>112</v>
      </c>
      <c r="AB31" s="67">
        <f t="shared" si="2"/>
        <v>30</v>
      </c>
      <c r="AC31" s="67">
        <f t="shared" si="10"/>
        <v>30</v>
      </c>
      <c r="AD31" s="84">
        <f t="shared" si="11"/>
        <v>0</v>
      </c>
    </row>
    <row r="32" spans="2:41" ht="12.75" customHeight="1">
      <c r="B32" s="92"/>
      <c r="C32" s="131"/>
      <c r="D32" s="169"/>
      <c r="E32" s="169"/>
      <c r="F32" s="169"/>
      <c r="G32" s="170"/>
      <c r="H32" s="566"/>
      <c r="I32" s="170"/>
      <c r="J32" s="567"/>
      <c r="K32" s="568"/>
      <c r="L32" s="569"/>
      <c r="M32" s="570">
        <f t="shared" si="3"/>
        <v>0</v>
      </c>
      <c r="N32" s="155"/>
      <c r="O32" s="571" t="str">
        <f>IF(I32="","",VLOOKUP(I32,tab!$A$119:$V$159,J32+3,FALSE))</f>
        <v/>
      </c>
      <c r="P32" s="572">
        <f t="shared" si="4"/>
        <v>0</v>
      </c>
      <c r="Q32" s="589">
        <f t="shared" si="5"/>
        <v>0.6</v>
      </c>
      <c r="R32" s="573" t="str">
        <f t="shared" si="6"/>
        <v/>
      </c>
      <c r="S32" s="332">
        <f>IF(L32="",0,O32*12*L32*(1+tab!$D$108)*tab!$E$110)</f>
        <v>0</v>
      </c>
      <c r="T32" s="580">
        <f t="shared" si="7"/>
        <v>0</v>
      </c>
      <c r="U32" s="243">
        <f t="shared" si="8"/>
        <v>0</v>
      </c>
      <c r="V32" s="332">
        <f t="shared" si="9"/>
        <v>0</v>
      </c>
      <c r="W32" s="136"/>
      <c r="X32" s="97"/>
      <c r="Z32" s="647" t="b">
        <f t="shared" si="0"/>
        <v>0</v>
      </c>
      <c r="AA32" s="85">
        <f t="shared" si="1"/>
        <v>112</v>
      </c>
      <c r="AB32" s="67">
        <f t="shared" si="2"/>
        <v>30</v>
      </c>
      <c r="AC32" s="67">
        <f t="shared" si="10"/>
        <v>30</v>
      </c>
      <c r="AD32" s="84">
        <f t="shared" si="11"/>
        <v>0</v>
      </c>
    </row>
    <row r="33" spans="2:30" ht="12.75" customHeight="1">
      <c r="B33" s="92"/>
      <c r="C33" s="131"/>
      <c r="D33" s="169"/>
      <c r="E33" s="169"/>
      <c r="F33" s="169"/>
      <c r="G33" s="170"/>
      <c r="H33" s="566"/>
      <c r="I33" s="170"/>
      <c r="J33" s="567"/>
      <c r="K33" s="568"/>
      <c r="L33" s="569"/>
      <c r="M33" s="570">
        <f t="shared" si="3"/>
        <v>0</v>
      </c>
      <c r="N33" s="155"/>
      <c r="O33" s="571" t="str">
        <f>IF(I33="","",VLOOKUP(I33,tab!$A$119:$V$159,J33+3,FALSE))</f>
        <v/>
      </c>
      <c r="P33" s="572">
        <f t="shared" si="4"/>
        <v>0</v>
      </c>
      <c r="Q33" s="589">
        <f t="shared" si="5"/>
        <v>0.6</v>
      </c>
      <c r="R33" s="573" t="str">
        <f t="shared" si="6"/>
        <v/>
      </c>
      <c r="S33" s="332">
        <f>IF(L33="",0,O33*12*L33*(1+tab!$D$108)*tab!$E$110)</f>
        <v>0</v>
      </c>
      <c r="T33" s="580">
        <f t="shared" si="7"/>
        <v>0</v>
      </c>
      <c r="U33" s="243">
        <f t="shared" si="8"/>
        <v>0</v>
      </c>
      <c r="V33" s="332">
        <f t="shared" si="9"/>
        <v>0</v>
      </c>
      <c r="W33" s="136"/>
      <c r="X33" s="97"/>
      <c r="Z33" s="647" t="b">
        <f t="shared" si="0"/>
        <v>0</v>
      </c>
      <c r="AA33" s="85">
        <f t="shared" si="1"/>
        <v>112</v>
      </c>
      <c r="AB33" s="67">
        <f t="shared" si="2"/>
        <v>30</v>
      </c>
      <c r="AC33" s="67">
        <f t="shared" si="10"/>
        <v>30</v>
      </c>
      <c r="AD33" s="84">
        <f t="shared" si="11"/>
        <v>0</v>
      </c>
    </row>
    <row r="34" spans="2:30" ht="12.75" customHeight="1">
      <c r="B34" s="92"/>
      <c r="C34" s="131"/>
      <c r="D34" s="169"/>
      <c r="E34" s="169"/>
      <c r="F34" s="169"/>
      <c r="G34" s="170"/>
      <c r="H34" s="566"/>
      <c r="I34" s="170"/>
      <c r="J34" s="567"/>
      <c r="K34" s="568"/>
      <c r="L34" s="569"/>
      <c r="M34" s="570">
        <f t="shared" si="3"/>
        <v>0</v>
      </c>
      <c r="N34" s="155"/>
      <c r="O34" s="571" t="str">
        <f>IF(I34="","",VLOOKUP(I34,tab!$A$119:$V$159,J34+3,FALSE))</f>
        <v/>
      </c>
      <c r="P34" s="572">
        <f t="shared" si="4"/>
        <v>0</v>
      </c>
      <c r="Q34" s="589">
        <f t="shared" si="5"/>
        <v>0.6</v>
      </c>
      <c r="R34" s="573" t="str">
        <f t="shared" si="6"/>
        <v/>
      </c>
      <c r="S34" s="332">
        <f>IF(L34="",0,O34*12*L34*(1+tab!$D$108)*tab!$E$110)</f>
        <v>0</v>
      </c>
      <c r="T34" s="580">
        <f t="shared" si="7"/>
        <v>0</v>
      </c>
      <c r="U34" s="243">
        <f t="shared" si="8"/>
        <v>0</v>
      </c>
      <c r="V34" s="332">
        <f t="shared" si="9"/>
        <v>0</v>
      </c>
      <c r="W34" s="136"/>
      <c r="X34" s="97"/>
      <c r="Z34" s="647" t="b">
        <f t="shared" si="0"/>
        <v>0</v>
      </c>
      <c r="AA34" s="85">
        <f t="shared" si="1"/>
        <v>112</v>
      </c>
      <c r="AB34" s="67">
        <f t="shared" si="2"/>
        <v>30</v>
      </c>
      <c r="AC34" s="67">
        <f t="shared" si="10"/>
        <v>30</v>
      </c>
      <c r="AD34" s="84">
        <f t="shared" si="11"/>
        <v>0</v>
      </c>
    </row>
    <row r="35" spans="2:30" ht="12.75" customHeight="1">
      <c r="B35" s="92"/>
      <c r="C35" s="131"/>
      <c r="D35" s="169"/>
      <c r="E35" s="169"/>
      <c r="F35" s="169"/>
      <c r="G35" s="170"/>
      <c r="H35" s="566"/>
      <c r="I35" s="170"/>
      <c r="J35" s="567"/>
      <c r="K35" s="568"/>
      <c r="L35" s="569"/>
      <c r="M35" s="570">
        <f t="shared" si="3"/>
        <v>0</v>
      </c>
      <c r="N35" s="155"/>
      <c r="O35" s="571" t="str">
        <f>IF(I35="","",VLOOKUP(I35,tab!$A$119:$V$159,J35+3,FALSE))</f>
        <v/>
      </c>
      <c r="P35" s="572">
        <f t="shared" si="4"/>
        <v>0</v>
      </c>
      <c r="Q35" s="589">
        <f t="shared" si="5"/>
        <v>0.6</v>
      </c>
      <c r="R35" s="573" t="str">
        <f t="shared" si="6"/>
        <v/>
      </c>
      <c r="S35" s="332">
        <f>IF(L35="",0,O35*12*L35*(1+tab!$D$108)*tab!$E$110)</f>
        <v>0</v>
      </c>
      <c r="T35" s="580">
        <f t="shared" si="7"/>
        <v>0</v>
      </c>
      <c r="U35" s="243">
        <f t="shared" si="8"/>
        <v>0</v>
      </c>
      <c r="V35" s="332">
        <f t="shared" si="9"/>
        <v>0</v>
      </c>
      <c r="W35" s="136"/>
      <c r="X35" s="97"/>
      <c r="Z35" s="647" t="b">
        <f t="shared" si="0"/>
        <v>0</v>
      </c>
      <c r="AA35" s="85">
        <f t="shared" si="1"/>
        <v>112</v>
      </c>
      <c r="AB35" s="67">
        <f t="shared" si="2"/>
        <v>30</v>
      </c>
      <c r="AC35" s="67">
        <f t="shared" si="10"/>
        <v>30</v>
      </c>
      <c r="AD35" s="84">
        <f t="shared" si="11"/>
        <v>0</v>
      </c>
    </row>
    <row r="36" spans="2:30" ht="12.75" customHeight="1">
      <c r="B36" s="92"/>
      <c r="C36" s="131"/>
      <c r="D36" s="169"/>
      <c r="E36" s="169"/>
      <c r="F36" s="169"/>
      <c r="G36" s="170"/>
      <c r="H36" s="566"/>
      <c r="I36" s="170"/>
      <c r="J36" s="567"/>
      <c r="K36" s="568"/>
      <c r="L36" s="569"/>
      <c r="M36" s="570">
        <f t="shared" si="3"/>
        <v>0</v>
      </c>
      <c r="N36" s="155"/>
      <c r="O36" s="571" t="str">
        <f>IF(I36="","",VLOOKUP(I36,tab!$A$119:$V$159,J36+3,FALSE))</f>
        <v/>
      </c>
      <c r="P36" s="572">
        <f t="shared" si="4"/>
        <v>0</v>
      </c>
      <c r="Q36" s="589">
        <f t="shared" si="5"/>
        <v>0.6</v>
      </c>
      <c r="R36" s="573" t="str">
        <f t="shared" si="6"/>
        <v/>
      </c>
      <c r="S36" s="332">
        <f>IF(L36="",0,O36*12*L36*(1+tab!$D$108)*tab!$E$110)</f>
        <v>0</v>
      </c>
      <c r="T36" s="580">
        <f t="shared" si="7"/>
        <v>0</v>
      </c>
      <c r="U36" s="243">
        <f t="shared" si="8"/>
        <v>0</v>
      </c>
      <c r="V36" s="332">
        <f t="shared" si="9"/>
        <v>0</v>
      </c>
      <c r="W36" s="136"/>
      <c r="X36" s="97"/>
      <c r="Z36" s="647" t="b">
        <f t="shared" si="0"/>
        <v>0</v>
      </c>
      <c r="AA36" s="85">
        <f t="shared" si="1"/>
        <v>112</v>
      </c>
      <c r="AB36" s="67">
        <f t="shared" si="2"/>
        <v>30</v>
      </c>
      <c r="AC36" s="67">
        <f t="shared" si="10"/>
        <v>30</v>
      </c>
      <c r="AD36" s="84">
        <f t="shared" si="11"/>
        <v>0</v>
      </c>
    </row>
    <row r="37" spans="2:30" ht="12.75" customHeight="1">
      <c r="B37" s="92"/>
      <c r="C37" s="131"/>
      <c r="D37" s="169"/>
      <c r="E37" s="169"/>
      <c r="F37" s="169"/>
      <c r="G37" s="170"/>
      <c r="H37" s="566"/>
      <c r="I37" s="170"/>
      <c r="J37" s="567"/>
      <c r="K37" s="568"/>
      <c r="L37" s="569"/>
      <c r="M37" s="570">
        <f t="shared" si="3"/>
        <v>0</v>
      </c>
      <c r="N37" s="155"/>
      <c r="O37" s="571" t="str">
        <f>IF(I37="","",VLOOKUP(I37,tab!$A$119:$V$159,J37+3,FALSE))</f>
        <v/>
      </c>
      <c r="P37" s="572">
        <f t="shared" si="4"/>
        <v>0</v>
      </c>
      <c r="Q37" s="589">
        <f t="shared" si="5"/>
        <v>0.6</v>
      </c>
      <c r="R37" s="573" t="str">
        <f t="shared" si="6"/>
        <v/>
      </c>
      <c r="S37" s="332">
        <f>IF(L37="",0,O37*12*L37*(1+tab!$D$108)*tab!$E$110)</f>
        <v>0</v>
      </c>
      <c r="T37" s="580">
        <f t="shared" si="7"/>
        <v>0</v>
      </c>
      <c r="U37" s="243">
        <f t="shared" si="8"/>
        <v>0</v>
      </c>
      <c r="V37" s="332">
        <f t="shared" si="9"/>
        <v>0</v>
      </c>
      <c r="W37" s="136"/>
      <c r="X37" s="97"/>
      <c r="Z37" s="647" t="b">
        <f t="shared" si="0"/>
        <v>0</v>
      </c>
      <c r="AA37" s="85">
        <f t="shared" si="1"/>
        <v>112</v>
      </c>
      <c r="AB37" s="67">
        <f t="shared" si="2"/>
        <v>30</v>
      </c>
      <c r="AC37" s="67">
        <f t="shared" si="10"/>
        <v>30</v>
      </c>
      <c r="AD37" s="84">
        <f t="shared" si="11"/>
        <v>0</v>
      </c>
    </row>
    <row r="38" spans="2:30" ht="12.75" customHeight="1">
      <c r="B38" s="92"/>
      <c r="C38" s="131"/>
      <c r="D38" s="169"/>
      <c r="E38" s="169"/>
      <c r="F38" s="169"/>
      <c r="G38" s="170"/>
      <c r="H38" s="566"/>
      <c r="I38" s="170"/>
      <c r="J38" s="567"/>
      <c r="K38" s="568"/>
      <c r="L38" s="569"/>
      <c r="M38" s="570">
        <f t="shared" si="3"/>
        <v>0</v>
      </c>
      <c r="N38" s="155"/>
      <c r="O38" s="571" t="str">
        <f>IF(I38="","",VLOOKUP(I38,tab!$A$119:$V$159,J38+3,FALSE))</f>
        <v/>
      </c>
      <c r="P38" s="572">
        <f t="shared" si="4"/>
        <v>0</v>
      </c>
      <c r="Q38" s="589">
        <f t="shared" si="5"/>
        <v>0.6</v>
      </c>
      <c r="R38" s="573" t="str">
        <f t="shared" si="6"/>
        <v/>
      </c>
      <c r="S38" s="332">
        <f>IF(L38="",0,O38*12*L38*(1+tab!$D$108)*tab!$E$110)</f>
        <v>0</v>
      </c>
      <c r="T38" s="580">
        <f t="shared" si="7"/>
        <v>0</v>
      </c>
      <c r="U38" s="243">
        <f t="shared" si="8"/>
        <v>0</v>
      </c>
      <c r="V38" s="332">
        <f t="shared" si="9"/>
        <v>0</v>
      </c>
      <c r="W38" s="136"/>
      <c r="X38" s="97"/>
      <c r="Z38" s="647" t="b">
        <f t="shared" si="0"/>
        <v>0</v>
      </c>
      <c r="AA38" s="85">
        <f t="shared" si="1"/>
        <v>112</v>
      </c>
      <c r="AB38" s="67">
        <f t="shared" si="2"/>
        <v>30</v>
      </c>
      <c r="AC38" s="67">
        <f t="shared" si="10"/>
        <v>30</v>
      </c>
      <c r="AD38" s="84">
        <f t="shared" si="11"/>
        <v>0</v>
      </c>
    </row>
    <row r="39" spans="2:30" ht="12.75" customHeight="1">
      <c r="B39" s="92"/>
      <c r="C39" s="131"/>
      <c r="D39" s="169"/>
      <c r="E39" s="169"/>
      <c r="F39" s="169"/>
      <c r="G39" s="170"/>
      <c r="H39" s="566"/>
      <c r="I39" s="170"/>
      <c r="J39" s="567"/>
      <c r="K39" s="568"/>
      <c r="L39" s="569"/>
      <c r="M39" s="570">
        <f t="shared" si="3"/>
        <v>0</v>
      </c>
      <c r="N39" s="155"/>
      <c r="O39" s="571" t="str">
        <f>IF(I39="","",VLOOKUP(I39,tab!$A$119:$V$159,J39+3,FALSE))</f>
        <v/>
      </c>
      <c r="P39" s="572">
        <f t="shared" si="4"/>
        <v>0</v>
      </c>
      <c r="Q39" s="589">
        <f t="shared" si="5"/>
        <v>0.6</v>
      </c>
      <c r="R39" s="573" t="str">
        <f t="shared" si="6"/>
        <v/>
      </c>
      <c r="S39" s="332">
        <f>IF(L39="",0,O39*12*L39*(1+tab!$D$108)*tab!$E$110)</f>
        <v>0</v>
      </c>
      <c r="T39" s="580">
        <f t="shared" si="7"/>
        <v>0</v>
      </c>
      <c r="U39" s="243">
        <f t="shared" si="8"/>
        <v>0</v>
      </c>
      <c r="V39" s="332">
        <f t="shared" si="9"/>
        <v>0</v>
      </c>
      <c r="W39" s="136"/>
      <c r="X39" s="97"/>
      <c r="Z39" s="647" t="b">
        <f t="shared" si="0"/>
        <v>0</v>
      </c>
      <c r="AA39" s="85">
        <f t="shared" si="1"/>
        <v>112</v>
      </c>
      <c r="AB39" s="67">
        <f t="shared" si="2"/>
        <v>30</v>
      </c>
      <c r="AC39" s="67">
        <f t="shared" si="10"/>
        <v>30</v>
      </c>
      <c r="AD39" s="84">
        <f t="shared" si="11"/>
        <v>0</v>
      </c>
    </row>
    <row r="40" spans="2:30" ht="12.75" customHeight="1">
      <c r="B40" s="92"/>
      <c r="C40" s="131"/>
      <c r="D40" s="169"/>
      <c r="E40" s="169"/>
      <c r="F40" s="169"/>
      <c r="G40" s="170"/>
      <c r="H40" s="566"/>
      <c r="I40" s="170"/>
      <c r="J40" s="567"/>
      <c r="K40" s="568"/>
      <c r="L40" s="569"/>
      <c r="M40" s="570">
        <f t="shared" si="3"/>
        <v>0</v>
      </c>
      <c r="N40" s="155"/>
      <c r="O40" s="571" t="str">
        <f>IF(I40="","",VLOOKUP(I40,tab!$A$119:$V$159,J40+3,FALSE))</f>
        <v/>
      </c>
      <c r="P40" s="572">
        <f t="shared" si="4"/>
        <v>0</v>
      </c>
      <c r="Q40" s="589">
        <f t="shared" si="5"/>
        <v>0.6</v>
      </c>
      <c r="R40" s="573" t="str">
        <f t="shared" si="6"/>
        <v/>
      </c>
      <c r="S40" s="332">
        <f>IF(L40="",0,O40*12*L40*(1+tab!$D$108)*tab!$E$110)</f>
        <v>0</v>
      </c>
      <c r="T40" s="580">
        <f t="shared" si="7"/>
        <v>0</v>
      </c>
      <c r="U40" s="243">
        <f t="shared" si="8"/>
        <v>0</v>
      </c>
      <c r="V40" s="332">
        <f t="shared" si="9"/>
        <v>0</v>
      </c>
      <c r="W40" s="136"/>
      <c r="X40" s="97"/>
      <c r="Z40" s="647" t="b">
        <f t="shared" si="0"/>
        <v>0</v>
      </c>
      <c r="AA40" s="85">
        <f t="shared" si="1"/>
        <v>112</v>
      </c>
      <c r="AB40" s="67">
        <f t="shared" si="2"/>
        <v>30</v>
      </c>
      <c r="AC40" s="67">
        <f t="shared" si="10"/>
        <v>30</v>
      </c>
      <c r="AD40" s="84">
        <f t="shared" si="11"/>
        <v>0</v>
      </c>
    </row>
    <row r="41" spans="2:30" ht="12.75" customHeight="1">
      <c r="B41" s="92"/>
      <c r="C41" s="131"/>
      <c r="D41" s="169"/>
      <c r="E41" s="169"/>
      <c r="F41" s="169"/>
      <c r="G41" s="170"/>
      <c r="H41" s="566"/>
      <c r="I41" s="170"/>
      <c r="J41" s="567"/>
      <c r="K41" s="568"/>
      <c r="L41" s="569"/>
      <c r="M41" s="570">
        <f t="shared" si="3"/>
        <v>0</v>
      </c>
      <c r="N41" s="155"/>
      <c r="O41" s="571" t="str">
        <f>IF(I41="","",VLOOKUP(I41,tab!$A$119:$V$159,J41+3,FALSE))</f>
        <v/>
      </c>
      <c r="P41" s="572">
        <f t="shared" si="4"/>
        <v>0</v>
      </c>
      <c r="Q41" s="589">
        <f t="shared" si="5"/>
        <v>0.6</v>
      </c>
      <c r="R41" s="573" t="str">
        <f t="shared" si="6"/>
        <v/>
      </c>
      <c r="S41" s="332">
        <f>IF(L41="",0,O41*12*L41*(1+tab!$D$108)*tab!$E$110)</f>
        <v>0</v>
      </c>
      <c r="T41" s="580">
        <f t="shared" si="7"/>
        <v>0</v>
      </c>
      <c r="U41" s="243">
        <f t="shared" si="8"/>
        <v>0</v>
      </c>
      <c r="V41" s="332">
        <f t="shared" si="9"/>
        <v>0</v>
      </c>
      <c r="W41" s="136"/>
      <c r="X41" s="97"/>
      <c r="Z41" s="647" t="b">
        <f t="shared" si="0"/>
        <v>0</v>
      </c>
      <c r="AA41" s="85">
        <f t="shared" si="1"/>
        <v>112</v>
      </c>
      <c r="AB41" s="67">
        <f t="shared" si="2"/>
        <v>30</v>
      </c>
      <c r="AC41" s="67">
        <f t="shared" si="10"/>
        <v>30</v>
      </c>
      <c r="AD41" s="84">
        <f t="shared" si="11"/>
        <v>0</v>
      </c>
    </row>
    <row r="42" spans="2:30" ht="12.75" customHeight="1">
      <c r="B42" s="92"/>
      <c r="C42" s="131"/>
      <c r="D42" s="169"/>
      <c r="E42" s="169"/>
      <c r="F42" s="169"/>
      <c r="G42" s="170"/>
      <c r="H42" s="566"/>
      <c r="I42" s="170"/>
      <c r="J42" s="567"/>
      <c r="K42" s="568"/>
      <c r="L42" s="569"/>
      <c r="M42" s="570">
        <f t="shared" si="3"/>
        <v>0</v>
      </c>
      <c r="N42" s="155"/>
      <c r="O42" s="571" t="str">
        <f>IF(I42="","",VLOOKUP(I42,tab!$A$119:$V$159,J42+3,FALSE))</f>
        <v/>
      </c>
      <c r="P42" s="572">
        <f t="shared" si="4"/>
        <v>0</v>
      </c>
      <c r="Q42" s="589">
        <f t="shared" si="5"/>
        <v>0.6</v>
      </c>
      <c r="R42" s="573" t="str">
        <f t="shared" si="6"/>
        <v/>
      </c>
      <c r="S42" s="332">
        <f>IF(L42="",0,O42*12*L42*(1+tab!$D$108)*tab!$E$110)</f>
        <v>0</v>
      </c>
      <c r="T42" s="580">
        <f t="shared" si="7"/>
        <v>0</v>
      </c>
      <c r="U42" s="243">
        <f t="shared" si="8"/>
        <v>0</v>
      </c>
      <c r="V42" s="332">
        <f t="shared" si="9"/>
        <v>0</v>
      </c>
      <c r="W42" s="136"/>
      <c r="X42" s="97"/>
      <c r="Z42" s="647" t="b">
        <f t="shared" si="0"/>
        <v>0</v>
      </c>
      <c r="AA42" s="85">
        <f t="shared" si="1"/>
        <v>112</v>
      </c>
      <c r="AB42" s="67">
        <f t="shared" si="2"/>
        <v>30</v>
      </c>
      <c r="AC42" s="67">
        <f t="shared" si="10"/>
        <v>30</v>
      </c>
      <c r="AD42" s="84">
        <f t="shared" si="11"/>
        <v>0</v>
      </c>
    </row>
    <row r="43" spans="2:30" ht="12.75" customHeight="1">
      <c r="B43" s="92"/>
      <c r="C43" s="131"/>
      <c r="D43" s="169"/>
      <c r="E43" s="169"/>
      <c r="F43" s="169"/>
      <c r="G43" s="170"/>
      <c r="H43" s="566"/>
      <c r="I43" s="170"/>
      <c r="J43" s="567"/>
      <c r="K43" s="568"/>
      <c r="L43" s="569"/>
      <c r="M43" s="570">
        <f t="shared" si="3"/>
        <v>0</v>
      </c>
      <c r="N43" s="155"/>
      <c r="O43" s="571" t="str">
        <f>IF(I43="","",VLOOKUP(I43,tab!$A$119:$V$159,J43+3,FALSE))</f>
        <v/>
      </c>
      <c r="P43" s="572">
        <f t="shared" si="4"/>
        <v>0</v>
      </c>
      <c r="Q43" s="589">
        <f t="shared" si="5"/>
        <v>0.6</v>
      </c>
      <c r="R43" s="573" t="str">
        <f t="shared" si="6"/>
        <v/>
      </c>
      <c r="S43" s="332">
        <f>IF(L43="",0,O43*12*L43*(1+tab!$D$108)*tab!$E$110)</f>
        <v>0</v>
      </c>
      <c r="T43" s="580">
        <f t="shared" si="7"/>
        <v>0</v>
      </c>
      <c r="U43" s="243">
        <f t="shared" si="8"/>
        <v>0</v>
      </c>
      <c r="V43" s="332">
        <f t="shared" si="9"/>
        <v>0</v>
      </c>
      <c r="W43" s="136"/>
      <c r="X43" s="97"/>
      <c r="Z43" s="647" t="b">
        <f t="shared" si="0"/>
        <v>0</v>
      </c>
      <c r="AA43" s="85">
        <f t="shared" si="1"/>
        <v>112</v>
      </c>
      <c r="AB43" s="67">
        <f t="shared" si="2"/>
        <v>30</v>
      </c>
      <c r="AC43" s="67">
        <f t="shared" si="10"/>
        <v>30</v>
      </c>
      <c r="AD43" s="84">
        <f t="shared" si="11"/>
        <v>0</v>
      </c>
    </row>
    <row r="44" spans="2:30" ht="12.75" customHeight="1">
      <c r="B44" s="92"/>
      <c r="C44" s="131"/>
      <c r="D44" s="169"/>
      <c r="E44" s="169"/>
      <c r="F44" s="169"/>
      <c r="G44" s="170"/>
      <c r="H44" s="566"/>
      <c r="I44" s="170"/>
      <c r="J44" s="567"/>
      <c r="K44" s="568"/>
      <c r="L44" s="569"/>
      <c r="M44" s="570">
        <f t="shared" si="3"/>
        <v>0</v>
      </c>
      <c r="N44" s="155"/>
      <c r="O44" s="571" t="str">
        <f>IF(I44="","",VLOOKUP(I44,tab!$A$119:$V$159,J44+3,FALSE))</f>
        <v/>
      </c>
      <c r="P44" s="572">
        <f t="shared" si="4"/>
        <v>0</v>
      </c>
      <c r="Q44" s="589">
        <f t="shared" si="5"/>
        <v>0.6</v>
      </c>
      <c r="R44" s="573" t="str">
        <f t="shared" si="6"/>
        <v/>
      </c>
      <c r="S44" s="332">
        <f>IF(L44="",0,O44*12*L44*(1+tab!$D$108)*tab!$E$110)</f>
        <v>0</v>
      </c>
      <c r="T44" s="580">
        <f t="shared" si="7"/>
        <v>0</v>
      </c>
      <c r="U44" s="243">
        <f t="shared" si="8"/>
        <v>0</v>
      </c>
      <c r="V44" s="332">
        <f t="shared" si="9"/>
        <v>0</v>
      </c>
      <c r="W44" s="136"/>
      <c r="X44" s="97"/>
      <c r="Z44" s="647" t="b">
        <f t="shared" si="0"/>
        <v>0</v>
      </c>
      <c r="AA44" s="85">
        <f t="shared" si="1"/>
        <v>112</v>
      </c>
      <c r="AB44" s="67">
        <f t="shared" si="2"/>
        <v>30</v>
      </c>
      <c r="AC44" s="67">
        <f t="shared" si="10"/>
        <v>30</v>
      </c>
      <c r="AD44" s="84">
        <f t="shared" si="11"/>
        <v>0</v>
      </c>
    </row>
    <row r="45" spans="2:30" ht="12.75" customHeight="1">
      <c r="B45" s="92"/>
      <c r="C45" s="131"/>
      <c r="D45" s="169"/>
      <c r="E45" s="169"/>
      <c r="F45" s="169"/>
      <c r="G45" s="170"/>
      <c r="H45" s="566"/>
      <c r="I45" s="170"/>
      <c r="J45" s="567"/>
      <c r="K45" s="568"/>
      <c r="L45" s="569"/>
      <c r="M45" s="570">
        <f t="shared" si="3"/>
        <v>0</v>
      </c>
      <c r="N45" s="155"/>
      <c r="O45" s="571" t="str">
        <f>IF(I45="","",VLOOKUP(I45,tab!$A$119:$V$159,J45+3,FALSE))</f>
        <v/>
      </c>
      <c r="P45" s="572">
        <f t="shared" si="4"/>
        <v>0</v>
      </c>
      <c r="Q45" s="589">
        <f t="shared" si="5"/>
        <v>0.6</v>
      </c>
      <c r="R45" s="573" t="str">
        <f t="shared" si="6"/>
        <v/>
      </c>
      <c r="S45" s="332">
        <f>IF(L45="",0,O45*12*L45*(1+tab!$D$108)*tab!$E$110)</f>
        <v>0</v>
      </c>
      <c r="T45" s="580">
        <f t="shared" si="7"/>
        <v>0</v>
      </c>
      <c r="U45" s="243">
        <f t="shared" si="8"/>
        <v>0</v>
      </c>
      <c r="V45" s="332">
        <f t="shared" si="9"/>
        <v>0</v>
      </c>
      <c r="W45" s="136"/>
      <c r="X45" s="97"/>
      <c r="Z45" s="647" t="b">
        <f t="shared" si="0"/>
        <v>0</v>
      </c>
      <c r="AA45" s="85">
        <f t="shared" si="1"/>
        <v>112</v>
      </c>
      <c r="AB45" s="67">
        <f t="shared" si="2"/>
        <v>30</v>
      </c>
      <c r="AC45" s="67">
        <f t="shared" si="10"/>
        <v>30</v>
      </c>
      <c r="AD45" s="84">
        <f t="shared" si="11"/>
        <v>0</v>
      </c>
    </row>
    <row r="46" spans="2:30" ht="12.75" customHeight="1">
      <c r="B46" s="92"/>
      <c r="C46" s="131"/>
      <c r="D46" s="169"/>
      <c r="E46" s="169"/>
      <c r="F46" s="169"/>
      <c r="G46" s="170"/>
      <c r="H46" s="566"/>
      <c r="I46" s="170"/>
      <c r="J46" s="567"/>
      <c r="K46" s="568"/>
      <c r="L46" s="569"/>
      <c r="M46" s="570">
        <f t="shared" si="3"/>
        <v>0</v>
      </c>
      <c r="N46" s="155"/>
      <c r="O46" s="571" t="str">
        <f>IF(I46="","",VLOOKUP(I46,tab!$A$119:$V$159,J46+3,FALSE))</f>
        <v/>
      </c>
      <c r="P46" s="572">
        <f t="shared" si="4"/>
        <v>0</v>
      </c>
      <c r="Q46" s="589">
        <f t="shared" si="5"/>
        <v>0.6</v>
      </c>
      <c r="R46" s="573" t="str">
        <f t="shared" si="6"/>
        <v/>
      </c>
      <c r="S46" s="332">
        <f>IF(L46="",0,O46*12*L46*(1+tab!$D$108)*tab!$E$110)</f>
        <v>0</v>
      </c>
      <c r="T46" s="580">
        <f t="shared" si="7"/>
        <v>0</v>
      </c>
      <c r="U46" s="243">
        <f t="shared" si="8"/>
        <v>0</v>
      </c>
      <c r="V46" s="332">
        <f t="shared" si="9"/>
        <v>0</v>
      </c>
      <c r="W46" s="136"/>
      <c r="X46" s="97"/>
      <c r="Z46" s="647" t="b">
        <f t="shared" si="0"/>
        <v>0</v>
      </c>
      <c r="AA46" s="85">
        <f t="shared" si="1"/>
        <v>112</v>
      </c>
      <c r="AB46" s="67">
        <f t="shared" si="2"/>
        <v>30</v>
      </c>
      <c r="AC46" s="67">
        <f t="shared" si="10"/>
        <v>30</v>
      </c>
      <c r="AD46" s="84">
        <f t="shared" si="11"/>
        <v>0</v>
      </c>
    </row>
    <row r="47" spans="2:30" ht="12.75" customHeight="1">
      <c r="B47" s="92"/>
      <c r="C47" s="131"/>
      <c r="D47" s="169"/>
      <c r="E47" s="169"/>
      <c r="F47" s="169"/>
      <c r="G47" s="170"/>
      <c r="H47" s="566"/>
      <c r="I47" s="170"/>
      <c r="J47" s="567"/>
      <c r="K47" s="568"/>
      <c r="L47" s="569"/>
      <c r="M47" s="570">
        <f t="shared" si="3"/>
        <v>0</v>
      </c>
      <c r="N47" s="155"/>
      <c r="O47" s="571" t="str">
        <f>IF(I47="","",VLOOKUP(I47,tab!$A$119:$V$159,J47+3,FALSE))</f>
        <v/>
      </c>
      <c r="P47" s="572">
        <f t="shared" si="4"/>
        <v>0</v>
      </c>
      <c r="Q47" s="589">
        <f t="shared" si="5"/>
        <v>0.6</v>
      </c>
      <c r="R47" s="573" t="str">
        <f t="shared" si="6"/>
        <v/>
      </c>
      <c r="S47" s="332">
        <f>IF(L47="",0,O47*12*L47*(1+tab!$D$108)*tab!$E$110)</f>
        <v>0</v>
      </c>
      <c r="T47" s="580">
        <f t="shared" si="7"/>
        <v>0</v>
      </c>
      <c r="U47" s="243">
        <f t="shared" si="8"/>
        <v>0</v>
      </c>
      <c r="V47" s="332">
        <f t="shared" si="9"/>
        <v>0</v>
      </c>
      <c r="W47" s="136"/>
      <c r="X47" s="97"/>
      <c r="Z47" s="647" t="b">
        <f t="shared" si="0"/>
        <v>0</v>
      </c>
      <c r="AA47" s="85">
        <f t="shared" si="1"/>
        <v>112</v>
      </c>
      <c r="AB47" s="67">
        <f t="shared" si="2"/>
        <v>30</v>
      </c>
      <c r="AC47" s="67">
        <f t="shared" si="10"/>
        <v>30</v>
      </c>
      <c r="AD47" s="84">
        <f t="shared" si="11"/>
        <v>0</v>
      </c>
    </row>
    <row r="48" spans="2:30" ht="12.75" customHeight="1">
      <c r="B48" s="92"/>
      <c r="C48" s="131"/>
      <c r="D48" s="169"/>
      <c r="E48" s="169"/>
      <c r="F48" s="169"/>
      <c r="G48" s="170"/>
      <c r="H48" s="566"/>
      <c r="I48" s="170"/>
      <c r="J48" s="567"/>
      <c r="K48" s="568"/>
      <c r="L48" s="569"/>
      <c r="M48" s="570">
        <f t="shared" ref="M48:M65" si="12">(IF(L48=0,(K48),(K48)-L48))</f>
        <v>0</v>
      </c>
      <c r="N48" s="155"/>
      <c r="O48" s="571" t="str">
        <f>IF(I48="","",VLOOKUP(I48,tab!$A$119:$V$159,J48+3,FALSE))</f>
        <v/>
      </c>
      <c r="P48" s="572">
        <f t="shared" si="4"/>
        <v>0</v>
      </c>
      <c r="Q48" s="589">
        <f t="shared" si="5"/>
        <v>0.6</v>
      </c>
      <c r="R48" s="573" t="str">
        <f t="shared" si="6"/>
        <v/>
      </c>
      <c r="S48" s="332">
        <f>IF(L48="",0,O48*12*L48*(1+tab!$D$108)*tab!$E$110)</f>
        <v>0</v>
      </c>
      <c r="T48" s="580">
        <f t="shared" si="7"/>
        <v>0</v>
      </c>
      <c r="U48" s="243">
        <f t="shared" si="8"/>
        <v>0</v>
      </c>
      <c r="V48" s="332">
        <f t="shared" si="9"/>
        <v>0</v>
      </c>
      <c r="W48" s="136"/>
      <c r="X48" s="97"/>
      <c r="Z48" s="647" t="b">
        <f t="shared" ref="Z48:Z79" si="13">DATE(YEAR($E$9),MONTH(H48),DAY(H48))&gt;$E$9</f>
        <v>0</v>
      </c>
      <c r="AA48" s="85">
        <f t="shared" ref="AA48:AA79" si="14">YEAR($E$9)-YEAR(H48)-Z48</f>
        <v>112</v>
      </c>
      <c r="AB48" s="67">
        <f t="shared" ref="AB48:AB79" si="15">IF((H48=""),30,AA48)</f>
        <v>30</v>
      </c>
      <c r="AC48" s="67">
        <f t="shared" ref="AC48:AC115" si="16">IF((AB48)&gt;50,50,(AB48))</f>
        <v>30</v>
      </c>
      <c r="AD48" s="84">
        <f t="shared" si="11"/>
        <v>0</v>
      </c>
    </row>
    <row r="49" spans="2:30" ht="12.75" customHeight="1">
      <c r="B49" s="92"/>
      <c r="C49" s="131"/>
      <c r="D49" s="169"/>
      <c r="E49" s="169"/>
      <c r="F49" s="169"/>
      <c r="G49" s="170"/>
      <c r="H49" s="566"/>
      <c r="I49" s="170"/>
      <c r="J49" s="567"/>
      <c r="K49" s="568"/>
      <c r="L49" s="569"/>
      <c r="M49" s="570">
        <f t="shared" si="12"/>
        <v>0</v>
      </c>
      <c r="N49" s="155"/>
      <c r="O49" s="571" t="str">
        <f>IF(I49="","",VLOOKUP(I49,tab!$A$119:$V$159,J49+3,FALSE))</f>
        <v/>
      </c>
      <c r="P49" s="572">
        <f t="shared" ref="P49:P80" si="17">IF(E49=0,0,(O49*M49*12))</f>
        <v>0</v>
      </c>
      <c r="Q49" s="589">
        <f t="shared" si="5"/>
        <v>0.6</v>
      </c>
      <c r="R49" s="573" t="str">
        <f t="shared" si="6"/>
        <v/>
      </c>
      <c r="S49" s="332">
        <f>IF(L49="",0,O49*12*L49*(1+tab!$D$108)*tab!$E$110)</f>
        <v>0</v>
      </c>
      <c r="T49" s="580">
        <f t="shared" si="7"/>
        <v>0</v>
      </c>
      <c r="U49" s="243">
        <f t="shared" si="8"/>
        <v>0</v>
      </c>
      <c r="V49" s="332">
        <f t="shared" ref="V49:V80" si="18">IF(U49=25,(O49*1.08*(K49)/2),IF(U49=40,(O49*1.08*(K49)),IF(U49=0,0)))</f>
        <v>0</v>
      </c>
      <c r="W49" s="136"/>
      <c r="X49" s="97"/>
      <c r="Z49" s="647" t="b">
        <f t="shared" si="13"/>
        <v>0</v>
      </c>
      <c r="AA49" s="85">
        <f t="shared" si="14"/>
        <v>112</v>
      </c>
      <c r="AB49" s="67">
        <f t="shared" si="15"/>
        <v>30</v>
      </c>
      <c r="AC49" s="67">
        <f t="shared" si="16"/>
        <v>30</v>
      </c>
      <c r="AD49" s="84">
        <f t="shared" ref="AD49:AD80" si="19">(AC49*(SUM(K49:K49)))</f>
        <v>0</v>
      </c>
    </row>
    <row r="50" spans="2:30" ht="12.75" customHeight="1">
      <c r="B50" s="92"/>
      <c r="C50" s="131"/>
      <c r="D50" s="169"/>
      <c r="E50" s="169"/>
      <c r="F50" s="169"/>
      <c r="G50" s="170"/>
      <c r="H50" s="566"/>
      <c r="I50" s="170"/>
      <c r="J50" s="567"/>
      <c r="K50" s="568"/>
      <c r="L50" s="569"/>
      <c r="M50" s="570">
        <f t="shared" si="12"/>
        <v>0</v>
      </c>
      <c r="N50" s="155"/>
      <c r="O50" s="571" t="str">
        <f>IF(I50="","",VLOOKUP(I50,tab!$A$119:$V$159,J50+3,FALSE))</f>
        <v/>
      </c>
      <c r="P50" s="572">
        <f t="shared" si="17"/>
        <v>0</v>
      </c>
      <c r="Q50" s="589">
        <f t="shared" si="5"/>
        <v>0.6</v>
      </c>
      <c r="R50" s="573" t="str">
        <f t="shared" si="6"/>
        <v/>
      </c>
      <c r="S50" s="332">
        <f>IF(L50="",0,O50*12*L50*(1+tab!$D$108)*tab!$E$110)</f>
        <v>0</v>
      </c>
      <c r="T50" s="580">
        <f t="shared" si="7"/>
        <v>0</v>
      </c>
      <c r="U50" s="243">
        <f t="shared" si="8"/>
        <v>0</v>
      </c>
      <c r="V50" s="332">
        <f t="shared" si="18"/>
        <v>0</v>
      </c>
      <c r="W50" s="136"/>
      <c r="X50" s="97"/>
      <c r="Z50" s="647" t="b">
        <f t="shared" si="13"/>
        <v>0</v>
      </c>
      <c r="AA50" s="85">
        <f t="shared" si="14"/>
        <v>112</v>
      </c>
      <c r="AB50" s="67">
        <f t="shared" si="15"/>
        <v>30</v>
      </c>
      <c r="AC50" s="67">
        <f t="shared" si="16"/>
        <v>30</v>
      </c>
      <c r="AD50" s="84">
        <f t="shared" si="19"/>
        <v>0</v>
      </c>
    </row>
    <row r="51" spans="2:30" ht="12.75" customHeight="1">
      <c r="B51" s="92"/>
      <c r="C51" s="131"/>
      <c r="D51" s="169"/>
      <c r="E51" s="169"/>
      <c r="F51" s="169"/>
      <c r="G51" s="170"/>
      <c r="H51" s="566"/>
      <c r="I51" s="170"/>
      <c r="J51" s="567"/>
      <c r="K51" s="568"/>
      <c r="L51" s="569"/>
      <c r="M51" s="570">
        <f t="shared" si="12"/>
        <v>0</v>
      </c>
      <c r="N51" s="155"/>
      <c r="O51" s="571" t="str">
        <f>IF(I51="","",VLOOKUP(I51,tab!$A$119:$V$159,J51+3,FALSE))</f>
        <v/>
      </c>
      <c r="P51" s="572">
        <f t="shared" si="17"/>
        <v>0</v>
      </c>
      <c r="Q51" s="589">
        <f t="shared" si="5"/>
        <v>0.6</v>
      </c>
      <c r="R51" s="573" t="str">
        <f t="shared" si="6"/>
        <v/>
      </c>
      <c r="S51" s="332">
        <f>IF(L51="",0,O51*12*L51*(1+tab!$D$108)*tab!$E$110)</f>
        <v>0</v>
      </c>
      <c r="T51" s="580">
        <f t="shared" si="7"/>
        <v>0</v>
      </c>
      <c r="U51" s="243">
        <f t="shared" si="8"/>
        <v>0</v>
      </c>
      <c r="V51" s="332">
        <f t="shared" si="18"/>
        <v>0</v>
      </c>
      <c r="W51" s="136"/>
      <c r="X51" s="97"/>
      <c r="Z51" s="647" t="b">
        <f t="shared" si="13"/>
        <v>0</v>
      </c>
      <c r="AA51" s="85">
        <f t="shared" si="14"/>
        <v>112</v>
      </c>
      <c r="AB51" s="67">
        <f t="shared" si="15"/>
        <v>30</v>
      </c>
      <c r="AC51" s="67">
        <f t="shared" si="16"/>
        <v>30</v>
      </c>
      <c r="AD51" s="84">
        <f t="shared" si="19"/>
        <v>0</v>
      </c>
    </row>
    <row r="52" spans="2:30" ht="12.75" customHeight="1">
      <c r="B52" s="92"/>
      <c r="C52" s="131"/>
      <c r="D52" s="169"/>
      <c r="E52" s="169"/>
      <c r="F52" s="169"/>
      <c r="G52" s="170"/>
      <c r="H52" s="566"/>
      <c r="I52" s="170"/>
      <c r="J52" s="567"/>
      <c r="K52" s="568"/>
      <c r="L52" s="569"/>
      <c r="M52" s="570">
        <f t="shared" si="12"/>
        <v>0</v>
      </c>
      <c r="N52" s="155"/>
      <c r="O52" s="571" t="str">
        <f>IF(I52="","",VLOOKUP(I52,tab!$A$119:$V$159,J52+3,FALSE))</f>
        <v/>
      </c>
      <c r="P52" s="572">
        <f t="shared" si="17"/>
        <v>0</v>
      </c>
      <c r="Q52" s="589">
        <f t="shared" si="5"/>
        <v>0.6</v>
      </c>
      <c r="R52" s="573" t="str">
        <f t="shared" si="6"/>
        <v/>
      </c>
      <c r="S52" s="332">
        <f>IF(L52="",0,O52*12*L52*(1+tab!$D$108)*tab!$E$110)</f>
        <v>0</v>
      </c>
      <c r="T52" s="580">
        <f t="shared" si="7"/>
        <v>0</v>
      </c>
      <c r="U52" s="243">
        <f t="shared" si="8"/>
        <v>0</v>
      </c>
      <c r="V52" s="332">
        <f t="shared" si="18"/>
        <v>0</v>
      </c>
      <c r="W52" s="136"/>
      <c r="X52" s="97"/>
      <c r="Z52" s="647" t="b">
        <f t="shared" si="13"/>
        <v>0</v>
      </c>
      <c r="AA52" s="85">
        <f t="shared" si="14"/>
        <v>112</v>
      </c>
      <c r="AB52" s="67">
        <f t="shared" si="15"/>
        <v>30</v>
      </c>
      <c r="AC52" s="67">
        <f t="shared" si="16"/>
        <v>30</v>
      </c>
      <c r="AD52" s="84">
        <f t="shared" si="19"/>
        <v>0</v>
      </c>
    </row>
    <row r="53" spans="2:30" ht="12.75" customHeight="1">
      <c r="B53" s="92"/>
      <c r="C53" s="131"/>
      <c r="D53" s="169"/>
      <c r="E53" s="169"/>
      <c r="F53" s="169"/>
      <c r="G53" s="170"/>
      <c r="H53" s="566"/>
      <c r="I53" s="170"/>
      <c r="J53" s="567"/>
      <c r="K53" s="568"/>
      <c r="L53" s="569"/>
      <c r="M53" s="570">
        <f t="shared" si="12"/>
        <v>0</v>
      </c>
      <c r="N53" s="155"/>
      <c r="O53" s="571" t="str">
        <f>IF(I53="","",VLOOKUP(I53,tab!$A$119:$V$159,J53+3,FALSE))</f>
        <v/>
      </c>
      <c r="P53" s="572">
        <f t="shared" si="17"/>
        <v>0</v>
      </c>
      <c r="Q53" s="589">
        <f t="shared" si="5"/>
        <v>0.6</v>
      </c>
      <c r="R53" s="573" t="str">
        <f t="shared" si="6"/>
        <v/>
      </c>
      <c r="S53" s="332">
        <f>IF(L53="",0,O53*12*L53*(1+tab!$D$108)*tab!$E$110)</f>
        <v>0</v>
      </c>
      <c r="T53" s="580">
        <f t="shared" si="7"/>
        <v>0</v>
      </c>
      <c r="U53" s="243">
        <f t="shared" si="8"/>
        <v>0</v>
      </c>
      <c r="V53" s="332">
        <f t="shared" si="18"/>
        <v>0</v>
      </c>
      <c r="W53" s="136"/>
      <c r="X53" s="97"/>
      <c r="Z53" s="647" t="b">
        <f t="shared" si="13"/>
        <v>0</v>
      </c>
      <c r="AA53" s="85">
        <f t="shared" si="14"/>
        <v>112</v>
      </c>
      <c r="AB53" s="67">
        <f t="shared" si="15"/>
        <v>30</v>
      </c>
      <c r="AC53" s="67">
        <f t="shared" si="16"/>
        <v>30</v>
      </c>
      <c r="AD53" s="84">
        <f t="shared" si="19"/>
        <v>0</v>
      </c>
    </row>
    <row r="54" spans="2:30" ht="12.75" customHeight="1">
      <c r="B54" s="92"/>
      <c r="C54" s="131"/>
      <c r="D54" s="169"/>
      <c r="E54" s="169"/>
      <c r="F54" s="169"/>
      <c r="G54" s="170"/>
      <c r="H54" s="566"/>
      <c r="I54" s="170"/>
      <c r="J54" s="567"/>
      <c r="K54" s="568"/>
      <c r="L54" s="569"/>
      <c r="M54" s="570">
        <f t="shared" si="12"/>
        <v>0</v>
      </c>
      <c r="N54" s="155"/>
      <c r="O54" s="571" t="str">
        <f>IF(I54="","",VLOOKUP(I54,tab!$A$119:$V$159,J54+3,FALSE))</f>
        <v/>
      </c>
      <c r="P54" s="572">
        <f t="shared" si="17"/>
        <v>0</v>
      </c>
      <c r="Q54" s="589">
        <f t="shared" si="5"/>
        <v>0.6</v>
      </c>
      <c r="R54" s="573" t="str">
        <f t="shared" si="6"/>
        <v/>
      </c>
      <c r="S54" s="332">
        <f>IF(L54="",0,O54*12*L54*(1+tab!$D$108)*tab!$E$110)</f>
        <v>0</v>
      </c>
      <c r="T54" s="580">
        <f t="shared" si="7"/>
        <v>0</v>
      </c>
      <c r="U54" s="243">
        <f t="shared" si="8"/>
        <v>0</v>
      </c>
      <c r="V54" s="332">
        <f t="shared" si="18"/>
        <v>0</v>
      </c>
      <c r="W54" s="136"/>
      <c r="X54" s="97"/>
      <c r="Z54" s="647" t="b">
        <f t="shared" si="13"/>
        <v>0</v>
      </c>
      <c r="AA54" s="85">
        <f t="shared" si="14"/>
        <v>112</v>
      </c>
      <c r="AB54" s="67">
        <f t="shared" si="15"/>
        <v>30</v>
      </c>
      <c r="AC54" s="67">
        <f t="shared" si="16"/>
        <v>30</v>
      </c>
      <c r="AD54" s="84">
        <f t="shared" si="19"/>
        <v>0</v>
      </c>
    </row>
    <row r="55" spans="2:30" ht="12.75" customHeight="1">
      <c r="B55" s="92"/>
      <c r="C55" s="131"/>
      <c r="D55" s="169"/>
      <c r="E55" s="169"/>
      <c r="F55" s="169"/>
      <c r="G55" s="170"/>
      <c r="H55" s="566"/>
      <c r="I55" s="170"/>
      <c r="J55" s="567"/>
      <c r="K55" s="568"/>
      <c r="L55" s="569"/>
      <c r="M55" s="570">
        <f t="shared" si="12"/>
        <v>0</v>
      </c>
      <c r="N55" s="155"/>
      <c r="O55" s="571" t="str">
        <f>IF(I55="","",VLOOKUP(I55,tab!$A$119:$V$159,J55+3,FALSE))</f>
        <v/>
      </c>
      <c r="P55" s="572">
        <f t="shared" si="17"/>
        <v>0</v>
      </c>
      <c r="Q55" s="589">
        <f t="shared" si="5"/>
        <v>0.6</v>
      </c>
      <c r="R55" s="573" t="str">
        <f t="shared" si="6"/>
        <v/>
      </c>
      <c r="S55" s="332">
        <f>IF(L55="",0,O55*12*L55*(1+tab!$D$108)*tab!$E$110)</f>
        <v>0</v>
      </c>
      <c r="T55" s="580">
        <f t="shared" si="7"/>
        <v>0</v>
      </c>
      <c r="U55" s="243">
        <f t="shared" si="8"/>
        <v>0</v>
      </c>
      <c r="V55" s="332">
        <f t="shared" si="18"/>
        <v>0</v>
      </c>
      <c r="W55" s="136"/>
      <c r="X55" s="97"/>
      <c r="Z55" s="647" t="b">
        <f t="shared" si="13"/>
        <v>0</v>
      </c>
      <c r="AA55" s="85">
        <f t="shared" si="14"/>
        <v>112</v>
      </c>
      <c r="AB55" s="67">
        <f t="shared" si="15"/>
        <v>30</v>
      </c>
      <c r="AC55" s="67">
        <f t="shared" si="16"/>
        <v>30</v>
      </c>
      <c r="AD55" s="84">
        <f t="shared" si="19"/>
        <v>0</v>
      </c>
    </row>
    <row r="56" spans="2:30" ht="12.75" customHeight="1">
      <c r="B56" s="92"/>
      <c r="C56" s="131"/>
      <c r="D56" s="169"/>
      <c r="E56" s="169"/>
      <c r="F56" s="169"/>
      <c r="G56" s="170"/>
      <c r="H56" s="566"/>
      <c r="I56" s="170"/>
      <c r="J56" s="567"/>
      <c r="K56" s="568"/>
      <c r="L56" s="569"/>
      <c r="M56" s="570">
        <f t="shared" si="12"/>
        <v>0</v>
      </c>
      <c r="N56" s="155"/>
      <c r="O56" s="571" t="str">
        <f>IF(I56="","",VLOOKUP(I56,tab!$A$119:$V$159,J56+3,FALSE))</f>
        <v/>
      </c>
      <c r="P56" s="572">
        <f t="shared" si="17"/>
        <v>0</v>
      </c>
      <c r="Q56" s="589">
        <f t="shared" si="5"/>
        <v>0.6</v>
      </c>
      <c r="R56" s="573" t="str">
        <f t="shared" si="6"/>
        <v/>
      </c>
      <c r="S56" s="332">
        <f>IF(L56="",0,O56*12*L56*(1+tab!$D$108)*tab!$E$110)</f>
        <v>0</v>
      </c>
      <c r="T56" s="580">
        <f t="shared" si="7"/>
        <v>0</v>
      </c>
      <c r="U56" s="243">
        <f t="shared" si="8"/>
        <v>0</v>
      </c>
      <c r="V56" s="332">
        <f t="shared" si="18"/>
        <v>0</v>
      </c>
      <c r="W56" s="136"/>
      <c r="X56" s="97"/>
      <c r="Z56" s="647" t="b">
        <f t="shared" si="13"/>
        <v>0</v>
      </c>
      <c r="AA56" s="85">
        <f t="shared" si="14"/>
        <v>112</v>
      </c>
      <c r="AB56" s="67">
        <f t="shared" si="15"/>
        <v>30</v>
      </c>
      <c r="AC56" s="67">
        <f t="shared" si="16"/>
        <v>30</v>
      </c>
      <c r="AD56" s="84">
        <f t="shared" si="19"/>
        <v>0</v>
      </c>
    </row>
    <row r="57" spans="2:30" ht="12.75" customHeight="1">
      <c r="B57" s="92"/>
      <c r="C57" s="131"/>
      <c r="D57" s="169"/>
      <c r="E57" s="169"/>
      <c r="F57" s="169"/>
      <c r="G57" s="170"/>
      <c r="H57" s="566"/>
      <c r="I57" s="170"/>
      <c r="J57" s="567"/>
      <c r="K57" s="568"/>
      <c r="L57" s="569"/>
      <c r="M57" s="570">
        <f t="shared" si="12"/>
        <v>0</v>
      </c>
      <c r="N57" s="155"/>
      <c r="O57" s="571" t="str">
        <f>IF(I57="","",VLOOKUP(I57,tab!$A$119:$V$159,J57+3,FALSE))</f>
        <v/>
      </c>
      <c r="P57" s="572">
        <f t="shared" si="17"/>
        <v>0</v>
      </c>
      <c r="Q57" s="589">
        <f t="shared" si="5"/>
        <v>0.6</v>
      </c>
      <c r="R57" s="573" t="str">
        <f t="shared" si="6"/>
        <v/>
      </c>
      <c r="S57" s="332">
        <f>IF(L57="",0,O57*12*L57*(1+tab!$D$108)*tab!$E$110)</f>
        <v>0</v>
      </c>
      <c r="T57" s="580">
        <f t="shared" si="7"/>
        <v>0</v>
      </c>
      <c r="U57" s="243">
        <f t="shared" si="8"/>
        <v>0</v>
      </c>
      <c r="V57" s="332">
        <f t="shared" si="18"/>
        <v>0</v>
      </c>
      <c r="W57" s="136"/>
      <c r="X57" s="97"/>
      <c r="Z57" s="647" t="b">
        <f t="shared" si="13"/>
        <v>0</v>
      </c>
      <c r="AA57" s="85">
        <f t="shared" si="14"/>
        <v>112</v>
      </c>
      <c r="AB57" s="67">
        <f t="shared" si="15"/>
        <v>30</v>
      </c>
      <c r="AC57" s="67">
        <f t="shared" si="16"/>
        <v>30</v>
      </c>
      <c r="AD57" s="84">
        <f t="shared" si="19"/>
        <v>0</v>
      </c>
    </row>
    <row r="58" spans="2:30" ht="12.75" customHeight="1">
      <c r="B58" s="92"/>
      <c r="C58" s="131"/>
      <c r="D58" s="169"/>
      <c r="E58" s="169"/>
      <c r="F58" s="169"/>
      <c r="G58" s="170"/>
      <c r="H58" s="566"/>
      <c r="I58" s="170"/>
      <c r="J58" s="567"/>
      <c r="K58" s="568"/>
      <c r="L58" s="569"/>
      <c r="M58" s="570">
        <f t="shared" si="12"/>
        <v>0</v>
      </c>
      <c r="N58" s="155"/>
      <c r="O58" s="571" t="str">
        <f>IF(I58="","",VLOOKUP(I58,tab!$A$119:$V$159,J58+3,FALSE))</f>
        <v/>
      </c>
      <c r="P58" s="572">
        <f t="shared" si="17"/>
        <v>0</v>
      </c>
      <c r="Q58" s="589">
        <f t="shared" si="5"/>
        <v>0.6</v>
      </c>
      <c r="R58" s="573" t="str">
        <f t="shared" si="6"/>
        <v/>
      </c>
      <c r="S58" s="332">
        <f>IF(L58="",0,O58*12*L58*(1+tab!$D$108)*tab!$E$110)</f>
        <v>0</v>
      </c>
      <c r="T58" s="580">
        <f t="shared" si="7"/>
        <v>0</v>
      </c>
      <c r="U58" s="243">
        <f t="shared" si="8"/>
        <v>0</v>
      </c>
      <c r="V58" s="332">
        <f t="shared" si="18"/>
        <v>0</v>
      </c>
      <c r="W58" s="136"/>
      <c r="X58" s="97"/>
      <c r="Z58" s="647" t="b">
        <f t="shared" si="13"/>
        <v>0</v>
      </c>
      <c r="AA58" s="85">
        <f t="shared" si="14"/>
        <v>112</v>
      </c>
      <c r="AB58" s="67">
        <f t="shared" si="15"/>
        <v>30</v>
      </c>
      <c r="AC58" s="67">
        <f t="shared" si="16"/>
        <v>30</v>
      </c>
      <c r="AD58" s="84">
        <f t="shared" si="19"/>
        <v>0</v>
      </c>
    </row>
    <row r="59" spans="2:30" ht="12.75" customHeight="1">
      <c r="B59" s="92"/>
      <c r="C59" s="131"/>
      <c r="D59" s="169"/>
      <c r="E59" s="169"/>
      <c r="F59" s="169"/>
      <c r="G59" s="170"/>
      <c r="H59" s="566"/>
      <c r="I59" s="170"/>
      <c r="J59" s="567"/>
      <c r="K59" s="568"/>
      <c r="L59" s="569"/>
      <c r="M59" s="570">
        <f t="shared" si="12"/>
        <v>0</v>
      </c>
      <c r="N59" s="155"/>
      <c r="O59" s="571" t="str">
        <f>IF(I59="","",VLOOKUP(I59,tab!$A$119:$V$159,J59+3,FALSE))</f>
        <v/>
      </c>
      <c r="P59" s="572">
        <f t="shared" si="17"/>
        <v>0</v>
      </c>
      <c r="Q59" s="589">
        <f t="shared" si="5"/>
        <v>0.6</v>
      </c>
      <c r="R59" s="573" t="str">
        <f t="shared" si="6"/>
        <v/>
      </c>
      <c r="S59" s="332">
        <f>IF(L59="",0,O59*12*L59*(1+tab!$D$108)*tab!$E$110)</f>
        <v>0</v>
      </c>
      <c r="T59" s="580">
        <f t="shared" si="7"/>
        <v>0</v>
      </c>
      <c r="U59" s="243">
        <f t="shared" si="8"/>
        <v>0</v>
      </c>
      <c r="V59" s="332">
        <f t="shared" si="18"/>
        <v>0</v>
      </c>
      <c r="W59" s="136"/>
      <c r="X59" s="97"/>
      <c r="Z59" s="647" t="b">
        <f t="shared" si="13"/>
        <v>0</v>
      </c>
      <c r="AA59" s="85">
        <f t="shared" si="14"/>
        <v>112</v>
      </c>
      <c r="AB59" s="67">
        <f t="shared" si="15"/>
        <v>30</v>
      </c>
      <c r="AC59" s="67">
        <f t="shared" si="16"/>
        <v>30</v>
      </c>
      <c r="AD59" s="84">
        <f t="shared" si="19"/>
        <v>0</v>
      </c>
    </row>
    <row r="60" spans="2:30" ht="12.75" customHeight="1">
      <c r="B60" s="92"/>
      <c r="C60" s="131"/>
      <c r="D60" s="169"/>
      <c r="E60" s="169"/>
      <c r="F60" s="169"/>
      <c r="G60" s="170"/>
      <c r="H60" s="566"/>
      <c r="I60" s="170"/>
      <c r="J60" s="567"/>
      <c r="K60" s="568"/>
      <c r="L60" s="569"/>
      <c r="M60" s="570">
        <f t="shared" si="12"/>
        <v>0</v>
      </c>
      <c r="N60" s="155"/>
      <c r="O60" s="571" t="str">
        <f>IF(I60="","",VLOOKUP(I60,tab!$A$119:$V$159,J60+3,FALSE))</f>
        <v/>
      </c>
      <c r="P60" s="572">
        <f t="shared" si="17"/>
        <v>0</v>
      </c>
      <c r="Q60" s="589">
        <f t="shared" si="5"/>
        <v>0.6</v>
      </c>
      <c r="R60" s="573" t="str">
        <f t="shared" si="6"/>
        <v/>
      </c>
      <c r="S60" s="332">
        <f>IF(L60="",0,O60*12*L60*(1+tab!$D$108)*tab!$E$110)</f>
        <v>0</v>
      </c>
      <c r="T60" s="580">
        <f t="shared" si="7"/>
        <v>0</v>
      </c>
      <c r="U60" s="243">
        <f t="shared" si="8"/>
        <v>0</v>
      </c>
      <c r="V60" s="332">
        <f t="shared" si="18"/>
        <v>0</v>
      </c>
      <c r="W60" s="136"/>
      <c r="X60" s="97"/>
      <c r="Z60" s="647" t="b">
        <f t="shared" si="13"/>
        <v>0</v>
      </c>
      <c r="AA60" s="85">
        <f t="shared" si="14"/>
        <v>112</v>
      </c>
      <c r="AB60" s="67">
        <f t="shared" si="15"/>
        <v>30</v>
      </c>
      <c r="AC60" s="67">
        <f t="shared" si="16"/>
        <v>30</v>
      </c>
      <c r="AD60" s="84">
        <f t="shared" si="19"/>
        <v>0</v>
      </c>
    </row>
    <row r="61" spans="2:30" ht="12.75" customHeight="1">
      <c r="B61" s="92"/>
      <c r="C61" s="131"/>
      <c r="D61" s="169"/>
      <c r="E61" s="169"/>
      <c r="F61" s="169"/>
      <c r="G61" s="170"/>
      <c r="H61" s="566"/>
      <c r="I61" s="170"/>
      <c r="J61" s="567"/>
      <c r="K61" s="568"/>
      <c r="L61" s="569"/>
      <c r="M61" s="570">
        <f t="shared" si="12"/>
        <v>0</v>
      </c>
      <c r="N61" s="155"/>
      <c r="O61" s="571" t="str">
        <f>IF(I61="","",VLOOKUP(I61,tab!$A$119:$V$159,J61+3,FALSE))</f>
        <v/>
      </c>
      <c r="P61" s="572">
        <f t="shared" si="17"/>
        <v>0</v>
      </c>
      <c r="Q61" s="589">
        <f t="shared" si="5"/>
        <v>0.6</v>
      </c>
      <c r="R61" s="573" t="str">
        <f t="shared" si="6"/>
        <v/>
      </c>
      <c r="S61" s="332">
        <f>IF(L61="",0,O61*12*L61*(1+tab!$D$108)*tab!$E$110)</f>
        <v>0</v>
      </c>
      <c r="T61" s="580">
        <f t="shared" si="7"/>
        <v>0</v>
      </c>
      <c r="U61" s="243">
        <f t="shared" si="8"/>
        <v>0</v>
      </c>
      <c r="V61" s="332">
        <f t="shared" si="18"/>
        <v>0</v>
      </c>
      <c r="W61" s="136"/>
      <c r="X61" s="97"/>
      <c r="Z61" s="647" t="b">
        <f t="shared" si="13"/>
        <v>0</v>
      </c>
      <c r="AA61" s="85">
        <f t="shared" si="14"/>
        <v>112</v>
      </c>
      <c r="AB61" s="67">
        <f t="shared" si="15"/>
        <v>30</v>
      </c>
      <c r="AC61" s="67">
        <f t="shared" si="16"/>
        <v>30</v>
      </c>
      <c r="AD61" s="84">
        <f t="shared" si="19"/>
        <v>0</v>
      </c>
    </row>
    <row r="62" spans="2:30" ht="12.75" customHeight="1">
      <c r="B62" s="92"/>
      <c r="C62" s="131"/>
      <c r="D62" s="169"/>
      <c r="E62" s="169"/>
      <c r="F62" s="169"/>
      <c r="G62" s="170"/>
      <c r="H62" s="566"/>
      <c r="I62" s="170"/>
      <c r="J62" s="567"/>
      <c r="K62" s="568"/>
      <c r="L62" s="569"/>
      <c r="M62" s="570">
        <f t="shared" si="12"/>
        <v>0</v>
      </c>
      <c r="N62" s="155"/>
      <c r="O62" s="571" t="str">
        <f>IF(I62="","",VLOOKUP(I62,tab!$A$119:$V$159,J62+3,FALSE))</f>
        <v/>
      </c>
      <c r="P62" s="572">
        <f t="shared" si="17"/>
        <v>0</v>
      </c>
      <c r="Q62" s="589">
        <f t="shared" si="5"/>
        <v>0.6</v>
      </c>
      <c r="R62" s="573" t="str">
        <f t="shared" si="6"/>
        <v/>
      </c>
      <c r="S62" s="332">
        <f>IF(L62="",0,O62*12*L62*(1+tab!$D$108)*tab!$E$110)</f>
        <v>0</v>
      </c>
      <c r="T62" s="580">
        <f t="shared" si="7"/>
        <v>0</v>
      </c>
      <c r="U62" s="243">
        <f t="shared" si="8"/>
        <v>0</v>
      </c>
      <c r="V62" s="332">
        <f t="shared" si="18"/>
        <v>0</v>
      </c>
      <c r="W62" s="136"/>
      <c r="X62" s="97"/>
      <c r="Z62" s="647" t="b">
        <f t="shared" si="13"/>
        <v>0</v>
      </c>
      <c r="AA62" s="85">
        <f t="shared" si="14"/>
        <v>112</v>
      </c>
      <c r="AB62" s="67">
        <f t="shared" si="15"/>
        <v>30</v>
      </c>
      <c r="AC62" s="67">
        <f t="shared" si="16"/>
        <v>30</v>
      </c>
      <c r="AD62" s="84">
        <f t="shared" si="19"/>
        <v>0</v>
      </c>
    </row>
    <row r="63" spans="2:30" ht="12.75" customHeight="1">
      <c r="B63" s="92"/>
      <c r="C63" s="131"/>
      <c r="D63" s="169"/>
      <c r="E63" s="169"/>
      <c r="F63" s="169"/>
      <c r="G63" s="170"/>
      <c r="H63" s="566"/>
      <c r="I63" s="170"/>
      <c r="J63" s="567"/>
      <c r="K63" s="568"/>
      <c r="L63" s="569"/>
      <c r="M63" s="570">
        <f t="shared" si="12"/>
        <v>0</v>
      </c>
      <c r="N63" s="155"/>
      <c r="O63" s="571" t="str">
        <f>IF(I63="","",VLOOKUP(I63,tab!$A$119:$V$159,J63+3,FALSE))</f>
        <v/>
      </c>
      <c r="P63" s="572">
        <f t="shared" si="17"/>
        <v>0</v>
      </c>
      <c r="Q63" s="589">
        <f t="shared" si="5"/>
        <v>0.6</v>
      </c>
      <c r="R63" s="573" t="str">
        <f t="shared" si="6"/>
        <v/>
      </c>
      <c r="S63" s="332">
        <f>IF(L63="",0,O63*12*L63*(1+tab!$D$108)*tab!$E$110)</f>
        <v>0</v>
      </c>
      <c r="T63" s="580">
        <f t="shared" si="7"/>
        <v>0</v>
      </c>
      <c r="U63" s="243">
        <f t="shared" si="8"/>
        <v>0</v>
      </c>
      <c r="V63" s="332">
        <f t="shared" si="18"/>
        <v>0</v>
      </c>
      <c r="W63" s="136"/>
      <c r="X63" s="97"/>
      <c r="Z63" s="647" t="b">
        <f t="shared" si="13"/>
        <v>0</v>
      </c>
      <c r="AA63" s="85">
        <f t="shared" si="14"/>
        <v>112</v>
      </c>
      <c r="AB63" s="67">
        <f t="shared" si="15"/>
        <v>30</v>
      </c>
      <c r="AC63" s="67">
        <f t="shared" si="16"/>
        <v>30</v>
      </c>
      <c r="AD63" s="84">
        <f t="shared" si="19"/>
        <v>0</v>
      </c>
    </row>
    <row r="64" spans="2:30" ht="12.75" customHeight="1">
      <c r="B64" s="92"/>
      <c r="C64" s="131"/>
      <c r="D64" s="169"/>
      <c r="E64" s="169"/>
      <c r="F64" s="169"/>
      <c r="G64" s="170"/>
      <c r="H64" s="566"/>
      <c r="I64" s="170"/>
      <c r="J64" s="567"/>
      <c r="K64" s="568"/>
      <c r="L64" s="569"/>
      <c r="M64" s="570">
        <f t="shared" si="12"/>
        <v>0</v>
      </c>
      <c r="N64" s="155"/>
      <c r="O64" s="571" t="str">
        <f>IF(I64="","",VLOOKUP(I64,tab!$A$119:$V$159,J64+3,FALSE))</f>
        <v/>
      </c>
      <c r="P64" s="572">
        <f t="shared" si="17"/>
        <v>0</v>
      </c>
      <c r="Q64" s="589">
        <f t="shared" si="5"/>
        <v>0.6</v>
      </c>
      <c r="R64" s="573" t="str">
        <f t="shared" si="6"/>
        <v/>
      </c>
      <c r="S64" s="332">
        <f>IF(L64="",0,O64*12*L64*(1+tab!$D$108)*tab!$E$110)</f>
        <v>0</v>
      </c>
      <c r="T64" s="580">
        <f t="shared" si="7"/>
        <v>0</v>
      </c>
      <c r="U64" s="243">
        <f t="shared" si="8"/>
        <v>0</v>
      </c>
      <c r="V64" s="332">
        <f t="shared" si="18"/>
        <v>0</v>
      </c>
      <c r="W64" s="136"/>
      <c r="X64" s="97"/>
      <c r="Z64" s="647" t="b">
        <f t="shared" si="13"/>
        <v>0</v>
      </c>
      <c r="AA64" s="85">
        <f t="shared" si="14"/>
        <v>112</v>
      </c>
      <c r="AB64" s="67">
        <f t="shared" si="15"/>
        <v>30</v>
      </c>
      <c r="AC64" s="67">
        <f t="shared" si="16"/>
        <v>30</v>
      </c>
      <c r="AD64" s="84">
        <f t="shared" si="19"/>
        <v>0</v>
      </c>
    </row>
    <row r="65" spans="2:30" ht="12.75" customHeight="1">
      <c r="B65" s="92"/>
      <c r="C65" s="131"/>
      <c r="D65" s="169"/>
      <c r="E65" s="169"/>
      <c r="F65" s="169"/>
      <c r="G65" s="170"/>
      <c r="H65" s="566"/>
      <c r="I65" s="170"/>
      <c r="J65" s="567"/>
      <c r="K65" s="568"/>
      <c r="L65" s="569"/>
      <c r="M65" s="570">
        <f t="shared" si="12"/>
        <v>0</v>
      </c>
      <c r="N65" s="155"/>
      <c r="O65" s="571" t="str">
        <f>IF(I65="","",VLOOKUP(I65,tab!$A$119:$V$159,J65+3,FALSE))</f>
        <v/>
      </c>
      <c r="P65" s="572">
        <f t="shared" si="17"/>
        <v>0</v>
      </c>
      <c r="Q65" s="589">
        <f t="shared" si="5"/>
        <v>0.6</v>
      </c>
      <c r="R65" s="573" t="str">
        <f t="shared" si="6"/>
        <v/>
      </c>
      <c r="S65" s="332">
        <f>IF(L65="",0,O65*12*L65*(1+tab!$D$108)*tab!$E$110)</f>
        <v>0</v>
      </c>
      <c r="T65" s="580">
        <f t="shared" si="7"/>
        <v>0</v>
      </c>
      <c r="U65" s="243">
        <f t="shared" si="8"/>
        <v>0</v>
      </c>
      <c r="V65" s="332">
        <f t="shared" si="18"/>
        <v>0</v>
      </c>
      <c r="W65" s="136"/>
      <c r="X65" s="97"/>
      <c r="Z65" s="647" t="b">
        <f t="shared" si="13"/>
        <v>0</v>
      </c>
      <c r="AA65" s="85">
        <f t="shared" si="14"/>
        <v>112</v>
      </c>
      <c r="AB65" s="67">
        <f t="shared" si="15"/>
        <v>30</v>
      </c>
      <c r="AC65" s="67">
        <f t="shared" si="16"/>
        <v>30</v>
      </c>
      <c r="AD65" s="84">
        <f t="shared" si="19"/>
        <v>0</v>
      </c>
    </row>
    <row r="66" spans="2:30" ht="12.75" customHeight="1">
      <c r="B66" s="92"/>
      <c r="C66" s="131"/>
      <c r="D66" s="169"/>
      <c r="E66" s="169"/>
      <c r="F66" s="169"/>
      <c r="G66" s="170"/>
      <c r="H66" s="566"/>
      <c r="I66" s="170"/>
      <c r="J66" s="567"/>
      <c r="K66" s="568"/>
      <c r="L66" s="569"/>
      <c r="M66" s="570">
        <f t="shared" ref="M66:M111" si="20">(IF(L66=0,(K66),(K66)-L66))</f>
        <v>0</v>
      </c>
      <c r="N66" s="155"/>
      <c r="O66" s="571" t="str">
        <f>IF(I66="","",VLOOKUP(I66,tab!$A$119:$V$159,J66+3,FALSE))</f>
        <v/>
      </c>
      <c r="P66" s="572">
        <f t="shared" si="17"/>
        <v>0</v>
      </c>
      <c r="Q66" s="589">
        <f t="shared" si="5"/>
        <v>0.6</v>
      </c>
      <c r="R66" s="573" t="str">
        <f t="shared" si="6"/>
        <v/>
      </c>
      <c r="S66" s="332">
        <f>IF(L66="",0,O66*12*L66*(1+tab!$D$108)*tab!$E$110)</f>
        <v>0</v>
      </c>
      <c r="T66" s="580">
        <f t="shared" si="7"/>
        <v>0</v>
      </c>
      <c r="U66" s="243">
        <f t="shared" si="8"/>
        <v>0</v>
      </c>
      <c r="V66" s="332">
        <f t="shared" si="18"/>
        <v>0</v>
      </c>
      <c r="W66" s="136"/>
      <c r="X66" s="97"/>
      <c r="Z66" s="647" t="b">
        <f t="shared" si="13"/>
        <v>0</v>
      </c>
      <c r="AA66" s="85">
        <f t="shared" si="14"/>
        <v>112</v>
      </c>
      <c r="AB66" s="67">
        <f t="shared" si="15"/>
        <v>30</v>
      </c>
      <c r="AC66" s="67">
        <f t="shared" si="16"/>
        <v>30</v>
      </c>
      <c r="AD66" s="84">
        <f t="shared" si="19"/>
        <v>0</v>
      </c>
    </row>
    <row r="67" spans="2:30" ht="12.75" customHeight="1">
      <c r="B67" s="92"/>
      <c r="C67" s="131"/>
      <c r="D67" s="169"/>
      <c r="E67" s="169"/>
      <c r="F67" s="169"/>
      <c r="G67" s="170"/>
      <c r="H67" s="566"/>
      <c r="I67" s="170"/>
      <c r="J67" s="567"/>
      <c r="K67" s="568"/>
      <c r="L67" s="569"/>
      <c r="M67" s="570">
        <f t="shared" si="20"/>
        <v>0</v>
      </c>
      <c r="N67" s="155"/>
      <c r="O67" s="571" t="str">
        <f>IF(I67="","",VLOOKUP(I67,tab!$A$119:$V$159,J67+3,FALSE))</f>
        <v/>
      </c>
      <c r="P67" s="572">
        <f t="shared" si="17"/>
        <v>0</v>
      </c>
      <c r="Q67" s="589">
        <f t="shared" si="5"/>
        <v>0.6</v>
      </c>
      <c r="R67" s="573" t="str">
        <f t="shared" si="6"/>
        <v/>
      </c>
      <c r="S67" s="332">
        <f>IF(L67="",0,O67*12*L67*(1+tab!$D$108)*tab!$E$110)</f>
        <v>0</v>
      </c>
      <c r="T67" s="580">
        <f t="shared" si="7"/>
        <v>0</v>
      </c>
      <c r="U67" s="243">
        <f t="shared" si="8"/>
        <v>0</v>
      </c>
      <c r="V67" s="332">
        <f t="shared" si="18"/>
        <v>0</v>
      </c>
      <c r="W67" s="136"/>
      <c r="X67" s="97"/>
      <c r="Z67" s="647" t="b">
        <f t="shared" si="13"/>
        <v>0</v>
      </c>
      <c r="AA67" s="85">
        <f t="shared" si="14"/>
        <v>112</v>
      </c>
      <c r="AB67" s="67">
        <f t="shared" si="15"/>
        <v>30</v>
      </c>
      <c r="AC67" s="67">
        <f t="shared" si="16"/>
        <v>30</v>
      </c>
      <c r="AD67" s="84">
        <f t="shared" si="19"/>
        <v>0</v>
      </c>
    </row>
    <row r="68" spans="2:30" ht="12.75" customHeight="1">
      <c r="B68" s="92"/>
      <c r="C68" s="131"/>
      <c r="D68" s="169"/>
      <c r="E68" s="169"/>
      <c r="F68" s="169"/>
      <c r="G68" s="170"/>
      <c r="H68" s="566"/>
      <c r="I68" s="170"/>
      <c r="J68" s="567"/>
      <c r="K68" s="568"/>
      <c r="L68" s="569"/>
      <c r="M68" s="570">
        <f t="shared" si="20"/>
        <v>0</v>
      </c>
      <c r="N68" s="155"/>
      <c r="O68" s="571" t="str">
        <f>IF(I68="","",VLOOKUP(I68,tab!$A$119:$V$159,J68+3,FALSE))</f>
        <v/>
      </c>
      <c r="P68" s="572">
        <f t="shared" si="17"/>
        <v>0</v>
      </c>
      <c r="Q68" s="589">
        <f t="shared" si="5"/>
        <v>0.6</v>
      </c>
      <c r="R68" s="573" t="str">
        <f t="shared" si="6"/>
        <v/>
      </c>
      <c r="S68" s="332">
        <f>IF(L68="",0,O68*12*L68*(1+tab!$D$108)*tab!$E$110)</f>
        <v>0</v>
      </c>
      <c r="T68" s="580">
        <f t="shared" si="7"/>
        <v>0</v>
      </c>
      <c r="U68" s="243">
        <f t="shared" si="8"/>
        <v>0</v>
      </c>
      <c r="V68" s="332">
        <f t="shared" si="18"/>
        <v>0</v>
      </c>
      <c r="W68" s="136"/>
      <c r="X68" s="97"/>
      <c r="Z68" s="647" t="b">
        <f t="shared" si="13"/>
        <v>0</v>
      </c>
      <c r="AA68" s="85">
        <f t="shared" si="14"/>
        <v>112</v>
      </c>
      <c r="AB68" s="67">
        <f t="shared" si="15"/>
        <v>30</v>
      </c>
      <c r="AC68" s="67">
        <f t="shared" si="16"/>
        <v>30</v>
      </c>
      <c r="AD68" s="84">
        <f t="shared" si="19"/>
        <v>0</v>
      </c>
    </row>
    <row r="69" spans="2:30" ht="12.75" customHeight="1">
      <c r="B69" s="92"/>
      <c r="C69" s="131"/>
      <c r="D69" s="169"/>
      <c r="E69" s="169"/>
      <c r="F69" s="169"/>
      <c r="G69" s="170"/>
      <c r="H69" s="566"/>
      <c r="I69" s="170"/>
      <c r="J69" s="567"/>
      <c r="K69" s="568"/>
      <c r="L69" s="569"/>
      <c r="M69" s="570">
        <f t="shared" si="20"/>
        <v>0</v>
      </c>
      <c r="N69" s="155"/>
      <c r="O69" s="571" t="str">
        <f>IF(I69="","",VLOOKUP(I69,tab!$A$119:$V$159,J69+3,FALSE))</f>
        <v/>
      </c>
      <c r="P69" s="572">
        <f t="shared" si="17"/>
        <v>0</v>
      </c>
      <c r="Q69" s="589">
        <f t="shared" si="5"/>
        <v>0.6</v>
      </c>
      <c r="R69" s="573" t="str">
        <f t="shared" si="6"/>
        <v/>
      </c>
      <c r="S69" s="332">
        <f>IF(L69="",0,O69*12*L69*(1+tab!$D$108)*tab!$E$110)</f>
        <v>0</v>
      </c>
      <c r="T69" s="580">
        <f t="shared" si="7"/>
        <v>0</v>
      </c>
      <c r="U69" s="243">
        <f t="shared" si="8"/>
        <v>0</v>
      </c>
      <c r="V69" s="332">
        <f t="shared" si="18"/>
        <v>0</v>
      </c>
      <c r="W69" s="136"/>
      <c r="X69" s="97"/>
      <c r="Z69" s="647" t="b">
        <f t="shared" si="13"/>
        <v>0</v>
      </c>
      <c r="AA69" s="85">
        <f t="shared" si="14"/>
        <v>112</v>
      </c>
      <c r="AB69" s="67">
        <f t="shared" si="15"/>
        <v>30</v>
      </c>
      <c r="AC69" s="67">
        <f t="shared" si="16"/>
        <v>30</v>
      </c>
      <c r="AD69" s="84">
        <f t="shared" si="19"/>
        <v>0</v>
      </c>
    </row>
    <row r="70" spans="2:30" ht="12.75" customHeight="1">
      <c r="B70" s="92"/>
      <c r="C70" s="131"/>
      <c r="D70" s="169"/>
      <c r="E70" s="169"/>
      <c r="F70" s="169"/>
      <c r="G70" s="170"/>
      <c r="H70" s="566"/>
      <c r="I70" s="170"/>
      <c r="J70" s="567"/>
      <c r="K70" s="568"/>
      <c r="L70" s="569"/>
      <c r="M70" s="570">
        <f t="shared" si="20"/>
        <v>0</v>
      </c>
      <c r="N70" s="155"/>
      <c r="O70" s="571" t="str">
        <f>IF(I70="","",VLOOKUP(I70,tab!$A$119:$V$159,J70+3,FALSE))</f>
        <v/>
      </c>
      <c r="P70" s="572">
        <f t="shared" si="17"/>
        <v>0</v>
      </c>
      <c r="Q70" s="589">
        <f t="shared" si="5"/>
        <v>0.6</v>
      </c>
      <c r="R70" s="573" t="str">
        <f t="shared" si="6"/>
        <v/>
      </c>
      <c r="S70" s="332">
        <f>IF(L70="",0,O70*12*L70*(1+tab!$D$108)*tab!$E$110)</f>
        <v>0</v>
      </c>
      <c r="T70" s="580">
        <f t="shared" si="7"/>
        <v>0</v>
      </c>
      <c r="U70" s="243">
        <f t="shared" si="8"/>
        <v>0</v>
      </c>
      <c r="V70" s="332">
        <f t="shared" si="18"/>
        <v>0</v>
      </c>
      <c r="W70" s="136"/>
      <c r="X70" s="97"/>
      <c r="Z70" s="647" t="b">
        <f t="shared" si="13"/>
        <v>0</v>
      </c>
      <c r="AA70" s="85">
        <f t="shared" si="14"/>
        <v>112</v>
      </c>
      <c r="AB70" s="67">
        <f t="shared" si="15"/>
        <v>30</v>
      </c>
      <c r="AC70" s="67">
        <f t="shared" si="16"/>
        <v>30</v>
      </c>
      <c r="AD70" s="84">
        <f t="shared" si="19"/>
        <v>0</v>
      </c>
    </row>
    <row r="71" spans="2:30" ht="12.75" customHeight="1">
      <c r="B71" s="92"/>
      <c r="C71" s="131"/>
      <c r="D71" s="169"/>
      <c r="E71" s="169"/>
      <c r="F71" s="169"/>
      <c r="G71" s="170"/>
      <c r="H71" s="566"/>
      <c r="I71" s="170"/>
      <c r="J71" s="567"/>
      <c r="K71" s="568"/>
      <c r="L71" s="569"/>
      <c r="M71" s="570">
        <f t="shared" si="20"/>
        <v>0</v>
      </c>
      <c r="N71" s="155"/>
      <c r="O71" s="571" t="str">
        <f>IF(I71="","",VLOOKUP(I71,tab!$A$119:$V$159,J71+3,FALSE))</f>
        <v/>
      </c>
      <c r="P71" s="572">
        <f t="shared" si="17"/>
        <v>0</v>
      </c>
      <c r="Q71" s="589">
        <f t="shared" si="5"/>
        <v>0.6</v>
      </c>
      <c r="R71" s="573" t="str">
        <f t="shared" si="6"/>
        <v/>
      </c>
      <c r="S71" s="332">
        <f>IF(L71="",0,O71*12*L71*(1+tab!$D$108)*tab!$E$110)</f>
        <v>0</v>
      </c>
      <c r="T71" s="580">
        <f t="shared" si="7"/>
        <v>0</v>
      </c>
      <c r="U71" s="243">
        <f t="shared" si="8"/>
        <v>0</v>
      </c>
      <c r="V71" s="332">
        <f t="shared" si="18"/>
        <v>0</v>
      </c>
      <c r="W71" s="136"/>
      <c r="X71" s="97"/>
      <c r="Z71" s="647" t="b">
        <f t="shared" si="13"/>
        <v>0</v>
      </c>
      <c r="AA71" s="85">
        <f t="shared" si="14"/>
        <v>112</v>
      </c>
      <c r="AB71" s="67">
        <f t="shared" si="15"/>
        <v>30</v>
      </c>
      <c r="AC71" s="67">
        <f t="shared" si="16"/>
        <v>30</v>
      </c>
      <c r="AD71" s="84">
        <f t="shared" si="19"/>
        <v>0</v>
      </c>
    </row>
    <row r="72" spans="2:30" ht="12.75" customHeight="1">
      <c r="B72" s="92"/>
      <c r="C72" s="131"/>
      <c r="D72" s="169"/>
      <c r="E72" s="169"/>
      <c r="F72" s="169"/>
      <c r="G72" s="170"/>
      <c r="H72" s="566"/>
      <c r="I72" s="170"/>
      <c r="J72" s="567"/>
      <c r="K72" s="568"/>
      <c r="L72" s="569"/>
      <c r="M72" s="570">
        <f t="shared" si="20"/>
        <v>0</v>
      </c>
      <c r="N72" s="155"/>
      <c r="O72" s="571" t="str">
        <f>IF(I72="","",VLOOKUP(I72,tab!$A$119:$V$159,J72+3,FALSE))</f>
        <v/>
      </c>
      <c r="P72" s="572">
        <f t="shared" si="17"/>
        <v>0</v>
      </c>
      <c r="Q72" s="589">
        <f t="shared" si="5"/>
        <v>0.6</v>
      </c>
      <c r="R72" s="573" t="str">
        <f t="shared" si="6"/>
        <v/>
      </c>
      <c r="S72" s="332">
        <f>IF(L72="",0,O72*12*L72*(1+tab!$D$108)*tab!$E$110)</f>
        <v>0</v>
      </c>
      <c r="T72" s="580">
        <f t="shared" si="7"/>
        <v>0</v>
      </c>
      <c r="U72" s="243">
        <f t="shared" si="8"/>
        <v>0</v>
      </c>
      <c r="V72" s="332">
        <f t="shared" si="18"/>
        <v>0</v>
      </c>
      <c r="W72" s="136"/>
      <c r="X72" s="97"/>
      <c r="Z72" s="647" t="b">
        <f t="shared" si="13"/>
        <v>0</v>
      </c>
      <c r="AA72" s="85">
        <f t="shared" si="14"/>
        <v>112</v>
      </c>
      <c r="AB72" s="67">
        <f t="shared" si="15"/>
        <v>30</v>
      </c>
      <c r="AC72" s="67">
        <f t="shared" si="16"/>
        <v>30</v>
      </c>
      <c r="AD72" s="84">
        <f t="shared" si="19"/>
        <v>0</v>
      </c>
    </row>
    <row r="73" spans="2:30" ht="12.75" customHeight="1">
      <c r="B73" s="92"/>
      <c r="C73" s="131"/>
      <c r="D73" s="169"/>
      <c r="E73" s="169"/>
      <c r="F73" s="169"/>
      <c r="G73" s="170"/>
      <c r="H73" s="566"/>
      <c r="I73" s="170"/>
      <c r="J73" s="567"/>
      <c r="K73" s="568"/>
      <c r="L73" s="569"/>
      <c r="M73" s="570">
        <f t="shared" si="20"/>
        <v>0</v>
      </c>
      <c r="N73" s="155"/>
      <c r="O73" s="571" t="str">
        <f>IF(I73="","",VLOOKUP(I73,tab!$A$119:$V$159,J73+3,FALSE))</f>
        <v/>
      </c>
      <c r="P73" s="572">
        <f t="shared" si="17"/>
        <v>0</v>
      </c>
      <c r="Q73" s="589">
        <f t="shared" si="5"/>
        <v>0.6</v>
      </c>
      <c r="R73" s="573" t="str">
        <f t="shared" si="6"/>
        <v/>
      </c>
      <c r="S73" s="332">
        <f>IF(L73="",0,O73*12*L73*(1+tab!$D$108)*tab!$E$110)</f>
        <v>0</v>
      </c>
      <c r="T73" s="580">
        <f t="shared" si="7"/>
        <v>0</v>
      </c>
      <c r="U73" s="243">
        <f t="shared" si="8"/>
        <v>0</v>
      </c>
      <c r="V73" s="332">
        <f t="shared" si="18"/>
        <v>0</v>
      </c>
      <c r="W73" s="136"/>
      <c r="X73" s="97"/>
      <c r="Z73" s="647" t="b">
        <f t="shared" si="13"/>
        <v>0</v>
      </c>
      <c r="AA73" s="85">
        <f t="shared" si="14"/>
        <v>112</v>
      </c>
      <c r="AB73" s="67">
        <f t="shared" si="15"/>
        <v>30</v>
      </c>
      <c r="AC73" s="67">
        <f t="shared" si="16"/>
        <v>30</v>
      </c>
      <c r="AD73" s="84">
        <f t="shared" si="19"/>
        <v>0</v>
      </c>
    </row>
    <row r="74" spans="2:30" ht="12.75" customHeight="1">
      <c r="B74" s="92"/>
      <c r="C74" s="131"/>
      <c r="D74" s="169"/>
      <c r="E74" s="169"/>
      <c r="F74" s="169"/>
      <c r="G74" s="170"/>
      <c r="H74" s="566"/>
      <c r="I74" s="170"/>
      <c r="J74" s="567"/>
      <c r="K74" s="568"/>
      <c r="L74" s="569"/>
      <c r="M74" s="570">
        <f t="shared" si="20"/>
        <v>0</v>
      </c>
      <c r="N74" s="155"/>
      <c r="O74" s="571" t="str">
        <f>IF(I74="","",VLOOKUP(I74,tab!$A$119:$V$159,J74+3,FALSE))</f>
        <v/>
      </c>
      <c r="P74" s="572">
        <f t="shared" si="17"/>
        <v>0</v>
      </c>
      <c r="Q74" s="589">
        <f t="shared" si="5"/>
        <v>0.6</v>
      </c>
      <c r="R74" s="573" t="str">
        <f t="shared" si="6"/>
        <v/>
      </c>
      <c r="S74" s="332">
        <f>IF(L74="",0,O74*12*L74*(1+tab!$D$108)*tab!$E$110)</f>
        <v>0</v>
      </c>
      <c r="T74" s="580">
        <f t="shared" si="7"/>
        <v>0</v>
      </c>
      <c r="U74" s="243">
        <f t="shared" si="8"/>
        <v>0</v>
      </c>
      <c r="V74" s="332">
        <f t="shared" si="18"/>
        <v>0</v>
      </c>
      <c r="W74" s="136"/>
      <c r="X74" s="97"/>
      <c r="Z74" s="647" t="b">
        <f t="shared" si="13"/>
        <v>0</v>
      </c>
      <c r="AA74" s="85">
        <f t="shared" si="14"/>
        <v>112</v>
      </c>
      <c r="AB74" s="67">
        <f t="shared" si="15"/>
        <v>30</v>
      </c>
      <c r="AC74" s="67">
        <f t="shared" si="16"/>
        <v>30</v>
      </c>
      <c r="AD74" s="84">
        <f t="shared" si="19"/>
        <v>0</v>
      </c>
    </row>
    <row r="75" spans="2:30" ht="12.75" customHeight="1">
      <c r="B75" s="92"/>
      <c r="C75" s="131"/>
      <c r="D75" s="169"/>
      <c r="E75" s="169"/>
      <c r="F75" s="169"/>
      <c r="G75" s="170"/>
      <c r="H75" s="566"/>
      <c r="I75" s="170"/>
      <c r="J75" s="567"/>
      <c r="K75" s="568"/>
      <c r="L75" s="569"/>
      <c r="M75" s="570">
        <f t="shared" si="20"/>
        <v>0</v>
      </c>
      <c r="N75" s="155"/>
      <c r="O75" s="571" t="str">
        <f>IF(I75="","",VLOOKUP(I75,tab!$A$119:$V$159,J75+3,FALSE))</f>
        <v/>
      </c>
      <c r="P75" s="572">
        <f t="shared" si="17"/>
        <v>0</v>
      </c>
      <c r="Q75" s="589">
        <f t="shared" si="5"/>
        <v>0.6</v>
      </c>
      <c r="R75" s="573" t="str">
        <f t="shared" si="6"/>
        <v/>
      </c>
      <c r="S75" s="332">
        <f>IF(L75="",0,O75*12*L75*(1+tab!$D$108)*tab!$E$110)</f>
        <v>0</v>
      </c>
      <c r="T75" s="580">
        <f t="shared" si="7"/>
        <v>0</v>
      </c>
      <c r="U75" s="243">
        <f t="shared" si="8"/>
        <v>0</v>
      </c>
      <c r="V75" s="332">
        <f t="shared" si="18"/>
        <v>0</v>
      </c>
      <c r="W75" s="136"/>
      <c r="X75" s="97"/>
      <c r="Z75" s="647" t="b">
        <f t="shared" si="13"/>
        <v>0</v>
      </c>
      <c r="AA75" s="85">
        <f t="shared" si="14"/>
        <v>112</v>
      </c>
      <c r="AB75" s="67">
        <f t="shared" si="15"/>
        <v>30</v>
      </c>
      <c r="AC75" s="67">
        <f t="shared" si="16"/>
        <v>30</v>
      </c>
      <c r="AD75" s="84">
        <f t="shared" si="19"/>
        <v>0</v>
      </c>
    </row>
    <row r="76" spans="2:30" ht="12.75" customHeight="1">
      <c r="B76" s="92"/>
      <c r="C76" s="131"/>
      <c r="D76" s="169"/>
      <c r="E76" s="169"/>
      <c r="F76" s="169"/>
      <c r="G76" s="170"/>
      <c r="H76" s="566"/>
      <c r="I76" s="170"/>
      <c r="J76" s="567"/>
      <c r="K76" s="568"/>
      <c r="L76" s="569"/>
      <c r="M76" s="570">
        <f t="shared" si="20"/>
        <v>0</v>
      </c>
      <c r="N76" s="155"/>
      <c r="O76" s="571" t="str">
        <f>IF(I76="","",VLOOKUP(I76,tab!$A$119:$V$159,J76+3,FALSE))</f>
        <v/>
      </c>
      <c r="P76" s="572">
        <f t="shared" si="17"/>
        <v>0</v>
      </c>
      <c r="Q76" s="589">
        <f t="shared" si="5"/>
        <v>0.6</v>
      </c>
      <c r="R76" s="573" t="str">
        <f t="shared" si="6"/>
        <v/>
      </c>
      <c r="S76" s="332">
        <f>IF(L76="",0,O76*12*L76*(1+tab!$D$108)*tab!$E$110)</f>
        <v>0</v>
      </c>
      <c r="T76" s="580">
        <f t="shared" si="7"/>
        <v>0</v>
      </c>
      <c r="U76" s="243">
        <f t="shared" si="8"/>
        <v>0</v>
      </c>
      <c r="V76" s="332">
        <f t="shared" si="18"/>
        <v>0</v>
      </c>
      <c r="W76" s="136"/>
      <c r="X76" s="97"/>
      <c r="Z76" s="647" t="b">
        <f t="shared" si="13"/>
        <v>0</v>
      </c>
      <c r="AA76" s="85">
        <f t="shared" si="14"/>
        <v>112</v>
      </c>
      <c r="AB76" s="67">
        <f t="shared" si="15"/>
        <v>30</v>
      </c>
      <c r="AC76" s="67">
        <f t="shared" si="16"/>
        <v>30</v>
      </c>
      <c r="AD76" s="84">
        <f t="shared" si="19"/>
        <v>0</v>
      </c>
    </row>
    <row r="77" spans="2:30" ht="12.75" customHeight="1">
      <c r="B77" s="92"/>
      <c r="C77" s="131"/>
      <c r="D77" s="169"/>
      <c r="E77" s="169"/>
      <c r="F77" s="169"/>
      <c r="G77" s="170"/>
      <c r="H77" s="566"/>
      <c r="I77" s="170"/>
      <c r="J77" s="567"/>
      <c r="K77" s="568"/>
      <c r="L77" s="569"/>
      <c r="M77" s="570">
        <f t="shared" si="20"/>
        <v>0</v>
      </c>
      <c r="N77" s="155"/>
      <c r="O77" s="571" t="str">
        <f>IF(I77="","",VLOOKUP(I77,tab!$A$119:$V$159,J77+3,FALSE))</f>
        <v/>
      </c>
      <c r="P77" s="572">
        <f t="shared" si="17"/>
        <v>0</v>
      </c>
      <c r="Q77" s="589">
        <f t="shared" si="5"/>
        <v>0.6</v>
      </c>
      <c r="R77" s="573" t="str">
        <f t="shared" si="6"/>
        <v/>
      </c>
      <c r="S77" s="332">
        <f>IF(L77="",0,O77*12*L77*(1+tab!$D$108)*tab!$E$110)</f>
        <v>0</v>
      </c>
      <c r="T77" s="580">
        <f t="shared" si="7"/>
        <v>0</v>
      </c>
      <c r="U77" s="243">
        <f t="shared" si="8"/>
        <v>0</v>
      </c>
      <c r="V77" s="332">
        <f t="shared" si="18"/>
        <v>0</v>
      </c>
      <c r="W77" s="136"/>
      <c r="X77" s="97"/>
      <c r="Z77" s="647" t="b">
        <f t="shared" si="13"/>
        <v>0</v>
      </c>
      <c r="AA77" s="85">
        <f t="shared" si="14"/>
        <v>112</v>
      </c>
      <c r="AB77" s="67">
        <f t="shared" si="15"/>
        <v>30</v>
      </c>
      <c r="AC77" s="67">
        <f t="shared" si="16"/>
        <v>30</v>
      </c>
      <c r="AD77" s="84">
        <f t="shared" si="19"/>
        <v>0</v>
      </c>
    </row>
    <row r="78" spans="2:30" ht="12.75" customHeight="1">
      <c r="B78" s="92"/>
      <c r="C78" s="131"/>
      <c r="D78" s="169"/>
      <c r="E78" s="169"/>
      <c r="F78" s="169"/>
      <c r="G78" s="170"/>
      <c r="H78" s="566"/>
      <c r="I78" s="170"/>
      <c r="J78" s="567"/>
      <c r="K78" s="568"/>
      <c r="L78" s="569"/>
      <c r="M78" s="570">
        <f t="shared" si="20"/>
        <v>0</v>
      </c>
      <c r="N78" s="155"/>
      <c r="O78" s="571" t="str">
        <f>IF(I78="","",VLOOKUP(I78,tab!$A$119:$V$159,J78+3,FALSE))</f>
        <v/>
      </c>
      <c r="P78" s="572">
        <f t="shared" si="17"/>
        <v>0</v>
      </c>
      <c r="Q78" s="589">
        <f t="shared" si="5"/>
        <v>0.6</v>
      </c>
      <c r="R78" s="573" t="str">
        <f t="shared" si="6"/>
        <v/>
      </c>
      <c r="S78" s="332">
        <f>IF(L78="",0,O78*12*L78*(1+tab!$D$108)*tab!$E$110)</f>
        <v>0</v>
      </c>
      <c r="T78" s="580">
        <f t="shared" si="7"/>
        <v>0</v>
      </c>
      <c r="U78" s="243">
        <f t="shared" si="8"/>
        <v>0</v>
      </c>
      <c r="V78" s="332">
        <f t="shared" si="18"/>
        <v>0</v>
      </c>
      <c r="W78" s="136"/>
      <c r="X78" s="97"/>
      <c r="Z78" s="647" t="b">
        <f t="shared" si="13"/>
        <v>0</v>
      </c>
      <c r="AA78" s="85">
        <f t="shared" si="14"/>
        <v>112</v>
      </c>
      <c r="AB78" s="67">
        <f t="shared" si="15"/>
        <v>30</v>
      </c>
      <c r="AC78" s="67">
        <f t="shared" si="16"/>
        <v>30</v>
      </c>
      <c r="AD78" s="84">
        <f t="shared" si="19"/>
        <v>0</v>
      </c>
    </row>
    <row r="79" spans="2:30" ht="12.75" customHeight="1">
      <c r="B79" s="92"/>
      <c r="C79" s="131"/>
      <c r="D79" s="169"/>
      <c r="E79" s="169"/>
      <c r="F79" s="169"/>
      <c r="G79" s="170"/>
      <c r="H79" s="566"/>
      <c r="I79" s="170"/>
      <c r="J79" s="567"/>
      <c r="K79" s="568"/>
      <c r="L79" s="569"/>
      <c r="M79" s="570">
        <f t="shared" si="20"/>
        <v>0</v>
      </c>
      <c r="N79" s="155"/>
      <c r="O79" s="571" t="str">
        <f>IF(I79="","",VLOOKUP(I79,tab!$A$119:$V$159,J79+3,FALSE))</f>
        <v/>
      </c>
      <c r="P79" s="572">
        <f t="shared" si="17"/>
        <v>0</v>
      </c>
      <c r="Q79" s="589">
        <f t="shared" si="5"/>
        <v>0.6</v>
      </c>
      <c r="R79" s="573" t="str">
        <f t="shared" si="6"/>
        <v/>
      </c>
      <c r="S79" s="332">
        <f>IF(L79="",0,O79*12*L79*(1+tab!$D$108)*tab!$E$110)</f>
        <v>0</v>
      </c>
      <c r="T79" s="580">
        <f t="shared" si="7"/>
        <v>0</v>
      </c>
      <c r="U79" s="243">
        <f t="shared" si="8"/>
        <v>0</v>
      </c>
      <c r="V79" s="332">
        <f t="shared" si="18"/>
        <v>0</v>
      </c>
      <c r="W79" s="136"/>
      <c r="X79" s="97"/>
      <c r="Z79" s="647" t="b">
        <f t="shared" si="13"/>
        <v>0</v>
      </c>
      <c r="AA79" s="85">
        <f t="shared" si="14"/>
        <v>112</v>
      </c>
      <c r="AB79" s="67">
        <f t="shared" si="15"/>
        <v>30</v>
      </c>
      <c r="AC79" s="67">
        <f t="shared" si="16"/>
        <v>30</v>
      </c>
      <c r="AD79" s="84">
        <f t="shared" si="19"/>
        <v>0</v>
      </c>
    </row>
    <row r="80" spans="2:30" ht="12.75" customHeight="1">
      <c r="B80" s="92"/>
      <c r="C80" s="131"/>
      <c r="D80" s="169"/>
      <c r="E80" s="169"/>
      <c r="F80" s="169"/>
      <c r="G80" s="170"/>
      <c r="H80" s="566"/>
      <c r="I80" s="170"/>
      <c r="J80" s="567"/>
      <c r="K80" s="568"/>
      <c r="L80" s="569"/>
      <c r="M80" s="570">
        <f t="shared" si="20"/>
        <v>0</v>
      </c>
      <c r="N80" s="155"/>
      <c r="O80" s="571" t="str">
        <f>IF(I80="","",VLOOKUP(I80,tab!$A$119:$V$159,J80+3,FALSE))</f>
        <v/>
      </c>
      <c r="P80" s="572">
        <f t="shared" si="17"/>
        <v>0</v>
      </c>
      <c r="Q80" s="589">
        <f t="shared" si="5"/>
        <v>0.6</v>
      </c>
      <c r="R80" s="573" t="str">
        <f t="shared" si="6"/>
        <v/>
      </c>
      <c r="S80" s="332">
        <f>IF(L80="",0,O80*12*L80*(1+tab!$D$108)*tab!$E$110)</f>
        <v>0</v>
      </c>
      <c r="T80" s="580">
        <f t="shared" si="7"/>
        <v>0</v>
      </c>
      <c r="U80" s="243">
        <f t="shared" si="8"/>
        <v>0</v>
      </c>
      <c r="V80" s="332">
        <f t="shared" si="18"/>
        <v>0</v>
      </c>
      <c r="W80" s="136"/>
      <c r="X80" s="97"/>
      <c r="Z80" s="647" t="b">
        <f t="shared" ref="Z80:Z115" si="21">DATE(YEAR($E$9),MONTH(H80),DAY(H80))&gt;$E$9</f>
        <v>0</v>
      </c>
      <c r="AA80" s="85">
        <f t="shared" ref="AA80:AA111" si="22">YEAR($E$9)-YEAR(H80)-Z80</f>
        <v>112</v>
      </c>
      <c r="AB80" s="67">
        <f t="shared" ref="AB80:AB111" si="23">IF((H80=""),30,AA80)</f>
        <v>30</v>
      </c>
      <c r="AC80" s="67">
        <f t="shared" si="16"/>
        <v>30</v>
      </c>
      <c r="AD80" s="84">
        <f t="shared" si="19"/>
        <v>0</v>
      </c>
    </row>
    <row r="81" spans="2:30" ht="12.75" customHeight="1">
      <c r="B81" s="92"/>
      <c r="C81" s="131"/>
      <c r="D81" s="169"/>
      <c r="E81" s="169"/>
      <c r="F81" s="169"/>
      <c r="G81" s="170"/>
      <c r="H81" s="566"/>
      <c r="I81" s="170"/>
      <c r="J81" s="567"/>
      <c r="K81" s="568"/>
      <c r="L81" s="569"/>
      <c r="M81" s="570">
        <f t="shared" si="20"/>
        <v>0</v>
      </c>
      <c r="N81" s="155"/>
      <c r="O81" s="571" t="str">
        <f>IF(I81="","",VLOOKUP(I81,tab!$A$119:$V$159,J81+3,FALSE))</f>
        <v/>
      </c>
      <c r="P81" s="572">
        <f t="shared" ref="P81:P112" si="24">IF(E81=0,0,(O81*M81*12))</f>
        <v>0</v>
      </c>
      <c r="Q81" s="589">
        <f t="shared" ref="Q81:Q115" si="25">$Q$14</f>
        <v>0.6</v>
      </c>
      <c r="R81" s="573" t="str">
        <f t="shared" ref="R81:R115" si="26">IF(E81=0,"",(P81)*Q81)</f>
        <v/>
      </c>
      <c r="S81" s="332">
        <f>IF(L81="",0,O81*12*L81*(1+tab!$D$108)*tab!$E$110)</f>
        <v>0</v>
      </c>
      <c r="T81" s="580">
        <f t="shared" ref="T81:T115" si="27">IF(E81=0,0,(P81+R81+S81))</f>
        <v>0</v>
      </c>
      <c r="U81" s="243">
        <f t="shared" ref="U81:U115" si="28">IF(G81&lt;25,0,IF(G81=25,25,IF(G81&lt;40,0,IF(G81=40,40,IF(G81&gt;=40,0)))))</f>
        <v>0</v>
      </c>
      <c r="V81" s="332">
        <f t="shared" ref="V81:V112" si="29">IF(U81=25,(O81*1.08*(K81)/2),IF(U81=40,(O81*1.08*(K81)),IF(U81=0,0)))</f>
        <v>0</v>
      </c>
      <c r="W81" s="136"/>
      <c r="X81" s="97"/>
      <c r="Z81" s="647" t="b">
        <f t="shared" si="21"/>
        <v>0</v>
      </c>
      <c r="AA81" s="85">
        <f t="shared" si="22"/>
        <v>112</v>
      </c>
      <c r="AB81" s="67">
        <f t="shared" si="23"/>
        <v>30</v>
      </c>
      <c r="AC81" s="67">
        <f t="shared" si="16"/>
        <v>30</v>
      </c>
      <c r="AD81" s="84">
        <f t="shared" ref="AD81:AD112" si="30">(AC81*(SUM(K81:K81)))</f>
        <v>0</v>
      </c>
    </row>
    <row r="82" spans="2:30" ht="12.75" customHeight="1">
      <c r="B82" s="92"/>
      <c r="C82" s="131"/>
      <c r="D82" s="169"/>
      <c r="E82" s="169"/>
      <c r="F82" s="169"/>
      <c r="G82" s="170"/>
      <c r="H82" s="566"/>
      <c r="I82" s="170"/>
      <c r="J82" s="567"/>
      <c r="K82" s="568"/>
      <c r="L82" s="569"/>
      <c r="M82" s="570">
        <f t="shared" si="20"/>
        <v>0</v>
      </c>
      <c r="N82" s="155"/>
      <c r="O82" s="571" t="str">
        <f>IF(I82="","",VLOOKUP(I82,tab!$A$119:$V$159,J82+3,FALSE))</f>
        <v/>
      </c>
      <c r="P82" s="572">
        <f t="shared" si="24"/>
        <v>0</v>
      </c>
      <c r="Q82" s="589">
        <f t="shared" si="25"/>
        <v>0.6</v>
      </c>
      <c r="R82" s="573" t="str">
        <f t="shared" si="26"/>
        <v/>
      </c>
      <c r="S82" s="332">
        <f>IF(L82="",0,O82*12*L82*(1+tab!$D$108)*tab!$E$110)</f>
        <v>0</v>
      </c>
      <c r="T82" s="580">
        <f t="shared" si="27"/>
        <v>0</v>
      </c>
      <c r="U82" s="243">
        <f t="shared" si="28"/>
        <v>0</v>
      </c>
      <c r="V82" s="332">
        <f t="shared" si="29"/>
        <v>0</v>
      </c>
      <c r="W82" s="136"/>
      <c r="X82" s="97"/>
      <c r="Z82" s="647" t="b">
        <f t="shared" si="21"/>
        <v>0</v>
      </c>
      <c r="AA82" s="85">
        <f t="shared" si="22"/>
        <v>112</v>
      </c>
      <c r="AB82" s="67">
        <f t="shared" si="23"/>
        <v>30</v>
      </c>
      <c r="AC82" s="67">
        <f t="shared" si="16"/>
        <v>30</v>
      </c>
      <c r="AD82" s="84">
        <f t="shared" si="30"/>
        <v>0</v>
      </c>
    </row>
    <row r="83" spans="2:30" ht="12.75" customHeight="1">
      <c r="B83" s="92"/>
      <c r="C83" s="131"/>
      <c r="D83" s="169"/>
      <c r="E83" s="169"/>
      <c r="F83" s="169"/>
      <c r="G83" s="170"/>
      <c r="H83" s="566"/>
      <c r="I83" s="170"/>
      <c r="J83" s="567"/>
      <c r="K83" s="568"/>
      <c r="L83" s="569"/>
      <c r="M83" s="570">
        <f t="shared" si="20"/>
        <v>0</v>
      </c>
      <c r="N83" s="155"/>
      <c r="O83" s="571" t="str">
        <f>IF(I83="","",VLOOKUP(I83,tab!$A$119:$V$159,J83+3,FALSE))</f>
        <v/>
      </c>
      <c r="P83" s="572">
        <f t="shared" si="24"/>
        <v>0</v>
      </c>
      <c r="Q83" s="589">
        <f t="shared" si="25"/>
        <v>0.6</v>
      </c>
      <c r="R83" s="573" t="str">
        <f t="shared" si="26"/>
        <v/>
      </c>
      <c r="S83" s="332">
        <f>IF(L83="",0,O83*12*L83*(1+tab!$D$108)*tab!$E$110)</f>
        <v>0</v>
      </c>
      <c r="T83" s="580">
        <f t="shared" si="27"/>
        <v>0</v>
      </c>
      <c r="U83" s="243">
        <f t="shared" si="28"/>
        <v>0</v>
      </c>
      <c r="V83" s="332">
        <f t="shared" si="29"/>
        <v>0</v>
      </c>
      <c r="W83" s="136"/>
      <c r="X83" s="97"/>
      <c r="Z83" s="647" t="b">
        <f t="shared" si="21"/>
        <v>0</v>
      </c>
      <c r="AA83" s="85">
        <f t="shared" si="22"/>
        <v>112</v>
      </c>
      <c r="AB83" s="67">
        <f t="shared" si="23"/>
        <v>30</v>
      </c>
      <c r="AC83" s="67">
        <f t="shared" si="16"/>
        <v>30</v>
      </c>
      <c r="AD83" s="84">
        <f t="shared" si="30"/>
        <v>0</v>
      </c>
    </row>
    <row r="84" spans="2:30" ht="12.75" customHeight="1">
      <c r="B84" s="92"/>
      <c r="C84" s="131"/>
      <c r="D84" s="169"/>
      <c r="E84" s="169"/>
      <c r="F84" s="169"/>
      <c r="G84" s="170"/>
      <c r="H84" s="566"/>
      <c r="I84" s="170"/>
      <c r="J84" s="567"/>
      <c r="K84" s="568"/>
      <c r="L84" s="569"/>
      <c r="M84" s="570">
        <f t="shared" si="20"/>
        <v>0</v>
      </c>
      <c r="N84" s="155"/>
      <c r="O84" s="571" t="str">
        <f>IF(I84="","",VLOOKUP(I84,tab!$A$119:$V$159,J84+3,FALSE))</f>
        <v/>
      </c>
      <c r="P84" s="572">
        <f t="shared" si="24"/>
        <v>0</v>
      </c>
      <c r="Q84" s="589">
        <f t="shared" si="25"/>
        <v>0.6</v>
      </c>
      <c r="R84" s="573" t="str">
        <f t="shared" si="26"/>
        <v/>
      </c>
      <c r="S84" s="332">
        <f>IF(L84="",0,O84*12*L84*(1+tab!$D$108)*tab!$E$110)</f>
        <v>0</v>
      </c>
      <c r="T84" s="580">
        <f t="shared" si="27"/>
        <v>0</v>
      </c>
      <c r="U84" s="243">
        <f t="shared" si="28"/>
        <v>0</v>
      </c>
      <c r="V84" s="332">
        <f t="shared" si="29"/>
        <v>0</v>
      </c>
      <c r="W84" s="136"/>
      <c r="X84" s="97"/>
      <c r="Z84" s="647" t="b">
        <f t="shared" si="21"/>
        <v>0</v>
      </c>
      <c r="AA84" s="85">
        <f t="shared" si="22"/>
        <v>112</v>
      </c>
      <c r="AB84" s="67">
        <f t="shared" si="23"/>
        <v>30</v>
      </c>
      <c r="AC84" s="67">
        <f t="shared" si="16"/>
        <v>30</v>
      </c>
      <c r="AD84" s="84">
        <f t="shared" si="30"/>
        <v>0</v>
      </c>
    </row>
    <row r="85" spans="2:30" ht="12.75" customHeight="1">
      <c r="B85" s="92"/>
      <c r="C85" s="131"/>
      <c r="D85" s="169"/>
      <c r="E85" s="169"/>
      <c r="F85" s="169"/>
      <c r="G85" s="170"/>
      <c r="H85" s="566"/>
      <c r="I85" s="170"/>
      <c r="J85" s="567"/>
      <c r="K85" s="568"/>
      <c r="L85" s="569"/>
      <c r="M85" s="570">
        <f t="shared" si="20"/>
        <v>0</v>
      </c>
      <c r="N85" s="155"/>
      <c r="O85" s="571" t="str">
        <f>IF(I85="","",VLOOKUP(I85,tab!$A$119:$V$159,J85+3,FALSE))</f>
        <v/>
      </c>
      <c r="P85" s="572">
        <f t="shared" si="24"/>
        <v>0</v>
      </c>
      <c r="Q85" s="589">
        <f t="shared" si="25"/>
        <v>0.6</v>
      </c>
      <c r="R85" s="573" t="str">
        <f t="shared" si="26"/>
        <v/>
      </c>
      <c r="S85" s="332">
        <f>IF(L85="",0,O85*12*L85*(1+tab!$D$108)*tab!$E$110)</f>
        <v>0</v>
      </c>
      <c r="T85" s="580">
        <f t="shared" si="27"/>
        <v>0</v>
      </c>
      <c r="U85" s="243">
        <f t="shared" si="28"/>
        <v>0</v>
      </c>
      <c r="V85" s="332">
        <f t="shared" si="29"/>
        <v>0</v>
      </c>
      <c r="W85" s="136"/>
      <c r="X85" s="97"/>
      <c r="Z85" s="647" t="b">
        <f t="shared" si="21"/>
        <v>0</v>
      </c>
      <c r="AA85" s="85">
        <f t="shared" si="22"/>
        <v>112</v>
      </c>
      <c r="AB85" s="67">
        <f t="shared" si="23"/>
        <v>30</v>
      </c>
      <c r="AC85" s="67">
        <f t="shared" si="16"/>
        <v>30</v>
      </c>
      <c r="AD85" s="84">
        <f t="shared" si="30"/>
        <v>0</v>
      </c>
    </row>
    <row r="86" spans="2:30" ht="12.75" customHeight="1">
      <c r="B86" s="92"/>
      <c r="C86" s="131"/>
      <c r="D86" s="169"/>
      <c r="E86" s="169"/>
      <c r="F86" s="169"/>
      <c r="G86" s="170"/>
      <c r="H86" s="566"/>
      <c r="I86" s="170"/>
      <c r="J86" s="567"/>
      <c r="K86" s="568"/>
      <c r="L86" s="569"/>
      <c r="M86" s="570">
        <f t="shared" si="20"/>
        <v>0</v>
      </c>
      <c r="N86" s="155"/>
      <c r="O86" s="571" t="str">
        <f>IF(I86="","",VLOOKUP(I86,tab!$A$119:$V$159,J86+3,FALSE))</f>
        <v/>
      </c>
      <c r="P86" s="572">
        <f t="shared" si="24"/>
        <v>0</v>
      </c>
      <c r="Q86" s="589">
        <f t="shared" si="25"/>
        <v>0.6</v>
      </c>
      <c r="R86" s="573" t="str">
        <f t="shared" si="26"/>
        <v/>
      </c>
      <c r="S86" s="332">
        <f>IF(L86="",0,O86*12*L86*(1+tab!$D$108)*tab!$E$110)</f>
        <v>0</v>
      </c>
      <c r="T86" s="580">
        <f t="shared" si="27"/>
        <v>0</v>
      </c>
      <c r="U86" s="243">
        <f t="shared" si="28"/>
        <v>0</v>
      </c>
      <c r="V86" s="332">
        <f t="shared" si="29"/>
        <v>0</v>
      </c>
      <c r="W86" s="136"/>
      <c r="X86" s="97"/>
      <c r="Z86" s="647" t="b">
        <f t="shared" si="21"/>
        <v>0</v>
      </c>
      <c r="AA86" s="85">
        <f t="shared" si="22"/>
        <v>112</v>
      </c>
      <c r="AB86" s="67">
        <f t="shared" si="23"/>
        <v>30</v>
      </c>
      <c r="AC86" s="67">
        <f t="shared" si="16"/>
        <v>30</v>
      </c>
      <c r="AD86" s="84">
        <f t="shared" si="30"/>
        <v>0</v>
      </c>
    </row>
    <row r="87" spans="2:30" ht="12.75" customHeight="1">
      <c r="B87" s="92"/>
      <c r="C87" s="131"/>
      <c r="D87" s="169"/>
      <c r="E87" s="169"/>
      <c r="F87" s="169"/>
      <c r="G87" s="170"/>
      <c r="H87" s="566"/>
      <c r="I87" s="170"/>
      <c r="J87" s="567"/>
      <c r="K87" s="568"/>
      <c r="L87" s="569"/>
      <c r="M87" s="570">
        <f t="shared" si="20"/>
        <v>0</v>
      </c>
      <c r="N87" s="155"/>
      <c r="O87" s="571" t="str">
        <f>IF(I87="","",VLOOKUP(I87,tab!$A$119:$V$159,J87+3,FALSE))</f>
        <v/>
      </c>
      <c r="P87" s="572">
        <f t="shared" si="24"/>
        <v>0</v>
      </c>
      <c r="Q87" s="589">
        <f t="shared" si="25"/>
        <v>0.6</v>
      </c>
      <c r="R87" s="573" t="str">
        <f t="shared" si="26"/>
        <v/>
      </c>
      <c r="S87" s="332">
        <f>IF(L87="",0,O87*12*L87*(1+tab!$D$108)*tab!$E$110)</f>
        <v>0</v>
      </c>
      <c r="T87" s="580">
        <f t="shared" si="27"/>
        <v>0</v>
      </c>
      <c r="U87" s="243">
        <f t="shared" si="28"/>
        <v>0</v>
      </c>
      <c r="V87" s="332">
        <f t="shared" si="29"/>
        <v>0</v>
      </c>
      <c r="W87" s="136"/>
      <c r="X87" s="97"/>
      <c r="Z87" s="647" t="b">
        <f t="shared" si="21"/>
        <v>0</v>
      </c>
      <c r="AA87" s="85">
        <f t="shared" si="22"/>
        <v>112</v>
      </c>
      <c r="AB87" s="67">
        <f t="shared" si="23"/>
        <v>30</v>
      </c>
      <c r="AC87" s="67">
        <f t="shared" si="16"/>
        <v>30</v>
      </c>
      <c r="AD87" s="84">
        <f t="shared" si="30"/>
        <v>0</v>
      </c>
    </row>
    <row r="88" spans="2:30" ht="12.75" customHeight="1">
      <c r="B88" s="92"/>
      <c r="C88" s="131"/>
      <c r="D88" s="169"/>
      <c r="E88" s="169"/>
      <c r="F88" s="169"/>
      <c r="G88" s="170"/>
      <c r="H88" s="566"/>
      <c r="I88" s="170"/>
      <c r="J88" s="567"/>
      <c r="K88" s="568"/>
      <c r="L88" s="569"/>
      <c r="M88" s="570">
        <f t="shared" si="20"/>
        <v>0</v>
      </c>
      <c r="N88" s="155"/>
      <c r="O88" s="571" t="str">
        <f>IF(I88="","",VLOOKUP(I88,tab!$A$119:$V$159,J88+3,FALSE))</f>
        <v/>
      </c>
      <c r="P88" s="572">
        <f t="shared" si="24"/>
        <v>0</v>
      </c>
      <c r="Q88" s="589">
        <f t="shared" si="25"/>
        <v>0.6</v>
      </c>
      <c r="R88" s="573" t="str">
        <f t="shared" si="26"/>
        <v/>
      </c>
      <c r="S88" s="332">
        <f>IF(L88="",0,O88*12*L88*(1+tab!$D$108)*tab!$E$110)</f>
        <v>0</v>
      </c>
      <c r="T88" s="580">
        <f t="shared" si="27"/>
        <v>0</v>
      </c>
      <c r="U88" s="243">
        <f t="shared" si="28"/>
        <v>0</v>
      </c>
      <c r="V88" s="332">
        <f t="shared" si="29"/>
        <v>0</v>
      </c>
      <c r="W88" s="136"/>
      <c r="X88" s="97"/>
      <c r="Z88" s="647" t="b">
        <f t="shared" si="21"/>
        <v>0</v>
      </c>
      <c r="AA88" s="85">
        <f t="shared" si="22"/>
        <v>112</v>
      </c>
      <c r="AB88" s="67">
        <f t="shared" si="23"/>
        <v>30</v>
      </c>
      <c r="AC88" s="67">
        <f t="shared" si="16"/>
        <v>30</v>
      </c>
      <c r="AD88" s="84">
        <f t="shared" si="30"/>
        <v>0</v>
      </c>
    </row>
    <row r="89" spans="2:30" ht="12.75" customHeight="1">
      <c r="B89" s="92"/>
      <c r="C89" s="131"/>
      <c r="D89" s="169"/>
      <c r="E89" s="169"/>
      <c r="F89" s="169"/>
      <c r="G89" s="170"/>
      <c r="H89" s="566"/>
      <c r="I89" s="170"/>
      <c r="J89" s="567"/>
      <c r="K89" s="568"/>
      <c r="L89" s="569"/>
      <c r="M89" s="570">
        <f t="shared" si="20"/>
        <v>0</v>
      </c>
      <c r="N89" s="155"/>
      <c r="O89" s="571" t="str">
        <f>IF(I89="","",VLOOKUP(I89,tab!$A$119:$V$159,J89+3,FALSE))</f>
        <v/>
      </c>
      <c r="P89" s="572">
        <f t="shared" si="24"/>
        <v>0</v>
      </c>
      <c r="Q89" s="589">
        <f t="shared" si="25"/>
        <v>0.6</v>
      </c>
      <c r="R89" s="573" t="str">
        <f t="shared" si="26"/>
        <v/>
      </c>
      <c r="S89" s="332">
        <f>IF(L89="",0,O89*12*L89*(1+tab!$D$108)*tab!$E$110)</f>
        <v>0</v>
      </c>
      <c r="T89" s="580">
        <f t="shared" si="27"/>
        <v>0</v>
      </c>
      <c r="U89" s="243">
        <f t="shared" si="28"/>
        <v>0</v>
      </c>
      <c r="V89" s="332">
        <f t="shared" si="29"/>
        <v>0</v>
      </c>
      <c r="W89" s="136"/>
      <c r="X89" s="97"/>
      <c r="Z89" s="647" t="b">
        <f t="shared" si="21"/>
        <v>0</v>
      </c>
      <c r="AA89" s="85">
        <f t="shared" si="22"/>
        <v>112</v>
      </c>
      <c r="AB89" s="67">
        <f t="shared" si="23"/>
        <v>30</v>
      </c>
      <c r="AC89" s="67">
        <f t="shared" si="16"/>
        <v>30</v>
      </c>
      <c r="AD89" s="84">
        <f t="shared" si="30"/>
        <v>0</v>
      </c>
    </row>
    <row r="90" spans="2:30" ht="12.75" customHeight="1">
      <c r="B90" s="92"/>
      <c r="C90" s="131"/>
      <c r="D90" s="169"/>
      <c r="E90" s="169"/>
      <c r="F90" s="169"/>
      <c r="G90" s="170"/>
      <c r="H90" s="566"/>
      <c r="I90" s="170"/>
      <c r="J90" s="567"/>
      <c r="K90" s="568"/>
      <c r="L90" s="569"/>
      <c r="M90" s="570">
        <f t="shared" si="20"/>
        <v>0</v>
      </c>
      <c r="N90" s="155"/>
      <c r="O90" s="571" t="str">
        <f>IF(I90="","",VLOOKUP(I90,tab!$A$119:$V$159,J90+3,FALSE))</f>
        <v/>
      </c>
      <c r="P90" s="572">
        <f t="shared" si="24"/>
        <v>0</v>
      </c>
      <c r="Q90" s="589">
        <f t="shared" si="25"/>
        <v>0.6</v>
      </c>
      <c r="R90" s="573" t="str">
        <f t="shared" si="26"/>
        <v/>
      </c>
      <c r="S90" s="332">
        <f>IF(L90="",0,O90*12*L90*(1+tab!$D$108)*tab!$E$110)</f>
        <v>0</v>
      </c>
      <c r="T90" s="580">
        <f t="shared" si="27"/>
        <v>0</v>
      </c>
      <c r="U90" s="243">
        <f t="shared" si="28"/>
        <v>0</v>
      </c>
      <c r="V90" s="332">
        <f t="shared" si="29"/>
        <v>0</v>
      </c>
      <c r="W90" s="136"/>
      <c r="X90" s="97"/>
      <c r="Z90" s="647" t="b">
        <f t="shared" si="21"/>
        <v>0</v>
      </c>
      <c r="AA90" s="85">
        <f t="shared" si="22"/>
        <v>112</v>
      </c>
      <c r="AB90" s="67">
        <f t="shared" si="23"/>
        <v>30</v>
      </c>
      <c r="AC90" s="67">
        <f t="shared" si="16"/>
        <v>30</v>
      </c>
      <c r="AD90" s="84">
        <f t="shared" si="30"/>
        <v>0</v>
      </c>
    </row>
    <row r="91" spans="2:30" ht="12.75" customHeight="1">
      <c r="B91" s="92"/>
      <c r="C91" s="131"/>
      <c r="D91" s="169"/>
      <c r="E91" s="169"/>
      <c r="F91" s="169"/>
      <c r="G91" s="170"/>
      <c r="H91" s="566"/>
      <c r="I91" s="170"/>
      <c r="J91" s="567"/>
      <c r="K91" s="568"/>
      <c r="L91" s="569"/>
      <c r="M91" s="570">
        <f t="shared" si="20"/>
        <v>0</v>
      </c>
      <c r="N91" s="155"/>
      <c r="O91" s="571" t="str">
        <f>IF(I91="","",VLOOKUP(I91,tab!$A$119:$V$159,J91+3,FALSE))</f>
        <v/>
      </c>
      <c r="P91" s="572">
        <f t="shared" si="24"/>
        <v>0</v>
      </c>
      <c r="Q91" s="589">
        <f t="shared" si="25"/>
        <v>0.6</v>
      </c>
      <c r="R91" s="573" t="str">
        <f t="shared" si="26"/>
        <v/>
      </c>
      <c r="S91" s="332">
        <f>IF(L91="",0,O91*12*L91*(1+tab!$D$108)*tab!$E$110)</f>
        <v>0</v>
      </c>
      <c r="T91" s="580">
        <f t="shared" si="27"/>
        <v>0</v>
      </c>
      <c r="U91" s="243">
        <f t="shared" si="28"/>
        <v>0</v>
      </c>
      <c r="V91" s="332">
        <f t="shared" si="29"/>
        <v>0</v>
      </c>
      <c r="W91" s="136"/>
      <c r="X91" s="97"/>
      <c r="Z91" s="647" t="b">
        <f t="shared" si="21"/>
        <v>0</v>
      </c>
      <c r="AA91" s="85">
        <f t="shared" si="22"/>
        <v>112</v>
      </c>
      <c r="AB91" s="67">
        <f t="shared" si="23"/>
        <v>30</v>
      </c>
      <c r="AC91" s="67">
        <f t="shared" si="16"/>
        <v>30</v>
      </c>
      <c r="AD91" s="84">
        <f t="shared" si="30"/>
        <v>0</v>
      </c>
    </row>
    <row r="92" spans="2:30" ht="12.75" customHeight="1">
      <c r="B92" s="92"/>
      <c r="C92" s="131"/>
      <c r="D92" s="169"/>
      <c r="E92" s="169"/>
      <c r="F92" s="169"/>
      <c r="G92" s="170"/>
      <c r="H92" s="566"/>
      <c r="I92" s="170"/>
      <c r="J92" s="567"/>
      <c r="K92" s="568"/>
      <c r="L92" s="569"/>
      <c r="M92" s="570">
        <f t="shared" si="20"/>
        <v>0</v>
      </c>
      <c r="N92" s="155"/>
      <c r="O92" s="571" t="str">
        <f>IF(I92="","",VLOOKUP(I92,tab!$A$119:$V$159,J92+3,FALSE))</f>
        <v/>
      </c>
      <c r="P92" s="572">
        <f t="shared" si="24"/>
        <v>0</v>
      </c>
      <c r="Q92" s="589">
        <f t="shared" si="25"/>
        <v>0.6</v>
      </c>
      <c r="R92" s="573" t="str">
        <f t="shared" si="26"/>
        <v/>
      </c>
      <c r="S92" s="332">
        <f>IF(L92="",0,O92*12*L92*(1+tab!$D$108)*tab!$E$110)</f>
        <v>0</v>
      </c>
      <c r="T92" s="580">
        <f t="shared" si="27"/>
        <v>0</v>
      </c>
      <c r="U92" s="243">
        <f t="shared" si="28"/>
        <v>0</v>
      </c>
      <c r="V92" s="332">
        <f t="shared" si="29"/>
        <v>0</v>
      </c>
      <c r="W92" s="136"/>
      <c r="X92" s="97"/>
      <c r="Z92" s="647" t="b">
        <f t="shared" si="21"/>
        <v>0</v>
      </c>
      <c r="AA92" s="85">
        <f t="shared" si="22"/>
        <v>112</v>
      </c>
      <c r="AB92" s="67">
        <f t="shared" si="23"/>
        <v>30</v>
      </c>
      <c r="AC92" s="67">
        <f t="shared" si="16"/>
        <v>30</v>
      </c>
      <c r="AD92" s="84">
        <f t="shared" si="30"/>
        <v>0</v>
      </c>
    </row>
    <row r="93" spans="2:30" ht="12.75" customHeight="1">
      <c r="B93" s="92"/>
      <c r="C93" s="131"/>
      <c r="D93" s="169"/>
      <c r="E93" s="169"/>
      <c r="F93" s="169"/>
      <c r="G93" s="170"/>
      <c r="H93" s="566"/>
      <c r="I93" s="170"/>
      <c r="J93" s="567"/>
      <c r="K93" s="568"/>
      <c r="L93" s="569"/>
      <c r="M93" s="570">
        <f t="shared" si="20"/>
        <v>0</v>
      </c>
      <c r="N93" s="155"/>
      <c r="O93" s="571" t="str">
        <f>IF(I93="","",VLOOKUP(I93,tab!$A$119:$V$159,J93+3,FALSE))</f>
        <v/>
      </c>
      <c r="P93" s="572">
        <f t="shared" si="24"/>
        <v>0</v>
      </c>
      <c r="Q93" s="589">
        <f t="shared" si="25"/>
        <v>0.6</v>
      </c>
      <c r="R93" s="573" t="str">
        <f t="shared" si="26"/>
        <v/>
      </c>
      <c r="S93" s="332">
        <f>IF(L93="",0,O93*12*L93*(1+tab!$D$108)*tab!$E$110)</f>
        <v>0</v>
      </c>
      <c r="T93" s="580">
        <f t="shared" si="27"/>
        <v>0</v>
      </c>
      <c r="U93" s="243">
        <f t="shared" si="28"/>
        <v>0</v>
      </c>
      <c r="V93" s="332">
        <f t="shared" si="29"/>
        <v>0</v>
      </c>
      <c r="W93" s="136"/>
      <c r="X93" s="97"/>
      <c r="Z93" s="647" t="b">
        <f t="shared" si="21"/>
        <v>0</v>
      </c>
      <c r="AA93" s="85">
        <f t="shared" si="22"/>
        <v>112</v>
      </c>
      <c r="AB93" s="67">
        <f t="shared" si="23"/>
        <v>30</v>
      </c>
      <c r="AC93" s="67">
        <f t="shared" si="16"/>
        <v>30</v>
      </c>
      <c r="AD93" s="84">
        <f t="shared" si="30"/>
        <v>0</v>
      </c>
    </row>
    <row r="94" spans="2:30" ht="12.75" customHeight="1">
      <c r="B94" s="92"/>
      <c r="C94" s="131"/>
      <c r="D94" s="169"/>
      <c r="E94" s="169"/>
      <c r="F94" s="169"/>
      <c r="G94" s="170"/>
      <c r="H94" s="566"/>
      <c r="I94" s="170"/>
      <c r="J94" s="567"/>
      <c r="K94" s="568"/>
      <c r="L94" s="569"/>
      <c r="M94" s="570">
        <f t="shared" si="20"/>
        <v>0</v>
      </c>
      <c r="N94" s="155"/>
      <c r="O94" s="571" t="str">
        <f>IF(I94="","",VLOOKUP(I94,tab!$A$119:$V$159,J94+3,FALSE))</f>
        <v/>
      </c>
      <c r="P94" s="572">
        <f t="shared" si="24"/>
        <v>0</v>
      </c>
      <c r="Q94" s="589">
        <f t="shared" si="25"/>
        <v>0.6</v>
      </c>
      <c r="R94" s="573" t="str">
        <f t="shared" si="26"/>
        <v/>
      </c>
      <c r="S94" s="332">
        <f>IF(L94="",0,O94*12*L94*(1+tab!$D$108)*tab!$E$110)</f>
        <v>0</v>
      </c>
      <c r="T94" s="580">
        <f t="shared" si="27"/>
        <v>0</v>
      </c>
      <c r="U94" s="243">
        <f t="shared" si="28"/>
        <v>0</v>
      </c>
      <c r="V94" s="332">
        <f t="shared" si="29"/>
        <v>0</v>
      </c>
      <c r="W94" s="136"/>
      <c r="X94" s="97"/>
      <c r="Z94" s="647" t="b">
        <f t="shared" si="21"/>
        <v>0</v>
      </c>
      <c r="AA94" s="85">
        <f t="shared" si="22"/>
        <v>112</v>
      </c>
      <c r="AB94" s="67">
        <f t="shared" si="23"/>
        <v>30</v>
      </c>
      <c r="AC94" s="67">
        <f t="shared" si="16"/>
        <v>30</v>
      </c>
      <c r="AD94" s="84">
        <f t="shared" si="30"/>
        <v>0</v>
      </c>
    </row>
    <row r="95" spans="2:30" ht="12.75" customHeight="1">
      <c r="B95" s="92"/>
      <c r="C95" s="131"/>
      <c r="D95" s="169"/>
      <c r="E95" s="169"/>
      <c r="F95" s="169"/>
      <c r="G95" s="170"/>
      <c r="H95" s="566"/>
      <c r="I95" s="170"/>
      <c r="J95" s="567"/>
      <c r="K95" s="568"/>
      <c r="L95" s="569"/>
      <c r="M95" s="570">
        <f t="shared" si="20"/>
        <v>0</v>
      </c>
      <c r="N95" s="155"/>
      <c r="O95" s="571" t="str">
        <f>IF(I95="","",VLOOKUP(I95,tab!$A$119:$V$159,J95+3,FALSE))</f>
        <v/>
      </c>
      <c r="P95" s="572">
        <f t="shared" si="24"/>
        <v>0</v>
      </c>
      <c r="Q95" s="589">
        <f t="shared" si="25"/>
        <v>0.6</v>
      </c>
      <c r="R95" s="573" t="str">
        <f t="shared" si="26"/>
        <v/>
      </c>
      <c r="S95" s="332">
        <f>IF(L95="",0,O95*12*L95*(1+tab!$D$108)*tab!$E$110)</f>
        <v>0</v>
      </c>
      <c r="T95" s="580">
        <f t="shared" si="27"/>
        <v>0</v>
      </c>
      <c r="U95" s="243">
        <f t="shared" si="28"/>
        <v>0</v>
      </c>
      <c r="V95" s="332">
        <f t="shared" si="29"/>
        <v>0</v>
      </c>
      <c r="W95" s="136"/>
      <c r="X95" s="97"/>
      <c r="Z95" s="647" t="b">
        <f t="shared" si="21"/>
        <v>0</v>
      </c>
      <c r="AA95" s="85">
        <f t="shared" si="22"/>
        <v>112</v>
      </c>
      <c r="AB95" s="67">
        <f t="shared" si="23"/>
        <v>30</v>
      </c>
      <c r="AC95" s="67">
        <f t="shared" si="16"/>
        <v>30</v>
      </c>
      <c r="AD95" s="84">
        <f t="shared" si="30"/>
        <v>0</v>
      </c>
    </row>
    <row r="96" spans="2:30" ht="12.75" customHeight="1">
      <c r="B96" s="92"/>
      <c r="C96" s="131"/>
      <c r="D96" s="169"/>
      <c r="E96" s="169"/>
      <c r="F96" s="169"/>
      <c r="G96" s="170"/>
      <c r="H96" s="566"/>
      <c r="I96" s="170"/>
      <c r="J96" s="567"/>
      <c r="K96" s="568"/>
      <c r="L96" s="569"/>
      <c r="M96" s="570">
        <f t="shared" si="20"/>
        <v>0</v>
      </c>
      <c r="N96" s="155"/>
      <c r="O96" s="571" t="str">
        <f>IF(I96="","",VLOOKUP(I96,tab!$A$119:$V$159,J96+3,FALSE))</f>
        <v/>
      </c>
      <c r="P96" s="572">
        <f t="shared" si="24"/>
        <v>0</v>
      </c>
      <c r="Q96" s="589">
        <f t="shared" si="25"/>
        <v>0.6</v>
      </c>
      <c r="R96" s="573" t="str">
        <f t="shared" si="26"/>
        <v/>
      </c>
      <c r="S96" s="332">
        <f>IF(L96="",0,O96*12*L96*(1+tab!$D$108)*tab!$E$110)</f>
        <v>0</v>
      </c>
      <c r="T96" s="580">
        <f t="shared" si="27"/>
        <v>0</v>
      </c>
      <c r="U96" s="243">
        <f t="shared" si="28"/>
        <v>0</v>
      </c>
      <c r="V96" s="332">
        <f t="shared" si="29"/>
        <v>0</v>
      </c>
      <c r="W96" s="136"/>
      <c r="X96" s="97"/>
      <c r="Z96" s="647" t="b">
        <f t="shared" si="21"/>
        <v>0</v>
      </c>
      <c r="AA96" s="85">
        <f t="shared" si="22"/>
        <v>112</v>
      </c>
      <c r="AB96" s="67">
        <f t="shared" si="23"/>
        <v>30</v>
      </c>
      <c r="AC96" s="67">
        <f t="shared" si="16"/>
        <v>30</v>
      </c>
      <c r="AD96" s="84">
        <f t="shared" si="30"/>
        <v>0</v>
      </c>
    </row>
    <row r="97" spans="2:30" ht="12.75" customHeight="1">
      <c r="B97" s="92"/>
      <c r="C97" s="131"/>
      <c r="D97" s="169"/>
      <c r="E97" s="169"/>
      <c r="F97" s="169"/>
      <c r="G97" s="170"/>
      <c r="H97" s="566"/>
      <c r="I97" s="170"/>
      <c r="J97" s="567"/>
      <c r="K97" s="568"/>
      <c r="L97" s="569"/>
      <c r="M97" s="570">
        <f t="shared" si="20"/>
        <v>0</v>
      </c>
      <c r="N97" s="155"/>
      <c r="O97" s="571" t="str">
        <f>IF(I97="","",VLOOKUP(I97,tab!$A$119:$V$159,J97+3,FALSE))</f>
        <v/>
      </c>
      <c r="P97" s="572">
        <f t="shared" si="24"/>
        <v>0</v>
      </c>
      <c r="Q97" s="589">
        <f t="shared" si="25"/>
        <v>0.6</v>
      </c>
      <c r="R97" s="573" t="str">
        <f t="shared" si="26"/>
        <v/>
      </c>
      <c r="S97" s="332">
        <f>IF(L97="",0,O97*12*L97*(1+tab!$D$108)*tab!$E$110)</f>
        <v>0</v>
      </c>
      <c r="T97" s="580">
        <f t="shared" si="27"/>
        <v>0</v>
      </c>
      <c r="U97" s="243">
        <f t="shared" si="28"/>
        <v>0</v>
      </c>
      <c r="V97" s="332">
        <f t="shared" si="29"/>
        <v>0</v>
      </c>
      <c r="W97" s="136"/>
      <c r="X97" s="97"/>
      <c r="Z97" s="647" t="b">
        <f t="shared" si="21"/>
        <v>0</v>
      </c>
      <c r="AA97" s="85">
        <f t="shared" si="22"/>
        <v>112</v>
      </c>
      <c r="AB97" s="67">
        <f t="shared" si="23"/>
        <v>30</v>
      </c>
      <c r="AC97" s="67">
        <f t="shared" si="16"/>
        <v>30</v>
      </c>
      <c r="AD97" s="84">
        <f t="shared" si="30"/>
        <v>0</v>
      </c>
    </row>
    <row r="98" spans="2:30" ht="12.75" customHeight="1">
      <c r="B98" s="92"/>
      <c r="C98" s="131"/>
      <c r="D98" s="169"/>
      <c r="E98" s="169"/>
      <c r="F98" s="169"/>
      <c r="G98" s="170"/>
      <c r="H98" s="566"/>
      <c r="I98" s="170"/>
      <c r="J98" s="567"/>
      <c r="K98" s="568"/>
      <c r="L98" s="569"/>
      <c r="M98" s="570">
        <f t="shared" si="20"/>
        <v>0</v>
      </c>
      <c r="N98" s="155"/>
      <c r="O98" s="571" t="str">
        <f>IF(I98="","",VLOOKUP(I98,tab!$A$119:$V$159,J98+3,FALSE))</f>
        <v/>
      </c>
      <c r="P98" s="572">
        <f t="shared" si="24"/>
        <v>0</v>
      </c>
      <c r="Q98" s="589">
        <f t="shared" si="25"/>
        <v>0.6</v>
      </c>
      <c r="R98" s="573" t="str">
        <f t="shared" si="26"/>
        <v/>
      </c>
      <c r="S98" s="332">
        <f>IF(L98="",0,O98*12*L98*(1+tab!$D$108)*tab!$E$110)</f>
        <v>0</v>
      </c>
      <c r="T98" s="580">
        <f t="shared" si="27"/>
        <v>0</v>
      </c>
      <c r="U98" s="243">
        <f t="shared" si="28"/>
        <v>0</v>
      </c>
      <c r="V98" s="332">
        <f t="shared" si="29"/>
        <v>0</v>
      </c>
      <c r="W98" s="136"/>
      <c r="X98" s="97"/>
      <c r="Z98" s="647" t="b">
        <f t="shared" si="21"/>
        <v>0</v>
      </c>
      <c r="AA98" s="85">
        <f t="shared" si="22"/>
        <v>112</v>
      </c>
      <c r="AB98" s="67">
        <f t="shared" si="23"/>
        <v>30</v>
      </c>
      <c r="AC98" s="67">
        <f t="shared" si="16"/>
        <v>30</v>
      </c>
      <c r="AD98" s="84">
        <f t="shared" si="30"/>
        <v>0</v>
      </c>
    </row>
    <row r="99" spans="2:30" ht="12.75" customHeight="1">
      <c r="B99" s="92"/>
      <c r="C99" s="131"/>
      <c r="D99" s="169"/>
      <c r="E99" s="169"/>
      <c r="F99" s="169"/>
      <c r="G99" s="170"/>
      <c r="H99" s="566"/>
      <c r="I99" s="170"/>
      <c r="J99" s="567"/>
      <c r="K99" s="568"/>
      <c r="L99" s="569"/>
      <c r="M99" s="570">
        <f t="shared" si="20"/>
        <v>0</v>
      </c>
      <c r="N99" s="155"/>
      <c r="O99" s="571" t="str">
        <f>IF(I99="","",VLOOKUP(I99,tab!$A$119:$V$159,J99+3,FALSE))</f>
        <v/>
      </c>
      <c r="P99" s="572">
        <f t="shared" si="24"/>
        <v>0</v>
      </c>
      <c r="Q99" s="589">
        <f t="shared" si="25"/>
        <v>0.6</v>
      </c>
      <c r="R99" s="573" t="str">
        <f t="shared" si="26"/>
        <v/>
      </c>
      <c r="S99" s="332">
        <f>IF(L99="",0,O99*12*L99*(1+tab!$D$108)*tab!$E$110)</f>
        <v>0</v>
      </c>
      <c r="T99" s="580">
        <f t="shared" si="27"/>
        <v>0</v>
      </c>
      <c r="U99" s="243">
        <f t="shared" si="28"/>
        <v>0</v>
      </c>
      <c r="V99" s="332">
        <f t="shared" si="29"/>
        <v>0</v>
      </c>
      <c r="W99" s="136"/>
      <c r="X99" s="97"/>
      <c r="Z99" s="647" t="b">
        <f t="shared" si="21"/>
        <v>0</v>
      </c>
      <c r="AA99" s="85">
        <f t="shared" si="22"/>
        <v>112</v>
      </c>
      <c r="AB99" s="67">
        <f t="shared" si="23"/>
        <v>30</v>
      </c>
      <c r="AC99" s="67">
        <f t="shared" si="16"/>
        <v>30</v>
      </c>
      <c r="AD99" s="84">
        <f t="shared" si="30"/>
        <v>0</v>
      </c>
    </row>
    <row r="100" spans="2:30" ht="12.75" customHeight="1">
      <c r="B100" s="92"/>
      <c r="C100" s="131"/>
      <c r="D100" s="169"/>
      <c r="E100" s="169"/>
      <c r="F100" s="169"/>
      <c r="G100" s="170"/>
      <c r="H100" s="566"/>
      <c r="I100" s="170"/>
      <c r="J100" s="567"/>
      <c r="K100" s="568"/>
      <c r="L100" s="569"/>
      <c r="M100" s="570">
        <f t="shared" si="20"/>
        <v>0</v>
      </c>
      <c r="N100" s="155"/>
      <c r="O100" s="571" t="str">
        <f>IF(I100="","",VLOOKUP(I100,tab!$A$119:$V$159,J100+3,FALSE))</f>
        <v/>
      </c>
      <c r="P100" s="572">
        <f t="shared" si="24"/>
        <v>0</v>
      </c>
      <c r="Q100" s="589">
        <f t="shared" si="25"/>
        <v>0.6</v>
      </c>
      <c r="R100" s="573" t="str">
        <f t="shared" si="26"/>
        <v/>
      </c>
      <c r="S100" s="332">
        <f>IF(L100="",0,O100*12*L100*(1+tab!$D$108)*tab!$E$110)</f>
        <v>0</v>
      </c>
      <c r="T100" s="580">
        <f t="shared" si="27"/>
        <v>0</v>
      </c>
      <c r="U100" s="243">
        <f t="shared" si="28"/>
        <v>0</v>
      </c>
      <c r="V100" s="332">
        <f t="shared" si="29"/>
        <v>0</v>
      </c>
      <c r="W100" s="136"/>
      <c r="X100" s="97"/>
      <c r="Z100" s="647" t="b">
        <f t="shared" si="21"/>
        <v>0</v>
      </c>
      <c r="AA100" s="85">
        <f t="shared" si="22"/>
        <v>112</v>
      </c>
      <c r="AB100" s="67">
        <f t="shared" si="23"/>
        <v>30</v>
      </c>
      <c r="AC100" s="67">
        <f t="shared" si="16"/>
        <v>30</v>
      </c>
      <c r="AD100" s="84">
        <f t="shared" si="30"/>
        <v>0</v>
      </c>
    </row>
    <row r="101" spans="2:30" ht="12.75" customHeight="1">
      <c r="B101" s="92"/>
      <c r="C101" s="131"/>
      <c r="D101" s="169"/>
      <c r="E101" s="169"/>
      <c r="F101" s="169"/>
      <c r="G101" s="170"/>
      <c r="H101" s="566"/>
      <c r="I101" s="170"/>
      <c r="J101" s="567"/>
      <c r="K101" s="568"/>
      <c r="L101" s="569"/>
      <c r="M101" s="570">
        <f t="shared" si="20"/>
        <v>0</v>
      </c>
      <c r="N101" s="155"/>
      <c r="O101" s="571" t="str">
        <f>IF(I101="","",VLOOKUP(I101,tab!$A$119:$V$159,J101+3,FALSE))</f>
        <v/>
      </c>
      <c r="P101" s="572">
        <f t="shared" si="24"/>
        <v>0</v>
      </c>
      <c r="Q101" s="589">
        <f t="shared" si="25"/>
        <v>0.6</v>
      </c>
      <c r="R101" s="573" t="str">
        <f t="shared" si="26"/>
        <v/>
      </c>
      <c r="S101" s="332">
        <f>IF(L101="",0,O101*12*L101*(1+tab!$D$108)*tab!$E$110)</f>
        <v>0</v>
      </c>
      <c r="T101" s="580">
        <f t="shared" si="27"/>
        <v>0</v>
      </c>
      <c r="U101" s="243">
        <f t="shared" si="28"/>
        <v>0</v>
      </c>
      <c r="V101" s="332">
        <f t="shared" si="29"/>
        <v>0</v>
      </c>
      <c r="W101" s="136"/>
      <c r="X101" s="97"/>
      <c r="Z101" s="647" t="b">
        <f t="shared" si="21"/>
        <v>0</v>
      </c>
      <c r="AA101" s="85">
        <f t="shared" si="22"/>
        <v>112</v>
      </c>
      <c r="AB101" s="67">
        <f t="shared" si="23"/>
        <v>30</v>
      </c>
      <c r="AC101" s="67">
        <f t="shared" si="16"/>
        <v>30</v>
      </c>
      <c r="AD101" s="84">
        <f t="shared" si="30"/>
        <v>0</v>
      </c>
    </row>
    <row r="102" spans="2:30" ht="12.75" customHeight="1">
      <c r="B102" s="92"/>
      <c r="C102" s="131"/>
      <c r="D102" s="169"/>
      <c r="E102" s="169"/>
      <c r="F102" s="169"/>
      <c r="G102" s="170"/>
      <c r="H102" s="566"/>
      <c r="I102" s="170"/>
      <c r="J102" s="567"/>
      <c r="K102" s="568"/>
      <c r="L102" s="569"/>
      <c r="M102" s="570">
        <f t="shared" si="20"/>
        <v>0</v>
      </c>
      <c r="N102" s="155"/>
      <c r="O102" s="571" t="str">
        <f>IF(I102="","",VLOOKUP(I102,tab!$A$119:$V$159,J102+3,FALSE))</f>
        <v/>
      </c>
      <c r="P102" s="572">
        <f t="shared" si="24"/>
        <v>0</v>
      </c>
      <c r="Q102" s="589">
        <f t="shared" si="25"/>
        <v>0.6</v>
      </c>
      <c r="R102" s="573" t="str">
        <f t="shared" si="26"/>
        <v/>
      </c>
      <c r="S102" s="332">
        <f>IF(L102="",0,O102*12*L102*(1+tab!$D$108)*tab!$E$110)</f>
        <v>0</v>
      </c>
      <c r="T102" s="580">
        <f t="shared" si="27"/>
        <v>0</v>
      </c>
      <c r="U102" s="243">
        <f t="shared" si="28"/>
        <v>0</v>
      </c>
      <c r="V102" s="332">
        <f t="shared" si="29"/>
        <v>0</v>
      </c>
      <c r="W102" s="136"/>
      <c r="X102" s="97"/>
      <c r="Z102" s="647" t="b">
        <f t="shared" si="21"/>
        <v>0</v>
      </c>
      <c r="AA102" s="85">
        <f t="shared" si="22"/>
        <v>112</v>
      </c>
      <c r="AB102" s="67">
        <f t="shared" si="23"/>
        <v>30</v>
      </c>
      <c r="AC102" s="67">
        <f t="shared" si="16"/>
        <v>30</v>
      </c>
      <c r="AD102" s="84">
        <f t="shared" si="30"/>
        <v>0</v>
      </c>
    </row>
    <row r="103" spans="2:30" ht="12.75" customHeight="1">
      <c r="B103" s="92"/>
      <c r="C103" s="131"/>
      <c r="D103" s="169"/>
      <c r="E103" s="169"/>
      <c r="F103" s="169"/>
      <c r="G103" s="170"/>
      <c r="H103" s="566"/>
      <c r="I103" s="170"/>
      <c r="J103" s="567"/>
      <c r="K103" s="568"/>
      <c r="L103" s="569"/>
      <c r="M103" s="570">
        <f t="shared" si="20"/>
        <v>0</v>
      </c>
      <c r="N103" s="155"/>
      <c r="O103" s="571" t="str">
        <f>IF(I103="","",VLOOKUP(I103,tab!$A$119:$V$159,J103+3,FALSE))</f>
        <v/>
      </c>
      <c r="P103" s="572">
        <f t="shared" si="24"/>
        <v>0</v>
      </c>
      <c r="Q103" s="589">
        <f t="shared" si="25"/>
        <v>0.6</v>
      </c>
      <c r="R103" s="573" t="str">
        <f t="shared" si="26"/>
        <v/>
      </c>
      <c r="S103" s="332">
        <f>IF(L103="",0,O103*12*L103*(1+tab!$D$108)*tab!$E$110)</f>
        <v>0</v>
      </c>
      <c r="T103" s="580">
        <f t="shared" si="27"/>
        <v>0</v>
      </c>
      <c r="U103" s="243">
        <f t="shared" si="28"/>
        <v>0</v>
      </c>
      <c r="V103" s="332">
        <f t="shared" si="29"/>
        <v>0</v>
      </c>
      <c r="W103" s="136"/>
      <c r="X103" s="97"/>
      <c r="Z103" s="647" t="b">
        <f t="shared" si="21"/>
        <v>0</v>
      </c>
      <c r="AA103" s="85">
        <f t="shared" si="22"/>
        <v>112</v>
      </c>
      <c r="AB103" s="67">
        <f t="shared" si="23"/>
        <v>30</v>
      </c>
      <c r="AC103" s="67">
        <f t="shared" si="16"/>
        <v>30</v>
      </c>
      <c r="AD103" s="84">
        <f t="shared" si="30"/>
        <v>0</v>
      </c>
    </row>
    <row r="104" spans="2:30" ht="12.75" customHeight="1">
      <c r="B104" s="92"/>
      <c r="C104" s="131"/>
      <c r="D104" s="169"/>
      <c r="E104" s="169"/>
      <c r="F104" s="169"/>
      <c r="G104" s="170"/>
      <c r="H104" s="566"/>
      <c r="I104" s="170"/>
      <c r="J104" s="567"/>
      <c r="K104" s="568"/>
      <c r="L104" s="569"/>
      <c r="M104" s="570">
        <f t="shared" si="20"/>
        <v>0</v>
      </c>
      <c r="N104" s="155"/>
      <c r="O104" s="571" t="str">
        <f>IF(I104="","",VLOOKUP(I104,tab!$A$119:$V$159,J104+3,FALSE))</f>
        <v/>
      </c>
      <c r="P104" s="572">
        <f t="shared" si="24"/>
        <v>0</v>
      </c>
      <c r="Q104" s="589">
        <f t="shared" si="25"/>
        <v>0.6</v>
      </c>
      <c r="R104" s="573" t="str">
        <f t="shared" si="26"/>
        <v/>
      </c>
      <c r="S104" s="332">
        <f>IF(L104="",0,O104*12*L104*(1+tab!$D$108)*tab!$E$110)</f>
        <v>0</v>
      </c>
      <c r="T104" s="580">
        <f t="shared" si="27"/>
        <v>0</v>
      </c>
      <c r="U104" s="243">
        <f t="shared" si="28"/>
        <v>0</v>
      </c>
      <c r="V104" s="332">
        <f t="shared" si="29"/>
        <v>0</v>
      </c>
      <c r="W104" s="136"/>
      <c r="X104" s="97"/>
      <c r="Z104" s="647" t="b">
        <f t="shared" si="21"/>
        <v>0</v>
      </c>
      <c r="AA104" s="85">
        <f t="shared" si="22"/>
        <v>112</v>
      </c>
      <c r="AB104" s="67">
        <f t="shared" si="23"/>
        <v>30</v>
      </c>
      <c r="AC104" s="67">
        <f t="shared" si="16"/>
        <v>30</v>
      </c>
      <c r="AD104" s="84">
        <f t="shared" si="30"/>
        <v>0</v>
      </c>
    </row>
    <row r="105" spans="2:30" ht="12.75" customHeight="1">
      <c r="B105" s="92"/>
      <c r="C105" s="131"/>
      <c r="D105" s="169"/>
      <c r="E105" s="169"/>
      <c r="F105" s="169"/>
      <c r="G105" s="170"/>
      <c r="H105" s="566"/>
      <c r="I105" s="170"/>
      <c r="J105" s="567"/>
      <c r="K105" s="568"/>
      <c r="L105" s="569"/>
      <c r="M105" s="570">
        <f t="shared" si="20"/>
        <v>0</v>
      </c>
      <c r="N105" s="155"/>
      <c r="O105" s="571" t="str">
        <f>IF(I105="","",VLOOKUP(I105,tab!$A$119:$V$159,J105+3,FALSE))</f>
        <v/>
      </c>
      <c r="P105" s="572">
        <f t="shared" si="24"/>
        <v>0</v>
      </c>
      <c r="Q105" s="589">
        <f t="shared" si="25"/>
        <v>0.6</v>
      </c>
      <c r="R105" s="573" t="str">
        <f t="shared" si="26"/>
        <v/>
      </c>
      <c r="S105" s="332">
        <f>IF(L105="",0,O105*12*L105*(1+tab!$D$108)*tab!$E$110)</f>
        <v>0</v>
      </c>
      <c r="T105" s="580">
        <f t="shared" si="27"/>
        <v>0</v>
      </c>
      <c r="U105" s="243">
        <f t="shared" si="28"/>
        <v>0</v>
      </c>
      <c r="V105" s="332">
        <f t="shared" si="29"/>
        <v>0</v>
      </c>
      <c r="W105" s="136"/>
      <c r="X105" s="97"/>
      <c r="Z105" s="647" t="b">
        <f t="shared" si="21"/>
        <v>0</v>
      </c>
      <c r="AA105" s="85">
        <f t="shared" si="22"/>
        <v>112</v>
      </c>
      <c r="AB105" s="67">
        <f t="shared" si="23"/>
        <v>30</v>
      </c>
      <c r="AC105" s="67">
        <f t="shared" si="16"/>
        <v>30</v>
      </c>
      <c r="AD105" s="84">
        <f t="shared" si="30"/>
        <v>0</v>
      </c>
    </row>
    <row r="106" spans="2:30" ht="12.75" customHeight="1">
      <c r="B106" s="92"/>
      <c r="C106" s="131"/>
      <c r="D106" s="169"/>
      <c r="E106" s="169"/>
      <c r="F106" s="169"/>
      <c r="G106" s="170"/>
      <c r="H106" s="566"/>
      <c r="I106" s="170"/>
      <c r="J106" s="567"/>
      <c r="K106" s="568"/>
      <c r="L106" s="569"/>
      <c r="M106" s="570">
        <f t="shared" si="20"/>
        <v>0</v>
      </c>
      <c r="N106" s="155"/>
      <c r="O106" s="571" t="str">
        <f>IF(I106="","",VLOOKUP(I106,tab!$A$119:$V$159,J106+3,FALSE))</f>
        <v/>
      </c>
      <c r="P106" s="572">
        <f t="shared" si="24"/>
        <v>0</v>
      </c>
      <c r="Q106" s="589">
        <f t="shared" si="25"/>
        <v>0.6</v>
      </c>
      <c r="R106" s="573" t="str">
        <f t="shared" si="26"/>
        <v/>
      </c>
      <c r="S106" s="332">
        <f>IF(L106="",0,O106*12*L106*(1+tab!$D$108)*tab!$E$110)</f>
        <v>0</v>
      </c>
      <c r="T106" s="580">
        <f t="shared" si="27"/>
        <v>0</v>
      </c>
      <c r="U106" s="243">
        <f t="shared" si="28"/>
        <v>0</v>
      </c>
      <c r="V106" s="332">
        <f t="shared" si="29"/>
        <v>0</v>
      </c>
      <c r="W106" s="136"/>
      <c r="X106" s="97"/>
      <c r="Z106" s="647" t="b">
        <f t="shared" si="21"/>
        <v>0</v>
      </c>
      <c r="AA106" s="85">
        <f t="shared" si="22"/>
        <v>112</v>
      </c>
      <c r="AB106" s="67">
        <f t="shared" si="23"/>
        <v>30</v>
      </c>
      <c r="AC106" s="67">
        <f t="shared" si="16"/>
        <v>30</v>
      </c>
      <c r="AD106" s="84">
        <f t="shared" si="30"/>
        <v>0</v>
      </c>
    </row>
    <row r="107" spans="2:30" ht="12.75" customHeight="1">
      <c r="B107" s="92"/>
      <c r="C107" s="131"/>
      <c r="D107" s="169"/>
      <c r="E107" s="169"/>
      <c r="F107" s="169"/>
      <c r="G107" s="170"/>
      <c r="H107" s="566"/>
      <c r="I107" s="170"/>
      <c r="J107" s="567"/>
      <c r="K107" s="568"/>
      <c r="L107" s="569"/>
      <c r="M107" s="570">
        <f t="shared" si="20"/>
        <v>0</v>
      </c>
      <c r="N107" s="155"/>
      <c r="O107" s="571" t="str">
        <f>IF(I107="","",VLOOKUP(I107,tab!$A$119:$V$159,J107+3,FALSE))</f>
        <v/>
      </c>
      <c r="P107" s="572">
        <f t="shared" si="24"/>
        <v>0</v>
      </c>
      <c r="Q107" s="589">
        <f t="shared" si="25"/>
        <v>0.6</v>
      </c>
      <c r="R107" s="573" t="str">
        <f t="shared" si="26"/>
        <v/>
      </c>
      <c r="S107" s="332">
        <f>IF(L107="",0,O107*12*L107*(1+tab!$D$108)*tab!$E$110)</f>
        <v>0</v>
      </c>
      <c r="T107" s="580">
        <f t="shared" si="27"/>
        <v>0</v>
      </c>
      <c r="U107" s="243">
        <f t="shared" si="28"/>
        <v>0</v>
      </c>
      <c r="V107" s="332">
        <f t="shared" si="29"/>
        <v>0</v>
      </c>
      <c r="W107" s="136"/>
      <c r="X107" s="97"/>
      <c r="Z107" s="647" t="b">
        <f t="shared" si="21"/>
        <v>0</v>
      </c>
      <c r="AA107" s="85">
        <f t="shared" si="22"/>
        <v>112</v>
      </c>
      <c r="AB107" s="67">
        <f t="shared" si="23"/>
        <v>30</v>
      </c>
      <c r="AC107" s="67">
        <f t="shared" si="16"/>
        <v>30</v>
      </c>
      <c r="AD107" s="84">
        <f t="shared" si="30"/>
        <v>0</v>
      </c>
    </row>
    <row r="108" spans="2:30" ht="12.75" customHeight="1">
      <c r="B108" s="92"/>
      <c r="C108" s="131"/>
      <c r="D108" s="169"/>
      <c r="E108" s="169"/>
      <c r="F108" s="169"/>
      <c r="G108" s="170"/>
      <c r="H108" s="566"/>
      <c r="I108" s="170"/>
      <c r="J108" s="567"/>
      <c r="K108" s="568"/>
      <c r="L108" s="569"/>
      <c r="M108" s="570">
        <f t="shared" si="20"/>
        <v>0</v>
      </c>
      <c r="N108" s="155"/>
      <c r="O108" s="571" t="str">
        <f>IF(I108="","",VLOOKUP(I108,tab!$A$119:$V$159,J108+3,FALSE))</f>
        <v/>
      </c>
      <c r="P108" s="572">
        <f t="shared" si="24"/>
        <v>0</v>
      </c>
      <c r="Q108" s="589">
        <f t="shared" si="25"/>
        <v>0.6</v>
      </c>
      <c r="R108" s="573" t="str">
        <f t="shared" si="26"/>
        <v/>
      </c>
      <c r="S108" s="332">
        <f>IF(L108="",0,O108*12*L108*(1+tab!$D$108)*tab!$E$110)</f>
        <v>0</v>
      </c>
      <c r="T108" s="580">
        <f t="shared" si="27"/>
        <v>0</v>
      </c>
      <c r="U108" s="243">
        <f t="shared" si="28"/>
        <v>0</v>
      </c>
      <c r="V108" s="332">
        <f t="shared" si="29"/>
        <v>0</v>
      </c>
      <c r="W108" s="136"/>
      <c r="X108" s="97"/>
      <c r="Z108" s="647" t="b">
        <f t="shared" si="21"/>
        <v>0</v>
      </c>
      <c r="AA108" s="85">
        <f t="shared" si="22"/>
        <v>112</v>
      </c>
      <c r="AB108" s="67">
        <f t="shared" si="23"/>
        <v>30</v>
      </c>
      <c r="AC108" s="67">
        <f t="shared" si="16"/>
        <v>30</v>
      </c>
      <c r="AD108" s="84">
        <f t="shared" si="30"/>
        <v>0</v>
      </c>
    </row>
    <row r="109" spans="2:30" ht="12.75" customHeight="1">
      <c r="B109" s="92"/>
      <c r="C109" s="131"/>
      <c r="D109" s="169"/>
      <c r="E109" s="169"/>
      <c r="F109" s="169"/>
      <c r="G109" s="170"/>
      <c r="H109" s="566"/>
      <c r="I109" s="170"/>
      <c r="J109" s="567"/>
      <c r="K109" s="568"/>
      <c r="L109" s="569"/>
      <c r="M109" s="570">
        <f t="shared" si="20"/>
        <v>0</v>
      </c>
      <c r="N109" s="155"/>
      <c r="O109" s="571" t="str">
        <f>IF(I109="","",VLOOKUP(I109,tab!$A$119:$V$159,J109+3,FALSE))</f>
        <v/>
      </c>
      <c r="P109" s="572">
        <f t="shared" si="24"/>
        <v>0</v>
      </c>
      <c r="Q109" s="589">
        <f t="shared" si="25"/>
        <v>0.6</v>
      </c>
      <c r="R109" s="573" t="str">
        <f t="shared" si="26"/>
        <v/>
      </c>
      <c r="S109" s="332">
        <f>IF(L109="",0,O109*12*L109*(1+tab!$D$108)*tab!$E$110)</f>
        <v>0</v>
      </c>
      <c r="T109" s="580">
        <f t="shared" si="27"/>
        <v>0</v>
      </c>
      <c r="U109" s="243">
        <f t="shared" si="28"/>
        <v>0</v>
      </c>
      <c r="V109" s="332">
        <f t="shared" si="29"/>
        <v>0</v>
      </c>
      <c r="W109" s="136"/>
      <c r="X109" s="97"/>
      <c r="Z109" s="647" t="b">
        <f t="shared" si="21"/>
        <v>0</v>
      </c>
      <c r="AA109" s="85">
        <f t="shared" si="22"/>
        <v>112</v>
      </c>
      <c r="AB109" s="67">
        <f t="shared" si="23"/>
        <v>30</v>
      </c>
      <c r="AC109" s="67">
        <f t="shared" si="16"/>
        <v>30</v>
      </c>
      <c r="AD109" s="84">
        <f t="shared" si="30"/>
        <v>0</v>
      </c>
    </row>
    <row r="110" spans="2:30" ht="12.75" customHeight="1">
      <c r="B110" s="92"/>
      <c r="C110" s="131"/>
      <c r="D110" s="169"/>
      <c r="E110" s="169"/>
      <c r="F110" s="169"/>
      <c r="G110" s="170"/>
      <c r="H110" s="566"/>
      <c r="I110" s="170"/>
      <c r="J110" s="567"/>
      <c r="K110" s="568"/>
      <c r="L110" s="569"/>
      <c r="M110" s="570">
        <f t="shared" si="20"/>
        <v>0</v>
      </c>
      <c r="N110" s="155"/>
      <c r="O110" s="571" t="str">
        <f>IF(I110="","",VLOOKUP(I110,tab!$A$119:$V$159,J110+3,FALSE))</f>
        <v/>
      </c>
      <c r="P110" s="572">
        <f t="shared" si="24"/>
        <v>0</v>
      </c>
      <c r="Q110" s="589">
        <f t="shared" si="25"/>
        <v>0.6</v>
      </c>
      <c r="R110" s="573" t="str">
        <f t="shared" si="26"/>
        <v/>
      </c>
      <c r="S110" s="332">
        <f>IF(L110="",0,O110*12*L110*(1+tab!$D$108)*tab!$E$110)</f>
        <v>0</v>
      </c>
      <c r="T110" s="580">
        <f t="shared" si="27"/>
        <v>0</v>
      </c>
      <c r="U110" s="243">
        <f t="shared" si="28"/>
        <v>0</v>
      </c>
      <c r="V110" s="332">
        <f t="shared" si="29"/>
        <v>0</v>
      </c>
      <c r="W110" s="136"/>
      <c r="X110" s="97"/>
      <c r="Z110" s="647" t="b">
        <f t="shared" si="21"/>
        <v>0</v>
      </c>
      <c r="AA110" s="85">
        <f t="shared" si="22"/>
        <v>112</v>
      </c>
      <c r="AB110" s="67">
        <f t="shared" si="23"/>
        <v>30</v>
      </c>
      <c r="AC110" s="67">
        <f t="shared" si="16"/>
        <v>30</v>
      </c>
      <c r="AD110" s="84">
        <f t="shared" si="30"/>
        <v>0</v>
      </c>
    </row>
    <row r="111" spans="2:30" ht="12.75" customHeight="1">
      <c r="B111" s="92"/>
      <c r="C111" s="131"/>
      <c r="D111" s="169"/>
      <c r="E111" s="169"/>
      <c r="F111" s="169"/>
      <c r="G111" s="170"/>
      <c r="H111" s="566"/>
      <c r="I111" s="170"/>
      <c r="J111" s="567"/>
      <c r="K111" s="568"/>
      <c r="L111" s="569"/>
      <c r="M111" s="570">
        <f t="shared" si="20"/>
        <v>0</v>
      </c>
      <c r="N111" s="155"/>
      <c r="O111" s="571" t="str">
        <f>IF(I111="","",VLOOKUP(I111,tab!$A$119:$V$159,J111+3,FALSE))</f>
        <v/>
      </c>
      <c r="P111" s="572">
        <f t="shared" si="24"/>
        <v>0</v>
      </c>
      <c r="Q111" s="589">
        <f t="shared" si="25"/>
        <v>0.6</v>
      </c>
      <c r="R111" s="573" t="str">
        <f t="shared" si="26"/>
        <v/>
      </c>
      <c r="S111" s="332">
        <f>IF(L111="",0,O111*12*L111*(1+tab!$D$108)*tab!$E$110)</f>
        <v>0</v>
      </c>
      <c r="T111" s="580">
        <f t="shared" si="27"/>
        <v>0</v>
      </c>
      <c r="U111" s="243">
        <f t="shared" si="28"/>
        <v>0</v>
      </c>
      <c r="V111" s="332">
        <f t="shared" si="29"/>
        <v>0</v>
      </c>
      <c r="W111" s="136"/>
      <c r="X111" s="97"/>
      <c r="Z111" s="647" t="b">
        <f t="shared" si="21"/>
        <v>0</v>
      </c>
      <c r="AA111" s="85">
        <f t="shared" si="22"/>
        <v>112</v>
      </c>
      <c r="AB111" s="67">
        <f t="shared" si="23"/>
        <v>30</v>
      </c>
      <c r="AC111" s="67">
        <f t="shared" si="16"/>
        <v>30</v>
      </c>
      <c r="AD111" s="84">
        <f t="shared" si="30"/>
        <v>0</v>
      </c>
    </row>
    <row r="112" spans="2:30" ht="12.75" customHeight="1">
      <c r="B112" s="92"/>
      <c r="C112" s="131"/>
      <c r="D112" s="169"/>
      <c r="E112" s="169"/>
      <c r="F112" s="169"/>
      <c r="G112" s="170"/>
      <c r="H112" s="566"/>
      <c r="I112" s="170"/>
      <c r="J112" s="567"/>
      <c r="K112" s="568"/>
      <c r="L112" s="569"/>
      <c r="M112" s="570">
        <f>(IF(L112=0,(K112),(K112)-L112))</f>
        <v>0</v>
      </c>
      <c r="N112" s="155"/>
      <c r="O112" s="571" t="str">
        <f>IF(I112="","",VLOOKUP(I112,tab!$A$119:$V$159,J112+3,FALSE))</f>
        <v/>
      </c>
      <c r="P112" s="572">
        <f t="shared" si="24"/>
        <v>0</v>
      </c>
      <c r="Q112" s="589">
        <f t="shared" si="25"/>
        <v>0.6</v>
      </c>
      <c r="R112" s="573" t="str">
        <f t="shared" si="26"/>
        <v/>
      </c>
      <c r="S112" s="332">
        <f>IF(L112="",0,O112*12*L112*(1+tab!$D$108)*tab!$E$110)</f>
        <v>0</v>
      </c>
      <c r="T112" s="580">
        <f t="shared" si="27"/>
        <v>0</v>
      </c>
      <c r="U112" s="243">
        <f t="shared" si="28"/>
        <v>0</v>
      </c>
      <c r="V112" s="332">
        <f t="shared" si="29"/>
        <v>0</v>
      </c>
      <c r="W112" s="136"/>
      <c r="X112" s="97"/>
      <c r="Z112" s="647" t="b">
        <f t="shared" si="21"/>
        <v>0</v>
      </c>
      <c r="AA112" s="85">
        <f>YEAR($E$9)-YEAR(H112)-Z112</f>
        <v>112</v>
      </c>
      <c r="AB112" s="67">
        <f>IF((H112=""),30,AA112)</f>
        <v>30</v>
      </c>
      <c r="AC112" s="67">
        <f t="shared" si="16"/>
        <v>30</v>
      </c>
      <c r="AD112" s="84">
        <f t="shared" si="30"/>
        <v>0</v>
      </c>
    </row>
    <row r="113" spans="1:41" ht="12.75" customHeight="1">
      <c r="B113" s="92"/>
      <c r="C113" s="131"/>
      <c r="D113" s="169"/>
      <c r="E113" s="169"/>
      <c r="F113" s="169"/>
      <c r="G113" s="170"/>
      <c r="H113" s="566"/>
      <c r="I113" s="170"/>
      <c r="J113" s="567"/>
      <c r="K113" s="568"/>
      <c r="L113" s="569"/>
      <c r="M113" s="570">
        <f>(IF(L113=0,(K113),(K113)-L113))</f>
        <v>0</v>
      </c>
      <c r="N113" s="155"/>
      <c r="O113" s="571" t="str">
        <f>IF(I113="","",VLOOKUP(I113,tab!$A$119:$V$159,J113+3,FALSE))</f>
        <v/>
      </c>
      <c r="P113" s="572">
        <f>IF(E113=0,0,(O113*M113*12))</f>
        <v>0</v>
      </c>
      <c r="Q113" s="589">
        <f t="shared" si="25"/>
        <v>0.6</v>
      </c>
      <c r="R113" s="573" t="str">
        <f t="shared" si="26"/>
        <v/>
      </c>
      <c r="S113" s="332">
        <f>IF(L113="",0,O113*12*L113*(1+tab!$D$108)*tab!$E$110)</f>
        <v>0</v>
      </c>
      <c r="T113" s="580">
        <f t="shared" si="27"/>
        <v>0</v>
      </c>
      <c r="U113" s="243">
        <f t="shared" si="28"/>
        <v>0</v>
      </c>
      <c r="V113" s="332">
        <f>IF(U113=25,(O113*1.08*(K113)/2),IF(U113=40,(O113*1.08*(K113)),IF(U113=0,0)))</f>
        <v>0</v>
      </c>
      <c r="W113" s="136"/>
      <c r="X113" s="97"/>
      <c r="Z113" s="647" t="b">
        <f t="shared" si="21"/>
        <v>0</v>
      </c>
      <c r="AA113" s="85">
        <f>YEAR($E$9)-YEAR(H113)-Z113</f>
        <v>112</v>
      </c>
      <c r="AB113" s="67">
        <f>IF((H113=""),30,AA113)</f>
        <v>30</v>
      </c>
      <c r="AC113" s="67">
        <f t="shared" si="16"/>
        <v>30</v>
      </c>
      <c r="AD113" s="84">
        <f>(AC113*(SUM(K113:K113)))</f>
        <v>0</v>
      </c>
    </row>
    <row r="114" spans="1:41" ht="12.75" customHeight="1">
      <c r="B114" s="92"/>
      <c r="C114" s="131"/>
      <c r="D114" s="169"/>
      <c r="E114" s="169"/>
      <c r="F114" s="169"/>
      <c r="G114" s="170"/>
      <c r="H114" s="566"/>
      <c r="I114" s="170"/>
      <c r="J114" s="567"/>
      <c r="K114" s="568"/>
      <c r="L114" s="569"/>
      <c r="M114" s="570">
        <f>(IF(L114=0,(K114),(K114)-L114))</f>
        <v>0</v>
      </c>
      <c r="N114" s="155"/>
      <c r="O114" s="571" t="str">
        <f>IF(I114="","",VLOOKUP(I114,tab!$A$119:$V$159,J114+3,FALSE))</f>
        <v/>
      </c>
      <c r="P114" s="572">
        <f>IF(E114=0,0,(O114*M114*12))</f>
        <v>0</v>
      </c>
      <c r="Q114" s="589">
        <f t="shared" si="25"/>
        <v>0.6</v>
      </c>
      <c r="R114" s="573" t="str">
        <f t="shared" si="26"/>
        <v/>
      </c>
      <c r="S114" s="332">
        <f>IF(L114="",0,O114*12*L114*(1+tab!$D$108)*tab!$E$110)</f>
        <v>0</v>
      </c>
      <c r="T114" s="580">
        <f t="shared" si="27"/>
        <v>0</v>
      </c>
      <c r="U114" s="243">
        <f t="shared" si="28"/>
        <v>0</v>
      </c>
      <c r="V114" s="332">
        <f>IF(U114=25,(O114*1.08*(K114)/2),IF(U114=40,(O114*1.08*(K114)),IF(U114=0,0)))</f>
        <v>0</v>
      </c>
      <c r="W114" s="136"/>
      <c r="X114" s="97"/>
      <c r="Z114" s="647" t="b">
        <f t="shared" si="21"/>
        <v>0</v>
      </c>
      <c r="AA114" s="85">
        <f>YEAR($E$9)-YEAR(H114)-Z114</f>
        <v>112</v>
      </c>
      <c r="AB114" s="67">
        <f>IF((H114=""),30,AA114)</f>
        <v>30</v>
      </c>
      <c r="AC114" s="67">
        <f t="shared" si="16"/>
        <v>30</v>
      </c>
      <c r="AD114" s="84">
        <f>(AC114*(SUM(K114:K114)))</f>
        <v>0</v>
      </c>
    </row>
    <row r="115" spans="1:41" ht="12.75" customHeight="1">
      <c r="B115" s="92"/>
      <c r="C115" s="131"/>
      <c r="D115" s="169"/>
      <c r="E115" s="169"/>
      <c r="F115" s="169"/>
      <c r="G115" s="170"/>
      <c r="H115" s="566"/>
      <c r="I115" s="170"/>
      <c r="J115" s="567"/>
      <c r="K115" s="568"/>
      <c r="L115" s="569"/>
      <c r="M115" s="570">
        <f>(IF(L115=0,(K115),(K115)-L115))</f>
        <v>0</v>
      </c>
      <c r="N115" s="155"/>
      <c r="O115" s="571" t="str">
        <f>IF(I115="","",VLOOKUP(I115,tab!$A$119:$V$159,J115+3,FALSE))</f>
        <v/>
      </c>
      <c r="P115" s="572">
        <f>IF(E115=0,0,(O115*M115*12))</f>
        <v>0</v>
      </c>
      <c r="Q115" s="589">
        <f t="shared" si="25"/>
        <v>0.6</v>
      </c>
      <c r="R115" s="573" t="str">
        <f t="shared" si="26"/>
        <v/>
      </c>
      <c r="S115" s="332">
        <f>IF(L115="",0,O115*12*L115*(1+tab!$D$108)*tab!$E$110)</f>
        <v>0</v>
      </c>
      <c r="T115" s="580">
        <f t="shared" si="27"/>
        <v>0</v>
      </c>
      <c r="U115" s="243">
        <f t="shared" si="28"/>
        <v>0</v>
      </c>
      <c r="V115" s="332">
        <f>IF(U115=25,(O115*1.08*(K115)/2),IF(U115=40,(O115*1.08*(K115)),IF(U115=0,0)))</f>
        <v>0</v>
      </c>
      <c r="W115" s="136"/>
      <c r="X115" s="97"/>
      <c r="Z115" s="647" t="b">
        <f t="shared" si="21"/>
        <v>0</v>
      </c>
      <c r="AA115" s="85">
        <f>YEAR($E$9)-YEAR(H115)-Z115</f>
        <v>112</v>
      </c>
      <c r="AB115" s="67">
        <f>IF((H115=""),30,AA115)</f>
        <v>30</v>
      </c>
      <c r="AC115" s="67">
        <f t="shared" si="16"/>
        <v>30</v>
      </c>
      <c r="AD115" s="84">
        <f>(AC115*(SUM(K115:K115)))</f>
        <v>0</v>
      </c>
    </row>
    <row r="116" spans="1:41" ht="12.75" customHeight="1">
      <c r="B116" s="92"/>
      <c r="C116" s="131"/>
      <c r="D116" s="319"/>
      <c r="E116" s="139"/>
      <c r="F116" s="319"/>
      <c r="G116" s="319"/>
      <c r="H116" s="556"/>
      <c r="I116" s="139"/>
      <c r="J116" s="625"/>
      <c r="K116" s="575">
        <f>SUM(K16:K115)</f>
        <v>1</v>
      </c>
      <c r="L116" s="575">
        <f>SUM(L16:L115)</f>
        <v>0</v>
      </c>
      <c r="M116" s="575">
        <f>SUM(M16:M115)</f>
        <v>1</v>
      </c>
      <c r="N116" s="319"/>
      <c r="O116" s="309">
        <f t="shared" ref="O116:V116" si="31">SUM(O16:O115)</f>
        <v>3597</v>
      </c>
      <c r="P116" s="309">
        <f t="shared" si="31"/>
        <v>43164</v>
      </c>
      <c r="Q116" s="297"/>
      <c r="R116" s="344">
        <f t="shared" si="31"/>
        <v>25898.399999999998</v>
      </c>
      <c r="S116" s="344">
        <f t="shared" si="31"/>
        <v>0</v>
      </c>
      <c r="T116" s="309">
        <f t="shared" si="31"/>
        <v>69062.399999999994</v>
      </c>
      <c r="U116" s="574">
        <f t="shared" si="31"/>
        <v>0</v>
      </c>
      <c r="V116" s="344">
        <f t="shared" si="31"/>
        <v>0</v>
      </c>
      <c r="W116" s="136"/>
      <c r="X116" s="97"/>
      <c r="Z116" s="86"/>
      <c r="AA116" s="86"/>
    </row>
    <row r="117" spans="1:41" ht="12.75" customHeight="1">
      <c r="B117" s="92"/>
      <c r="C117" s="141"/>
      <c r="D117" s="557"/>
      <c r="E117" s="557"/>
      <c r="F117" s="557"/>
      <c r="G117" s="557"/>
      <c r="H117" s="558"/>
      <c r="I117" s="146"/>
      <c r="J117" s="559"/>
      <c r="K117" s="560"/>
      <c r="L117" s="559"/>
      <c r="M117" s="560"/>
      <c r="N117" s="557"/>
      <c r="O117" s="559"/>
      <c r="P117" s="299"/>
      <c r="Q117" s="299"/>
      <c r="R117" s="299"/>
      <c r="S117" s="562"/>
      <c r="T117" s="299"/>
      <c r="U117" s="563"/>
      <c r="V117" s="562"/>
      <c r="W117" s="147"/>
      <c r="X117" s="97"/>
    </row>
    <row r="118" spans="1:41" ht="12.75" customHeight="1">
      <c r="B118" s="113"/>
      <c r="C118" s="114"/>
      <c r="D118" s="489"/>
      <c r="E118" s="489"/>
      <c r="F118" s="489"/>
      <c r="G118" s="489"/>
      <c r="H118" s="490"/>
      <c r="I118" s="118"/>
      <c r="J118" s="491"/>
      <c r="K118" s="492"/>
      <c r="L118" s="493"/>
      <c r="M118" s="493"/>
      <c r="N118" s="114"/>
      <c r="O118" s="494"/>
      <c r="P118" s="495"/>
      <c r="Q118" s="495"/>
      <c r="R118" s="495"/>
      <c r="S118" s="497"/>
      <c r="T118" s="498"/>
      <c r="U118" s="499"/>
      <c r="V118" s="497"/>
      <c r="W118" s="114"/>
      <c r="X118" s="120"/>
      <c r="Z118" s="647"/>
      <c r="AA118" s="67"/>
      <c r="AD118" s="84"/>
    </row>
    <row r="119" spans="1:41" ht="12.75" customHeight="1">
      <c r="B119" s="87"/>
      <c r="C119" s="88"/>
      <c r="D119" s="424"/>
      <c r="E119" s="424"/>
      <c r="F119" s="424"/>
      <c r="G119" s="424"/>
      <c r="H119" s="425"/>
      <c r="I119" s="90"/>
      <c r="J119" s="428"/>
      <c r="K119" s="608"/>
      <c r="L119" s="427"/>
      <c r="M119" s="427"/>
      <c r="N119" s="88"/>
      <c r="O119" s="654"/>
      <c r="P119" s="610"/>
      <c r="Q119" s="610"/>
      <c r="R119" s="610"/>
      <c r="S119" s="611"/>
      <c r="T119" s="612"/>
      <c r="U119" s="613"/>
      <c r="V119" s="611"/>
      <c r="W119" s="88"/>
      <c r="X119" s="91"/>
      <c r="Z119" s="647"/>
      <c r="AA119" s="67"/>
      <c r="AD119" s="84"/>
    </row>
    <row r="120" spans="1:41" ht="12.75" customHeight="1">
      <c r="B120" s="92"/>
      <c r="C120" s="93" t="s">
        <v>290</v>
      </c>
      <c r="D120" s="271"/>
      <c r="E120" s="455" t="str">
        <f>dir!E35</f>
        <v>2013/14</v>
      </c>
      <c r="F120" s="271"/>
      <c r="G120" s="271"/>
      <c r="H120" s="434"/>
      <c r="I120" s="95"/>
      <c r="J120" s="437"/>
      <c r="K120" s="615"/>
      <c r="L120" s="436"/>
      <c r="M120" s="436"/>
      <c r="N120" s="93"/>
      <c r="O120" s="655"/>
      <c r="P120" s="617"/>
      <c r="Q120" s="617"/>
      <c r="R120" s="617"/>
      <c r="S120" s="618"/>
      <c r="T120" s="619"/>
      <c r="U120" s="263"/>
      <c r="V120" s="618"/>
      <c r="W120" s="93"/>
      <c r="X120" s="97"/>
      <c r="Z120" s="647"/>
      <c r="AA120" s="67"/>
      <c r="AD120" s="84"/>
    </row>
    <row r="121" spans="1:41" ht="12.75" customHeight="1">
      <c r="B121" s="92"/>
      <c r="C121" s="93" t="s">
        <v>291</v>
      </c>
      <c r="D121" s="271"/>
      <c r="E121" s="455">
        <f>dir!E36</f>
        <v>41548</v>
      </c>
      <c r="F121" s="271"/>
      <c r="G121" s="271"/>
      <c r="H121" s="434"/>
      <c r="I121" s="95"/>
      <c r="J121" s="437"/>
      <c r="K121" s="615"/>
      <c r="L121" s="436"/>
      <c r="M121" s="436"/>
      <c r="N121" s="93"/>
      <c r="O121" s="655"/>
      <c r="P121" s="617"/>
      <c r="Q121" s="617"/>
      <c r="R121" s="617"/>
      <c r="S121" s="618"/>
      <c r="T121" s="619"/>
      <c r="U121" s="263"/>
      <c r="V121" s="618"/>
      <c r="W121" s="93"/>
      <c r="X121" s="97"/>
      <c r="Z121" s="647"/>
      <c r="AA121" s="67"/>
      <c r="AD121" s="84"/>
    </row>
    <row r="122" spans="1:41" ht="12.75" customHeight="1">
      <c r="B122" s="92"/>
      <c r="C122" s="93"/>
      <c r="D122" s="271"/>
      <c r="E122" s="271"/>
      <c r="F122" s="271"/>
      <c r="G122" s="271"/>
      <c r="H122" s="434"/>
      <c r="I122" s="95"/>
      <c r="J122" s="437"/>
      <c r="K122" s="615"/>
      <c r="L122" s="436"/>
      <c r="M122" s="436"/>
      <c r="N122" s="93"/>
      <c r="O122" s="655"/>
      <c r="P122" s="617"/>
      <c r="Q122" s="617"/>
      <c r="R122" s="617"/>
      <c r="S122" s="618"/>
      <c r="T122" s="619"/>
      <c r="U122" s="263"/>
      <c r="V122" s="618"/>
      <c r="W122" s="93"/>
      <c r="X122" s="97"/>
      <c r="Z122" s="647"/>
      <c r="AA122" s="67"/>
      <c r="AD122" s="84"/>
    </row>
    <row r="123" spans="1:41" ht="12.75" customHeight="1">
      <c r="B123" s="92"/>
      <c r="C123" s="124"/>
      <c r="D123" s="514"/>
      <c r="E123" s="515"/>
      <c r="F123" s="516"/>
      <c r="G123" s="129"/>
      <c r="H123" s="517"/>
      <c r="I123" s="518"/>
      <c r="J123" s="518"/>
      <c r="K123" s="519"/>
      <c r="L123" s="518"/>
      <c r="M123" s="520"/>
      <c r="N123" s="127"/>
      <c r="O123" s="521"/>
      <c r="P123" s="127"/>
      <c r="Q123" s="127"/>
      <c r="R123" s="127"/>
      <c r="S123" s="522"/>
      <c r="T123" s="302"/>
      <c r="U123" s="523"/>
      <c r="V123" s="522"/>
      <c r="W123" s="130"/>
      <c r="X123" s="97"/>
      <c r="AE123" s="348"/>
      <c r="AF123" s="348"/>
      <c r="AG123" s="348"/>
      <c r="AH123" s="348"/>
      <c r="AI123" s="349"/>
      <c r="AJ123" s="350"/>
      <c r="AK123" s="351"/>
      <c r="AL123" s="368"/>
      <c r="AM123" s="349"/>
    </row>
    <row r="124" spans="1:41" ht="12.75" customHeight="1">
      <c r="B124" s="92"/>
      <c r="C124" s="659"/>
      <c r="D124" s="1176" t="s">
        <v>292</v>
      </c>
      <c r="E124" s="1177"/>
      <c r="F124" s="1177"/>
      <c r="G124" s="1177"/>
      <c r="H124" s="1177"/>
      <c r="I124" s="1178"/>
      <c r="J124" s="1178"/>
      <c r="K124" s="1178"/>
      <c r="L124" s="1178"/>
      <c r="M124" s="1178"/>
      <c r="N124" s="525"/>
      <c r="O124" s="1176" t="s">
        <v>293</v>
      </c>
      <c r="P124" s="1178"/>
      <c r="Q124" s="1178"/>
      <c r="R124" s="1178"/>
      <c r="S124" s="1178"/>
      <c r="T124" s="1178"/>
      <c r="U124" s="526"/>
      <c r="V124" s="242"/>
      <c r="W124" s="660"/>
      <c r="X124" s="604"/>
      <c r="Y124" s="393"/>
      <c r="Z124" s="67"/>
      <c r="AA124" s="67"/>
      <c r="AD124" s="67"/>
      <c r="AL124" s="68"/>
      <c r="AM124" s="68"/>
      <c r="AN124" s="393"/>
      <c r="AO124" s="393"/>
    </row>
    <row r="125" spans="1:41" ht="12.75" customHeight="1">
      <c r="B125" s="92"/>
      <c r="C125" s="665"/>
      <c r="D125" s="528" t="s">
        <v>541</v>
      </c>
      <c r="E125" s="528" t="s">
        <v>294</v>
      </c>
      <c r="F125" s="528" t="s">
        <v>295</v>
      </c>
      <c r="G125" s="529" t="s">
        <v>296</v>
      </c>
      <c r="H125" s="530" t="s">
        <v>297</v>
      </c>
      <c r="I125" s="529" t="s">
        <v>302</v>
      </c>
      <c r="J125" s="529" t="s">
        <v>303</v>
      </c>
      <c r="K125" s="531" t="s">
        <v>305</v>
      </c>
      <c r="L125" s="532" t="s">
        <v>306</v>
      </c>
      <c r="M125" s="531" t="s">
        <v>307</v>
      </c>
      <c r="N125" s="528"/>
      <c r="O125" s="535" t="s">
        <v>304</v>
      </c>
      <c r="P125" s="535" t="s">
        <v>738</v>
      </c>
      <c r="Q125" s="587" t="s">
        <v>739</v>
      </c>
      <c r="R125" s="510"/>
      <c r="S125" s="536" t="s">
        <v>306</v>
      </c>
      <c r="T125" s="576" t="s">
        <v>308</v>
      </c>
      <c r="U125" s="537" t="s">
        <v>309</v>
      </c>
      <c r="V125" s="242" t="s">
        <v>740</v>
      </c>
      <c r="W125" s="666"/>
      <c r="X125" s="605"/>
      <c r="Y125" s="394"/>
      <c r="Z125" s="82" t="s">
        <v>298</v>
      </c>
      <c r="AA125" s="82" t="s">
        <v>299</v>
      </c>
      <c r="AB125" s="82" t="s">
        <v>300</v>
      </c>
      <c r="AC125" s="646" t="s">
        <v>301</v>
      </c>
      <c r="AD125" s="391" t="s">
        <v>178</v>
      </c>
      <c r="AL125" s="68"/>
      <c r="AM125" s="68"/>
      <c r="AN125" s="393"/>
      <c r="AO125" s="394"/>
    </row>
    <row r="126" spans="1:41" s="403" customFormat="1" ht="12.75" customHeight="1">
      <c r="A126" s="402"/>
      <c r="B126" s="487"/>
      <c r="C126" s="669"/>
      <c r="D126" s="540"/>
      <c r="E126" s="528"/>
      <c r="F126" s="532"/>
      <c r="G126" s="529" t="s">
        <v>312</v>
      </c>
      <c r="H126" s="530" t="s">
        <v>313</v>
      </c>
      <c r="I126" s="529"/>
      <c r="J126" s="529"/>
      <c r="K126" s="531" t="s">
        <v>316</v>
      </c>
      <c r="L126" s="532" t="s">
        <v>317</v>
      </c>
      <c r="M126" s="531" t="s">
        <v>318</v>
      </c>
      <c r="N126" s="528"/>
      <c r="O126" s="535" t="s">
        <v>315</v>
      </c>
      <c r="P126" s="535" t="s">
        <v>741</v>
      </c>
      <c r="Q126" s="577">
        <f>Q14</f>
        <v>0.6</v>
      </c>
      <c r="R126" s="510" t="s">
        <v>742</v>
      </c>
      <c r="S126" s="536" t="s">
        <v>310</v>
      </c>
      <c r="T126" s="576" t="s">
        <v>391</v>
      </c>
      <c r="U126" s="537"/>
      <c r="V126" s="536" t="s">
        <v>310</v>
      </c>
      <c r="W126" s="670"/>
      <c r="X126" s="488"/>
      <c r="Z126" s="384" t="s">
        <v>314</v>
      </c>
      <c r="AA126" s="384" t="s">
        <v>314</v>
      </c>
      <c r="AB126" s="383"/>
      <c r="AC126" s="385" t="s">
        <v>178</v>
      </c>
      <c r="AD126" s="388"/>
      <c r="AO126" s="404"/>
    </row>
    <row r="127" spans="1:41" ht="12.75" customHeight="1">
      <c r="B127" s="92"/>
      <c r="C127" s="131"/>
      <c r="D127" s="155"/>
      <c r="E127" s="155"/>
      <c r="F127" s="155"/>
      <c r="G127" s="155"/>
      <c r="H127" s="543"/>
      <c r="I127" s="544"/>
      <c r="J127" s="544"/>
      <c r="K127" s="545"/>
      <c r="L127" s="542"/>
      <c r="M127" s="545"/>
      <c r="N127" s="155"/>
      <c r="O127" s="546"/>
      <c r="P127" s="547"/>
      <c r="Q127" s="547"/>
      <c r="R127" s="547"/>
      <c r="S127" s="548"/>
      <c r="T127" s="547"/>
      <c r="U127" s="549"/>
      <c r="V127" s="548"/>
      <c r="W127" s="136"/>
      <c r="X127" s="97"/>
      <c r="AD127" s="391"/>
      <c r="AL127" s="68"/>
      <c r="AM127" s="68"/>
      <c r="AO127" s="395"/>
    </row>
    <row r="128" spans="1:41" ht="12.75" customHeight="1">
      <c r="B128" s="92"/>
      <c r="C128" s="131"/>
      <c r="D128" s="169" t="str">
        <f>IF(op!D16=0,"",op!D16)</f>
        <v/>
      </c>
      <c r="E128" s="169" t="str">
        <f>IF(op!E16=0,"",op!E16)</f>
        <v>nn</v>
      </c>
      <c r="F128" s="169" t="str">
        <f>IF(op!F16=0,"",op!F16)</f>
        <v>nn</v>
      </c>
      <c r="G128" s="170" t="str">
        <f>IF(op!G16=0,"",op!G16+1)</f>
        <v/>
      </c>
      <c r="H128" s="566">
        <f>IF(op!H16="","",op!H16)</f>
        <v>18264</v>
      </c>
      <c r="I128" s="170" t="str">
        <f>IF(op!I16=0,"",op!I16)</f>
        <v>LB</v>
      </c>
      <c r="J128" s="567">
        <f>IF(E128="","",IF(op!J16&gt;LOOKUP(I128,schaal2011,regels2011),J16-1,IF(op!J16=LOOKUP(I128,schaal2011,regels2011),op!J16,J16+1)))</f>
        <v>15</v>
      </c>
      <c r="K128" s="568">
        <f>IF(op!K16="","",op!K16)</f>
        <v>1</v>
      </c>
      <c r="L128" s="569" t="str">
        <f>IF(op!L16="","",op!L16)</f>
        <v/>
      </c>
      <c r="M128" s="570">
        <f t="shared" ref="M128:M159" si="32">(IF(L128="",(K128),(K128)-L128))</f>
        <v>1</v>
      </c>
      <c r="N128" s="155"/>
      <c r="O128" s="571">
        <f>IF(I128="","",VLOOKUP(I128,tab!$A$119:$V$159,J128+3,FALSE))</f>
        <v>3597</v>
      </c>
      <c r="P128" s="572">
        <f t="shared" ref="P128:P159" si="33">IF(E128="",0,(O128*M128*12))</f>
        <v>43164</v>
      </c>
      <c r="Q128" s="589">
        <f>$Q$126</f>
        <v>0.6</v>
      </c>
      <c r="R128" s="573">
        <f>IF(E128=0,"",(P128)*Q128)</f>
        <v>25898.399999999998</v>
      </c>
      <c r="S128" s="332">
        <f>IF(L128="",0,O128*12*L128*(1+tab!$D$108)*tab!$E$110)</f>
        <v>0</v>
      </c>
      <c r="T128" s="580">
        <f>IF(E128=0,0,(P128+R128+S128))</f>
        <v>69062.399999999994</v>
      </c>
      <c r="U128" s="243">
        <f t="shared" ref="U128:U191" si="34">IF(G128&lt;25,0,IF(G128=25,25,IF(G128&lt;40,0,IF(G128=40,40,IF(G128&gt;=40,0)))))</f>
        <v>0</v>
      </c>
      <c r="V128" s="332">
        <f t="shared" ref="V128:V159" si="35">IF(U128=25,(O128*1.08*(K128)/2),IF(U128=40,(O128*1.08*(K128)),IF(U128=0,0)))</f>
        <v>0</v>
      </c>
      <c r="W128" s="553"/>
      <c r="X128" s="97"/>
      <c r="Z128" s="647" t="b">
        <f t="shared" ref="Z128:Z159" si="36">DATE(YEAR($E$121),MONTH(H128),DAY(H128))&gt;$E$121</f>
        <v>0</v>
      </c>
      <c r="AA128" s="647">
        <f t="shared" ref="AA128:AA159" si="37">YEAR($E$121)-YEAR(H128)-Z128</f>
        <v>63</v>
      </c>
      <c r="AB128" s="350">
        <f t="shared" ref="AB128:AB159" si="38">IF((H128=""),30,AA128)</f>
        <v>63</v>
      </c>
      <c r="AC128" s="67">
        <f t="shared" ref="AC128:AC159" si="39">IF((AB128)&gt;50,50,(AB128))</f>
        <v>50</v>
      </c>
      <c r="AD128" s="84">
        <f t="shared" ref="AD128:AD159" si="40">(AC128*(SUM(K128:K128)))</f>
        <v>50</v>
      </c>
      <c r="AJ128" s="405"/>
    </row>
    <row r="129" spans="2:36" ht="12.75" customHeight="1">
      <c r="B129" s="92"/>
      <c r="C129" s="131"/>
      <c r="D129" s="169" t="str">
        <f>IF(op!D17=0,"",op!D17)</f>
        <v/>
      </c>
      <c r="E129" s="169" t="str">
        <f>IF(op!E17=0,"",op!E17)</f>
        <v/>
      </c>
      <c r="F129" s="169" t="str">
        <f>IF(op!F17=0,"",op!F17)</f>
        <v/>
      </c>
      <c r="G129" s="170" t="str">
        <f>IF(op!G17=0,"",op!G17+1)</f>
        <v/>
      </c>
      <c r="H129" s="566" t="str">
        <f>IF(op!H17="","",op!H17)</f>
        <v/>
      </c>
      <c r="I129" s="170" t="str">
        <f>IF(op!I17=0,"",op!I17)</f>
        <v/>
      </c>
      <c r="J129" s="567" t="str">
        <f>IF(E129="","",IF(op!J17&gt;LOOKUP(I129,schaal2011,regels2011),J17-1,IF(op!J17=LOOKUP(I129,schaal2011,regels2011),op!J17,J17+1)))</f>
        <v/>
      </c>
      <c r="K129" s="568" t="str">
        <f>IF(op!K17="","",op!K17)</f>
        <v/>
      </c>
      <c r="L129" s="569" t="str">
        <f>IF(op!L17="","",op!L17)</f>
        <v/>
      </c>
      <c r="M129" s="570" t="str">
        <f>(IF(L129="",(K129),(K129)-L129))</f>
        <v/>
      </c>
      <c r="N129" s="155"/>
      <c r="O129" s="571" t="str">
        <f>IF(I129="","",VLOOKUP(I129,tab!$A$119:$V$159,J129+3,FALSE))</f>
        <v/>
      </c>
      <c r="P129" s="572">
        <f t="shared" si="33"/>
        <v>0</v>
      </c>
      <c r="Q129" s="589">
        <f t="shared" ref="Q129:Q192" si="41">$Q$126</f>
        <v>0.6</v>
      </c>
      <c r="R129" s="573">
        <f t="shared" ref="R129:R192" si="42">IF(E129=0,"",(P129)*Q129)</f>
        <v>0</v>
      </c>
      <c r="S129" s="332">
        <f>IF(L129="",0,O129*12*L129*(1+tab!$D$108)*tab!$E$110)</f>
        <v>0</v>
      </c>
      <c r="T129" s="580">
        <f t="shared" ref="T129:T192" si="43">IF(E129=0,0,(P129+R129+S129))</f>
        <v>0</v>
      </c>
      <c r="U129" s="243">
        <f t="shared" si="34"/>
        <v>0</v>
      </c>
      <c r="V129" s="332">
        <f t="shared" si="35"/>
        <v>0</v>
      </c>
      <c r="W129" s="553"/>
      <c r="X129" s="97"/>
      <c r="Z129" s="647" t="e">
        <f t="shared" si="36"/>
        <v>#VALUE!</v>
      </c>
      <c r="AA129" s="647" t="e">
        <f t="shared" si="37"/>
        <v>#VALUE!</v>
      </c>
      <c r="AB129" s="350">
        <f t="shared" si="38"/>
        <v>30</v>
      </c>
      <c r="AC129" s="67">
        <f t="shared" si="39"/>
        <v>30</v>
      </c>
      <c r="AD129" s="84">
        <f t="shared" si="40"/>
        <v>0</v>
      </c>
      <c r="AJ129" s="405"/>
    </row>
    <row r="130" spans="2:36" ht="12.75" customHeight="1">
      <c r="B130" s="92"/>
      <c r="C130" s="131"/>
      <c r="D130" s="169" t="str">
        <f>IF(op!D18=0,"",op!D18)</f>
        <v/>
      </c>
      <c r="E130" s="169" t="str">
        <f>IF(op!E18=0,"",op!E18)</f>
        <v/>
      </c>
      <c r="F130" s="169" t="str">
        <f>IF(op!F18=0,"",op!F18)</f>
        <v/>
      </c>
      <c r="G130" s="170" t="str">
        <f>IF(op!G18=0,"",op!G18+1)</f>
        <v/>
      </c>
      <c r="H130" s="566" t="str">
        <f>IF(op!H18="","",op!H18)</f>
        <v/>
      </c>
      <c r="I130" s="170" t="str">
        <f>IF(op!I18=0,"",op!I18)</f>
        <v/>
      </c>
      <c r="J130" s="567" t="str">
        <f>IF(E130="","",IF(op!J18&gt;LOOKUP(I130,schaal2011,regels2011),J18-1,IF(op!J18=LOOKUP(I130,schaal2011,regels2011),op!J18,J18+1)))</f>
        <v/>
      </c>
      <c r="K130" s="568" t="str">
        <f>IF(op!K18="","",op!K18)</f>
        <v/>
      </c>
      <c r="L130" s="569" t="str">
        <f>IF(op!L18="","",op!L18)</f>
        <v/>
      </c>
      <c r="M130" s="570" t="str">
        <f t="shared" si="32"/>
        <v/>
      </c>
      <c r="N130" s="155"/>
      <c r="O130" s="571" t="str">
        <f>IF(I130="","",VLOOKUP(I130,tab!$A$119:$V$159,J130+3,FALSE))</f>
        <v/>
      </c>
      <c r="P130" s="572">
        <f t="shared" si="33"/>
        <v>0</v>
      </c>
      <c r="Q130" s="589">
        <f t="shared" si="41"/>
        <v>0.6</v>
      </c>
      <c r="R130" s="573">
        <f t="shared" si="42"/>
        <v>0</v>
      </c>
      <c r="S130" s="332">
        <f>IF(L130="",0,O130*12*L130*(1+tab!$D$108)*tab!$E$110)</f>
        <v>0</v>
      </c>
      <c r="T130" s="580">
        <f t="shared" si="43"/>
        <v>0</v>
      </c>
      <c r="U130" s="243">
        <f t="shared" si="34"/>
        <v>0</v>
      </c>
      <c r="V130" s="332">
        <f t="shared" si="35"/>
        <v>0</v>
      </c>
      <c r="W130" s="554"/>
      <c r="X130" s="97"/>
      <c r="Z130" s="647" t="e">
        <f t="shared" si="36"/>
        <v>#VALUE!</v>
      </c>
      <c r="AA130" s="647" t="e">
        <f t="shared" si="37"/>
        <v>#VALUE!</v>
      </c>
      <c r="AB130" s="350">
        <f t="shared" si="38"/>
        <v>30</v>
      </c>
      <c r="AC130" s="67">
        <f t="shared" si="39"/>
        <v>30</v>
      </c>
      <c r="AD130" s="84">
        <f t="shared" si="40"/>
        <v>0</v>
      </c>
      <c r="AJ130" s="405"/>
    </row>
    <row r="131" spans="2:36" ht="12.75" customHeight="1">
      <c r="B131" s="92"/>
      <c r="C131" s="131"/>
      <c r="D131" s="169" t="str">
        <f>IF(op!D19=0,"",op!D19)</f>
        <v/>
      </c>
      <c r="E131" s="169" t="str">
        <f>IF(op!E19=0,"",op!E19)</f>
        <v/>
      </c>
      <c r="F131" s="169" t="str">
        <f>IF(op!F19=0,"",op!F19)</f>
        <v/>
      </c>
      <c r="G131" s="170" t="str">
        <f>IF(op!G19=0,"",op!G19+1)</f>
        <v/>
      </c>
      <c r="H131" s="566" t="str">
        <f>IF(op!H19="","",op!H19)</f>
        <v/>
      </c>
      <c r="I131" s="170" t="str">
        <f>IF(op!I19=0,"",op!I19)</f>
        <v/>
      </c>
      <c r="J131" s="567" t="str">
        <f>IF(E131="","",IF(op!J19&gt;LOOKUP(I131,schaal2011,regels2011),J19-1,IF(op!J19=LOOKUP(I131,schaal2011,regels2011),op!J19,J19+1)))</f>
        <v/>
      </c>
      <c r="K131" s="568" t="str">
        <f>IF(op!K19="","",op!K19)</f>
        <v/>
      </c>
      <c r="L131" s="569" t="str">
        <f>IF(op!L19="","",op!L19)</f>
        <v/>
      </c>
      <c r="M131" s="570" t="str">
        <f t="shared" si="32"/>
        <v/>
      </c>
      <c r="N131" s="155"/>
      <c r="O131" s="571" t="str">
        <f>IF(I131="","",VLOOKUP(I131,tab!$A$119:$V$159,J131+3,FALSE))</f>
        <v/>
      </c>
      <c r="P131" s="572">
        <f t="shared" si="33"/>
        <v>0</v>
      </c>
      <c r="Q131" s="589">
        <f t="shared" si="41"/>
        <v>0.6</v>
      </c>
      <c r="R131" s="573">
        <f t="shared" si="42"/>
        <v>0</v>
      </c>
      <c r="S131" s="332">
        <f>IF(L131="",0,O131*12*L131*(1+tab!$D$108)*tab!$E$110)</f>
        <v>0</v>
      </c>
      <c r="T131" s="580">
        <f t="shared" si="43"/>
        <v>0</v>
      </c>
      <c r="U131" s="243">
        <f t="shared" si="34"/>
        <v>0</v>
      </c>
      <c r="V131" s="332">
        <f t="shared" si="35"/>
        <v>0</v>
      </c>
      <c r="W131" s="554"/>
      <c r="X131" s="97"/>
      <c r="Z131" s="647" t="e">
        <f t="shared" si="36"/>
        <v>#VALUE!</v>
      </c>
      <c r="AA131" s="647" t="e">
        <f t="shared" si="37"/>
        <v>#VALUE!</v>
      </c>
      <c r="AB131" s="350">
        <f t="shared" si="38"/>
        <v>30</v>
      </c>
      <c r="AC131" s="67">
        <f t="shared" si="39"/>
        <v>30</v>
      </c>
      <c r="AD131" s="84">
        <f t="shared" si="40"/>
        <v>0</v>
      </c>
      <c r="AJ131" s="405"/>
    </row>
    <row r="132" spans="2:36" ht="12.75" customHeight="1">
      <c r="B132" s="92"/>
      <c r="C132" s="131"/>
      <c r="D132" s="169" t="str">
        <f>IF(op!D20=0,"",op!D20)</f>
        <v/>
      </c>
      <c r="E132" s="169" t="str">
        <f>IF(op!E20=0,"",op!E20)</f>
        <v/>
      </c>
      <c r="F132" s="169" t="str">
        <f>IF(op!F20=0,"",op!F20)</f>
        <v/>
      </c>
      <c r="G132" s="170" t="str">
        <f>IF(op!G20=0,"",op!G20+1)</f>
        <v/>
      </c>
      <c r="H132" s="566" t="str">
        <f>IF(op!H20="","",op!H20)</f>
        <v/>
      </c>
      <c r="I132" s="170" t="str">
        <f>IF(op!I20=0,"",op!I20)</f>
        <v/>
      </c>
      <c r="J132" s="567" t="str">
        <f>IF(E132="","",IF(op!J20&gt;LOOKUP(I132,schaal2011,regels2011),J20-1,IF(op!J20=LOOKUP(I132,schaal2011,regels2011),op!J20,J20+1)))</f>
        <v/>
      </c>
      <c r="K132" s="568" t="str">
        <f>IF(op!K20="","",op!K20)</f>
        <v/>
      </c>
      <c r="L132" s="569" t="str">
        <f>IF(op!L20="","",op!L20)</f>
        <v/>
      </c>
      <c r="M132" s="570" t="str">
        <f t="shared" si="32"/>
        <v/>
      </c>
      <c r="N132" s="155"/>
      <c r="O132" s="571" t="str">
        <f>IF(I132="","",VLOOKUP(I132,tab!$A$119:$V$159,J132+3,FALSE))</f>
        <v/>
      </c>
      <c r="P132" s="572">
        <f t="shared" si="33"/>
        <v>0</v>
      </c>
      <c r="Q132" s="589">
        <f t="shared" si="41"/>
        <v>0.6</v>
      </c>
      <c r="R132" s="573">
        <f t="shared" si="42"/>
        <v>0</v>
      </c>
      <c r="S132" s="332">
        <f>IF(L132="",0,O132*12*L132*(1+tab!$D$108)*tab!$E$110)</f>
        <v>0</v>
      </c>
      <c r="T132" s="580">
        <f t="shared" si="43"/>
        <v>0</v>
      </c>
      <c r="U132" s="243">
        <f t="shared" si="34"/>
        <v>0</v>
      </c>
      <c r="V132" s="332">
        <f t="shared" si="35"/>
        <v>0</v>
      </c>
      <c r="W132" s="553"/>
      <c r="X132" s="97"/>
      <c r="Z132" s="647" t="e">
        <f t="shared" si="36"/>
        <v>#VALUE!</v>
      </c>
      <c r="AA132" s="647" t="e">
        <f t="shared" si="37"/>
        <v>#VALUE!</v>
      </c>
      <c r="AB132" s="350">
        <f t="shared" si="38"/>
        <v>30</v>
      </c>
      <c r="AC132" s="67">
        <f t="shared" si="39"/>
        <v>30</v>
      </c>
      <c r="AD132" s="84">
        <f t="shared" si="40"/>
        <v>0</v>
      </c>
      <c r="AJ132" s="405"/>
    </row>
    <row r="133" spans="2:36" ht="12.75" customHeight="1">
      <c r="B133" s="92"/>
      <c r="C133" s="131"/>
      <c r="D133" s="169" t="str">
        <f>IF(op!D21=0,"",op!D21)</f>
        <v/>
      </c>
      <c r="E133" s="169" t="str">
        <f>IF(op!E21=0,"",op!E21)</f>
        <v/>
      </c>
      <c r="F133" s="169" t="str">
        <f>IF(op!F21=0,"",op!F21)</f>
        <v/>
      </c>
      <c r="G133" s="170" t="str">
        <f>IF(op!G21=0,"",op!G21+1)</f>
        <v/>
      </c>
      <c r="H133" s="566" t="str">
        <f>IF(op!H21="","",op!H21)</f>
        <v/>
      </c>
      <c r="I133" s="170" t="str">
        <f>IF(op!I21=0,"",op!I21)</f>
        <v/>
      </c>
      <c r="J133" s="567" t="str">
        <f>IF(E133="","",IF(op!J21&gt;LOOKUP(I133,schaal2011,regels2011),J21-1,IF(op!J21=LOOKUP(I133,schaal2011,regels2011),op!J21,J21+1)))</f>
        <v/>
      </c>
      <c r="K133" s="568" t="str">
        <f>IF(op!K21="","",op!K21)</f>
        <v/>
      </c>
      <c r="L133" s="569" t="str">
        <f>IF(op!L21="","",op!L21)</f>
        <v/>
      </c>
      <c r="M133" s="570" t="str">
        <f t="shared" si="32"/>
        <v/>
      </c>
      <c r="N133" s="155"/>
      <c r="O133" s="571" t="str">
        <f>IF(I133="","",VLOOKUP(I133,tab!$A$119:$V$159,J133+3,FALSE))</f>
        <v/>
      </c>
      <c r="P133" s="572">
        <f t="shared" si="33"/>
        <v>0</v>
      </c>
      <c r="Q133" s="589">
        <f t="shared" si="41"/>
        <v>0.6</v>
      </c>
      <c r="R133" s="573">
        <f t="shared" si="42"/>
        <v>0</v>
      </c>
      <c r="S133" s="332">
        <f>IF(L133="",0,O133*12*L133*(1+tab!$D$108)*tab!$E$110)</f>
        <v>0</v>
      </c>
      <c r="T133" s="580">
        <f t="shared" si="43"/>
        <v>0</v>
      </c>
      <c r="U133" s="243">
        <f t="shared" si="34"/>
        <v>0</v>
      </c>
      <c r="V133" s="332">
        <f t="shared" si="35"/>
        <v>0</v>
      </c>
      <c r="W133" s="553"/>
      <c r="X133" s="97"/>
      <c r="Z133" s="647" t="e">
        <f t="shared" si="36"/>
        <v>#VALUE!</v>
      </c>
      <c r="AA133" s="647" t="e">
        <f t="shared" si="37"/>
        <v>#VALUE!</v>
      </c>
      <c r="AB133" s="350">
        <f t="shared" si="38"/>
        <v>30</v>
      </c>
      <c r="AC133" s="67">
        <f t="shared" si="39"/>
        <v>30</v>
      </c>
      <c r="AD133" s="84">
        <f t="shared" si="40"/>
        <v>0</v>
      </c>
      <c r="AJ133" s="405"/>
    </row>
    <row r="134" spans="2:36" ht="12.75" customHeight="1">
      <c r="B134" s="92"/>
      <c r="C134" s="131"/>
      <c r="D134" s="169" t="str">
        <f>IF(op!D22=0,"",op!D22)</f>
        <v/>
      </c>
      <c r="E134" s="169" t="str">
        <f>IF(op!E22=0,"",op!E22)</f>
        <v/>
      </c>
      <c r="F134" s="169" t="str">
        <f>IF(op!F22=0,"",op!F22)</f>
        <v/>
      </c>
      <c r="G134" s="170" t="str">
        <f>IF(op!G22=0,"",op!G22+1)</f>
        <v/>
      </c>
      <c r="H134" s="566" t="str">
        <f>IF(op!H22="","",op!H22)</f>
        <v/>
      </c>
      <c r="I134" s="170" t="str">
        <f>IF(op!I22=0,"",op!I22)</f>
        <v/>
      </c>
      <c r="J134" s="567" t="str">
        <f>IF(E134="","",IF(op!J22&gt;LOOKUP(I134,schaal2011,regels2011),J22-1,IF(op!J22=LOOKUP(I134,schaal2011,regels2011),op!J22,J22+1)))</f>
        <v/>
      </c>
      <c r="K134" s="568" t="str">
        <f>IF(op!K22="","",op!K22)</f>
        <v/>
      </c>
      <c r="L134" s="569" t="str">
        <f>IF(op!L22="","",op!L22)</f>
        <v/>
      </c>
      <c r="M134" s="570" t="str">
        <f t="shared" si="32"/>
        <v/>
      </c>
      <c r="N134" s="155"/>
      <c r="O134" s="571" t="str">
        <f>IF(I134="","",VLOOKUP(I134,tab!$A$119:$V$159,J134+3,FALSE))</f>
        <v/>
      </c>
      <c r="P134" s="572">
        <f t="shared" si="33"/>
        <v>0</v>
      </c>
      <c r="Q134" s="589">
        <f t="shared" si="41"/>
        <v>0.6</v>
      </c>
      <c r="R134" s="573">
        <f t="shared" si="42"/>
        <v>0</v>
      </c>
      <c r="S134" s="332">
        <f>IF(L134="",0,O134*12*L134*(1+tab!$D$108)*tab!$E$110)</f>
        <v>0</v>
      </c>
      <c r="T134" s="580">
        <f t="shared" si="43"/>
        <v>0</v>
      </c>
      <c r="U134" s="243">
        <f t="shared" si="34"/>
        <v>0</v>
      </c>
      <c r="V134" s="332">
        <f t="shared" si="35"/>
        <v>0</v>
      </c>
      <c r="W134" s="136"/>
      <c r="X134" s="97"/>
      <c r="Z134" s="647" t="e">
        <f t="shared" si="36"/>
        <v>#VALUE!</v>
      </c>
      <c r="AA134" s="647" t="e">
        <f t="shared" si="37"/>
        <v>#VALUE!</v>
      </c>
      <c r="AB134" s="350">
        <f t="shared" si="38"/>
        <v>30</v>
      </c>
      <c r="AC134" s="67">
        <f t="shared" si="39"/>
        <v>30</v>
      </c>
      <c r="AD134" s="84">
        <f t="shared" si="40"/>
        <v>0</v>
      </c>
      <c r="AJ134" s="405"/>
    </row>
    <row r="135" spans="2:36" ht="12.75" customHeight="1">
      <c r="B135" s="92"/>
      <c r="C135" s="131"/>
      <c r="D135" s="169" t="str">
        <f>IF(op!D23=0,"",op!D23)</f>
        <v/>
      </c>
      <c r="E135" s="169" t="str">
        <f>IF(op!E23=0,"",op!E23)</f>
        <v/>
      </c>
      <c r="F135" s="169" t="str">
        <f>IF(op!F23=0,"",op!F23)</f>
        <v/>
      </c>
      <c r="G135" s="170" t="str">
        <f>IF(op!G23=0,"",op!G23+1)</f>
        <v/>
      </c>
      <c r="H135" s="566" t="str">
        <f>IF(op!H23="","",op!H23)</f>
        <v/>
      </c>
      <c r="I135" s="170" t="str">
        <f>IF(op!I23=0,"",op!I23)</f>
        <v/>
      </c>
      <c r="J135" s="567" t="str">
        <f>IF(E135="","",IF(op!J23&gt;LOOKUP(I135,schaal2011,regels2011),J23-1,IF(op!J23=LOOKUP(I135,schaal2011,regels2011),op!J23,J23+1)))</f>
        <v/>
      </c>
      <c r="K135" s="568" t="str">
        <f>IF(op!K23="","",op!K23)</f>
        <v/>
      </c>
      <c r="L135" s="569" t="str">
        <f>IF(op!L23="","",op!L23)</f>
        <v/>
      </c>
      <c r="M135" s="570" t="str">
        <f t="shared" si="32"/>
        <v/>
      </c>
      <c r="N135" s="155"/>
      <c r="O135" s="571" t="str">
        <f>IF(I135="","",VLOOKUP(I135,tab!$A$119:$V$159,J135+3,FALSE))</f>
        <v/>
      </c>
      <c r="P135" s="572">
        <f t="shared" si="33"/>
        <v>0</v>
      </c>
      <c r="Q135" s="589">
        <f t="shared" si="41"/>
        <v>0.6</v>
      </c>
      <c r="R135" s="573">
        <f t="shared" si="42"/>
        <v>0</v>
      </c>
      <c r="S135" s="332">
        <f>IF(L135="",0,O135*12*L135*(1+tab!$D$108)*tab!$E$110)</f>
        <v>0</v>
      </c>
      <c r="T135" s="580">
        <f t="shared" si="43"/>
        <v>0</v>
      </c>
      <c r="U135" s="243">
        <f t="shared" si="34"/>
        <v>0</v>
      </c>
      <c r="V135" s="332">
        <f t="shared" si="35"/>
        <v>0</v>
      </c>
      <c r="W135" s="136"/>
      <c r="X135" s="97"/>
      <c r="Z135" s="647" t="e">
        <f t="shared" si="36"/>
        <v>#VALUE!</v>
      </c>
      <c r="AA135" s="647" t="e">
        <f t="shared" si="37"/>
        <v>#VALUE!</v>
      </c>
      <c r="AB135" s="350">
        <f t="shared" si="38"/>
        <v>30</v>
      </c>
      <c r="AC135" s="67">
        <f t="shared" si="39"/>
        <v>30</v>
      </c>
      <c r="AD135" s="84">
        <f t="shared" si="40"/>
        <v>0</v>
      </c>
      <c r="AJ135" s="405"/>
    </row>
    <row r="136" spans="2:36" ht="12.75" customHeight="1">
      <c r="B136" s="92"/>
      <c r="C136" s="131"/>
      <c r="D136" s="169" t="str">
        <f>IF(op!D24=0,"",op!D24)</f>
        <v/>
      </c>
      <c r="E136" s="169" t="str">
        <f>IF(op!E24=0,"",op!E24)</f>
        <v/>
      </c>
      <c r="F136" s="169" t="str">
        <f>IF(op!F24=0,"",op!F24)</f>
        <v/>
      </c>
      <c r="G136" s="170" t="str">
        <f>IF(op!G24=0,"",op!G24+1)</f>
        <v/>
      </c>
      <c r="H136" s="566" t="str">
        <f>IF(op!H24="","",op!H24)</f>
        <v/>
      </c>
      <c r="I136" s="170" t="str">
        <f>IF(op!I24=0,"",op!I24)</f>
        <v/>
      </c>
      <c r="J136" s="567" t="str">
        <f>IF(E136="","",IF(op!J24&gt;LOOKUP(I136,schaal2011,regels2011),J24-1,IF(op!J24=LOOKUP(I136,schaal2011,regels2011),op!J24,J24+1)))</f>
        <v/>
      </c>
      <c r="K136" s="568" t="str">
        <f>IF(op!K24="","",op!K24)</f>
        <v/>
      </c>
      <c r="L136" s="569" t="str">
        <f>IF(op!L24="","",op!L24)</f>
        <v/>
      </c>
      <c r="M136" s="570" t="str">
        <f t="shared" si="32"/>
        <v/>
      </c>
      <c r="N136" s="155"/>
      <c r="O136" s="571" t="str">
        <f>IF(I136="","",VLOOKUP(I136,tab!$A$119:$V$159,J136+3,FALSE))</f>
        <v/>
      </c>
      <c r="P136" s="572">
        <f t="shared" si="33"/>
        <v>0</v>
      </c>
      <c r="Q136" s="589">
        <f t="shared" si="41"/>
        <v>0.6</v>
      </c>
      <c r="R136" s="573">
        <f t="shared" si="42"/>
        <v>0</v>
      </c>
      <c r="S136" s="332">
        <f>IF(L136="",0,O136*12*L136*(1+tab!$D$108)*tab!$E$110)</f>
        <v>0</v>
      </c>
      <c r="T136" s="580">
        <f t="shared" si="43"/>
        <v>0</v>
      </c>
      <c r="U136" s="243">
        <f t="shared" si="34"/>
        <v>0</v>
      </c>
      <c r="V136" s="332">
        <f t="shared" si="35"/>
        <v>0</v>
      </c>
      <c r="W136" s="136"/>
      <c r="X136" s="97"/>
      <c r="Z136" s="647" t="e">
        <f t="shared" si="36"/>
        <v>#VALUE!</v>
      </c>
      <c r="AA136" s="647" t="e">
        <f t="shared" si="37"/>
        <v>#VALUE!</v>
      </c>
      <c r="AB136" s="350">
        <f t="shared" si="38"/>
        <v>30</v>
      </c>
      <c r="AC136" s="67">
        <f t="shared" si="39"/>
        <v>30</v>
      </c>
      <c r="AD136" s="84">
        <f t="shared" si="40"/>
        <v>0</v>
      </c>
      <c r="AJ136" s="405"/>
    </row>
    <row r="137" spans="2:36" ht="12.75" customHeight="1">
      <c r="B137" s="92"/>
      <c r="C137" s="131"/>
      <c r="D137" s="169" t="str">
        <f>IF(op!D25=0,"",op!D25)</f>
        <v/>
      </c>
      <c r="E137" s="169" t="str">
        <f>IF(op!E25=0,"",op!E25)</f>
        <v/>
      </c>
      <c r="F137" s="169" t="str">
        <f>IF(op!F25=0,"",op!F25)</f>
        <v/>
      </c>
      <c r="G137" s="170" t="str">
        <f>IF(op!G25=0,"",op!G25+1)</f>
        <v/>
      </c>
      <c r="H137" s="566" t="str">
        <f>IF(op!H25="","",op!H25)</f>
        <v/>
      </c>
      <c r="I137" s="170" t="str">
        <f>IF(op!I25=0,"",op!I25)</f>
        <v/>
      </c>
      <c r="J137" s="567" t="str">
        <f>IF(E137="","",IF(op!J25&gt;LOOKUP(I137,schaal2011,regels2011),J25-1,IF(op!J25=LOOKUP(I137,schaal2011,regels2011),op!J25,J25+1)))</f>
        <v/>
      </c>
      <c r="K137" s="568" t="str">
        <f>IF(op!K25="","",op!K25)</f>
        <v/>
      </c>
      <c r="L137" s="569" t="str">
        <f>IF(op!L25="","",op!L25)</f>
        <v/>
      </c>
      <c r="M137" s="570" t="str">
        <f t="shared" si="32"/>
        <v/>
      </c>
      <c r="N137" s="155"/>
      <c r="O137" s="571" t="str">
        <f>IF(I137="","",VLOOKUP(I137,tab!$A$119:$V$159,J137+3,FALSE))</f>
        <v/>
      </c>
      <c r="P137" s="572">
        <f t="shared" si="33"/>
        <v>0</v>
      </c>
      <c r="Q137" s="589">
        <f t="shared" si="41"/>
        <v>0.6</v>
      </c>
      <c r="R137" s="573">
        <f t="shared" si="42"/>
        <v>0</v>
      </c>
      <c r="S137" s="332">
        <f>IF(L137="",0,O137*12*L137*(1+tab!$D$108)*tab!$E$110)</f>
        <v>0</v>
      </c>
      <c r="T137" s="580">
        <f t="shared" si="43"/>
        <v>0</v>
      </c>
      <c r="U137" s="243">
        <f t="shared" si="34"/>
        <v>0</v>
      </c>
      <c r="V137" s="332">
        <f t="shared" si="35"/>
        <v>0</v>
      </c>
      <c r="W137" s="136"/>
      <c r="X137" s="97"/>
      <c r="Z137" s="647" t="e">
        <f t="shared" si="36"/>
        <v>#VALUE!</v>
      </c>
      <c r="AA137" s="647" t="e">
        <f t="shared" si="37"/>
        <v>#VALUE!</v>
      </c>
      <c r="AB137" s="350">
        <f t="shared" si="38"/>
        <v>30</v>
      </c>
      <c r="AC137" s="67">
        <f t="shared" si="39"/>
        <v>30</v>
      </c>
      <c r="AD137" s="84">
        <f t="shared" si="40"/>
        <v>0</v>
      </c>
      <c r="AJ137" s="405"/>
    </row>
    <row r="138" spans="2:36" ht="12.75" customHeight="1">
      <c r="B138" s="92"/>
      <c r="C138" s="131"/>
      <c r="D138" s="169" t="str">
        <f>IF(op!D26=0,"",op!D26)</f>
        <v/>
      </c>
      <c r="E138" s="169" t="str">
        <f>IF(op!E26=0,"",op!E26)</f>
        <v/>
      </c>
      <c r="F138" s="169" t="str">
        <f>IF(op!F26=0,"",op!F26)</f>
        <v/>
      </c>
      <c r="G138" s="170" t="str">
        <f>IF(op!G26=0,"",op!G26+1)</f>
        <v/>
      </c>
      <c r="H138" s="566" t="str">
        <f>IF(op!H26="","",op!H26)</f>
        <v/>
      </c>
      <c r="I138" s="170" t="str">
        <f>IF(op!I26=0,"",op!I26)</f>
        <v/>
      </c>
      <c r="J138" s="567" t="str">
        <f>IF(E138="","",IF(op!J26&gt;LOOKUP(I138,schaal2011,regels2011),J26-1,IF(op!J26=LOOKUP(I138,schaal2011,regels2011),op!J26,J26+1)))</f>
        <v/>
      </c>
      <c r="K138" s="568" t="str">
        <f>IF(op!K26="","",op!K26)</f>
        <v/>
      </c>
      <c r="L138" s="569" t="str">
        <f>IF(op!L26="","",op!L26)</f>
        <v/>
      </c>
      <c r="M138" s="570" t="str">
        <f t="shared" si="32"/>
        <v/>
      </c>
      <c r="N138" s="155"/>
      <c r="O138" s="571" t="str">
        <f>IF(I138="","",VLOOKUP(I138,tab!$A$119:$V$159,J138+3,FALSE))</f>
        <v/>
      </c>
      <c r="P138" s="572">
        <f t="shared" si="33"/>
        <v>0</v>
      </c>
      <c r="Q138" s="589">
        <f t="shared" si="41"/>
        <v>0.6</v>
      </c>
      <c r="R138" s="573">
        <f t="shared" si="42"/>
        <v>0</v>
      </c>
      <c r="S138" s="332">
        <f>IF(L138="",0,O138*12*L138*(1+tab!$D$108)*tab!$E$110)</f>
        <v>0</v>
      </c>
      <c r="T138" s="580">
        <f t="shared" si="43"/>
        <v>0</v>
      </c>
      <c r="U138" s="243">
        <f t="shared" si="34"/>
        <v>0</v>
      </c>
      <c r="V138" s="332">
        <f t="shared" si="35"/>
        <v>0</v>
      </c>
      <c r="W138" s="136"/>
      <c r="X138" s="97"/>
      <c r="Z138" s="647" t="e">
        <f t="shared" si="36"/>
        <v>#VALUE!</v>
      </c>
      <c r="AA138" s="647" t="e">
        <f t="shared" si="37"/>
        <v>#VALUE!</v>
      </c>
      <c r="AB138" s="350">
        <f t="shared" si="38"/>
        <v>30</v>
      </c>
      <c r="AC138" s="67">
        <f t="shared" si="39"/>
        <v>30</v>
      </c>
      <c r="AD138" s="84">
        <f t="shared" si="40"/>
        <v>0</v>
      </c>
      <c r="AJ138" s="405"/>
    </row>
    <row r="139" spans="2:36" ht="12.75" customHeight="1">
      <c r="B139" s="92"/>
      <c r="C139" s="131"/>
      <c r="D139" s="169" t="str">
        <f>IF(op!D27=0,"",op!D27)</f>
        <v/>
      </c>
      <c r="E139" s="169" t="str">
        <f>IF(op!E27=0,"",op!E27)</f>
        <v/>
      </c>
      <c r="F139" s="169" t="str">
        <f>IF(op!F27=0,"",op!F27)</f>
        <v/>
      </c>
      <c r="G139" s="170" t="str">
        <f>IF(op!G27=0,"",op!G27+1)</f>
        <v/>
      </c>
      <c r="H139" s="566" t="str">
        <f>IF(op!H27="","",op!H27)</f>
        <v/>
      </c>
      <c r="I139" s="170" t="str">
        <f>IF(op!I27=0,"",op!I27)</f>
        <v/>
      </c>
      <c r="J139" s="567" t="str">
        <f>IF(E139="","",IF(op!J27&gt;LOOKUP(I139,schaal2011,regels2011),J27-1,IF(op!J27=LOOKUP(I139,schaal2011,regels2011),op!J27,J27+1)))</f>
        <v/>
      </c>
      <c r="K139" s="568" t="str">
        <f>IF(op!K27="","",op!K27)</f>
        <v/>
      </c>
      <c r="L139" s="569" t="str">
        <f>IF(op!L27="","",op!L27)</f>
        <v/>
      </c>
      <c r="M139" s="570" t="str">
        <f t="shared" si="32"/>
        <v/>
      </c>
      <c r="N139" s="155"/>
      <c r="O139" s="571" t="str">
        <f>IF(I139="","",VLOOKUP(I139,tab!$A$119:$V$159,J139+3,FALSE))</f>
        <v/>
      </c>
      <c r="P139" s="572">
        <f t="shared" si="33"/>
        <v>0</v>
      </c>
      <c r="Q139" s="589">
        <f t="shared" si="41"/>
        <v>0.6</v>
      </c>
      <c r="R139" s="573">
        <f t="shared" si="42"/>
        <v>0</v>
      </c>
      <c r="S139" s="332">
        <f>IF(L139="",0,O139*12*L139*(1+tab!$D$108)*tab!$E$110)</f>
        <v>0</v>
      </c>
      <c r="T139" s="580">
        <f t="shared" si="43"/>
        <v>0</v>
      </c>
      <c r="U139" s="243">
        <f t="shared" si="34"/>
        <v>0</v>
      </c>
      <c r="V139" s="332">
        <f t="shared" si="35"/>
        <v>0</v>
      </c>
      <c r="W139" s="136"/>
      <c r="X139" s="97"/>
      <c r="Z139" s="647" t="e">
        <f t="shared" si="36"/>
        <v>#VALUE!</v>
      </c>
      <c r="AA139" s="647" t="e">
        <f t="shared" si="37"/>
        <v>#VALUE!</v>
      </c>
      <c r="AB139" s="350">
        <f t="shared" si="38"/>
        <v>30</v>
      </c>
      <c r="AC139" s="67">
        <f t="shared" si="39"/>
        <v>30</v>
      </c>
      <c r="AD139" s="84">
        <f t="shared" si="40"/>
        <v>0</v>
      </c>
      <c r="AJ139" s="405"/>
    </row>
    <row r="140" spans="2:36" ht="12.75" customHeight="1">
      <c r="B140" s="92"/>
      <c r="C140" s="131"/>
      <c r="D140" s="169" t="str">
        <f>IF(op!D28=0,"",op!D28)</f>
        <v/>
      </c>
      <c r="E140" s="169" t="str">
        <f>IF(op!E28=0,"",op!E28)</f>
        <v/>
      </c>
      <c r="F140" s="169" t="str">
        <f>IF(op!F28=0,"",op!F28)</f>
        <v/>
      </c>
      <c r="G140" s="170" t="str">
        <f>IF(op!G28=0,"",op!G28+1)</f>
        <v/>
      </c>
      <c r="H140" s="566" t="str">
        <f>IF(op!H28="","",op!H28)</f>
        <v/>
      </c>
      <c r="I140" s="170" t="str">
        <f>IF(op!I28=0,"",op!I28)</f>
        <v/>
      </c>
      <c r="J140" s="567" t="str">
        <f>IF(E140="","",IF(op!J28&gt;LOOKUP(I140,schaal2011,regels2011),J28-1,IF(op!J28=LOOKUP(I140,schaal2011,regels2011),op!J28,J28+1)))</f>
        <v/>
      </c>
      <c r="K140" s="568" t="str">
        <f>IF(op!K28="","",op!K28)</f>
        <v/>
      </c>
      <c r="L140" s="569" t="str">
        <f>IF(op!L28="","",op!L28)</f>
        <v/>
      </c>
      <c r="M140" s="570" t="str">
        <f t="shared" si="32"/>
        <v/>
      </c>
      <c r="N140" s="155"/>
      <c r="O140" s="571" t="str">
        <f>IF(I140="","",VLOOKUP(I140,tab!$A$119:$V$159,J140+3,FALSE))</f>
        <v/>
      </c>
      <c r="P140" s="572">
        <f t="shared" si="33"/>
        <v>0</v>
      </c>
      <c r="Q140" s="589">
        <f t="shared" si="41"/>
        <v>0.6</v>
      </c>
      <c r="R140" s="573">
        <f t="shared" si="42"/>
        <v>0</v>
      </c>
      <c r="S140" s="332">
        <f>IF(L140="",0,O140*12*L140*(1+tab!$D$108)*tab!$E$110)</f>
        <v>0</v>
      </c>
      <c r="T140" s="580">
        <f t="shared" si="43"/>
        <v>0</v>
      </c>
      <c r="U140" s="243">
        <f t="shared" si="34"/>
        <v>0</v>
      </c>
      <c r="V140" s="332">
        <f t="shared" si="35"/>
        <v>0</v>
      </c>
      <c r="W140" s="136"/>
      <c r="X140" s="97"/>
      <c r="Z140" s="647" t="e">
        <f t="shared" si="36"/>
        <v>#VALUE!</v>
      </c>
      <c r="AA140" s="647" t="e">
        <f t="shared" si="37"/>
        <v>#VALUE!</v>
      </c>
      <c r="AB140" s="350">
        <f t="shared" si="38"/>
        <v>30</v>
      </c>
      <c r="AC140" s="67">
        <f t="shared" si="39"/>
        <v>30</v>
      </c>
      <c r="AD140" s="84">
        <f t="shared" si="40"/>
        <v>0</v>
      </c>
      <c r="AJ140" s="405"/>
    </row>
    <row r="141" spans="2:36" ht="12.75" customHeight="1">
      <c r="B141" s="92"/>
      <c r="C141" s="131"/>
      <c r="D141" s="169" t="str">
        <f>IF(op!D29=0,"",op!D29)</f>
        <v/>
      </c>
      <c r="E141" s="169" t="str">
        <f>IF(op!E29=0,"",op!E29)</f>
        <v/>
      </c>
      <c r="F141" s="169" t="str">
        <f>IF(op!F29=0,"",op!F29)</f>
        <v/>
      </c>
      <c r="G141" s="170" t="str">
        <f>IF(op!G29=0,"",op!G29+1)</f>
        <v/>
      </c>
      <c r="H141" s="566" t="str">
        <f>IF(op!H29="","",op!H29)</f>
        <v/>
      </c>
      <c r="I141" s="170" t="str">
        <f>IF(op!I29=0,"",op!I29)</f>
        <v/>
      </c>
      <c r="J141" s="567" t="str">
        <f>IF(E141="","",IF(op!J29&gt;LOOKUP(I141,schaal2011,regels2011),J29-1,IF(op!J29=LOOKUP(I141,schaal2011,regels2011),op!J29,J29+1)))</f>
        <v/>
      </c>
      <c r="K141" s="568" t="str">
        <f>IF(op!K29="","",op!K29)</f>
        <v/>
      </c>
      <c r="L141" s="569" t="str">
        <f>IF(op!L29="","",op!L29)</f>
        <v/>
      </c>
      <c r="M141" s="570" t="str">
        <f t="shared" si="32"/>
        <v/>
      </c>
      <c r="N141" s="155"/>
      <c r="O141" s="571" t="str">
        <f>IF(I141="","",VLOOKUP(I141,tab!$A$119:$V$159,J141+3,FALSE))</f>
        <v/>
      </c>
      <c r="P141" s="572">
        <f t="shared" si="33"/>
        <v>0</v>
      </c>
      <c r="Q141" s="589">
        <f t="shared" si="41"/>
        <v>0.6</v>
      </c>
      <c r="R141" s="573">
        <f t="shared" si="42"/>
        <v>0</v>
      </c>
      <c r="S141" s="332">
        <f>IF(L141="",0,O141*12*L141*(1+tab!$D$108)*tab!$E$110)</f>
        <v>0</v>
      </c>
      <c r="T141" s="580">
        <f t="shared" si="43"/>
        <v>0</v>
      </c>
      <c r="U141" s="243">
        <f t="shared" si="34"/>
        <v>0</v>
      </c>
      <c r="V141" s="332">
        <f t="shared" si="35"/>
        <v>0</v>
      </c>
      <c r="W141" s="136"/>
      <c r="X141" s="97"/>
      <c r="Z141" s="647" t="e">
        <f t="shared" si="36"/>
        <v>#VALUE!</v>
      </c>
      <c r="AA141" s="647" t="e">
        <f t="shared" si="37"/>
        <v>#VALUE!</v>
      </c>
      <c r="AB141" s="350">
        <f t="shared" si="38"/>
        <v>30</v>
      </c>
      <c r="AC141" s="67">
        <f t="shared" si="39"/>
        <v>30</v>
      </c>
      <c r="AD141" s="84">
        <f t="shared" si="40"/>
        <v>0</v>
      </c>
      <c r="AJ141" s="405"/>
    </row>
    <row r="142" spans="2:36" ht="12.75" customHeight="1">
      <c r="B142" s="92"/>
      <c r="C142" s="131"/>
      <c r="D142" s="169" t="str">
        <f>IF(op!D30=0,"",op!D30)</f>
        <v/>
      </c>
      <c r="E142" s="169" t="str">
        <f>IF(op!E30=0,"",op!E30)</f>
        <v/>
      </c>
      <c r="F142" s="169" t="str">
        <f>IF(op!F30=0,"",op!F30)</f>
        <v/>
      </c>
      <c r="G142" s="170" t="str">
        <f>IF(op!G30=0,"",op!G30+1)</f>
        <v/>
      </c>
      <c r="H142" s="566" t="str">
        <f>IF(op!H30="","",op!H30)</f>
        <v/>
      </c>
      <c r="I142" s="170" t="str">
        <f>IF(op!I30=0,"",op!I30)</f>
        <v/>
      </c>
      <c r="J142" s="567" t="str">
        <f>IF(E142="","",IF(op!J30&gt;LOOKUP(I142,schaal2011,regels2011),J30-1,IF(op!J30=LOOKUP(I142,schaal2011,regels2011),op!J30,J30+1)))</f>
        <v/>
      </c>
      <c r="K142" s="568" t="str">
        <f>IF(op!K30="","",op!K30)</f>
        <v/>
      </c>
      <c r="L142" s="569" t="str">
        <f>IF(op!L30="","",op!L30)</f>
        <v/>
      </c>
      <c r="M142" s="570" t="str">
        <f t="shared" si="32"/>
        <v/>
      </c>
      <c r="N142" s="155"/>
      <c r="O142" s="571" t="str">
        <f>IF(I142="","",VLOOKUP(I142,tab!$A$119:$V$159,J142+3,FALSE))</f>
        <v/>
      </c>
      <c r="P142" s="572">
        <f t="shared" si="33"/>
        <v>0</v>
      </c>
      <c r="Q142" s="589">
        <f t="shared" si="41"/>
        <v>0.6</v>
      </c>
      <c r="R142" s="573">
        <f t="shared" si="42"/>
        <v>0</v>
      </c>
      <c r="S142" s="332">
        <f>IF(L142="",0,O142*12*L142*(1+tab!$D$108)*tab!$E$110)</f>
        <v>0</v>
      </c>
      <c r="T142" s="580">
        <f t="shared" si="43"/>
        <v>0</v>
      </c>
      <c r="U142" s="243">
        <f t="shared" si="34"/>
        <v>0</v>
      </c>
      <c r="V142" s="332">
        <f t="shared" si="35"/>
        <v>0</v>
      </c>
      <c r="W142" s="136"/>
      <c r="X142" s="97"/>
      <c r="Z142" s="647" t="e">
        <f t="shared" si="36"/>
        <v>#VALUE!</v>
      </c>
      <c r="AA142" s="647" t="e">
        <f t="shared" si="37"/>
        <v>#VALUE!</v>
      </c>
      <c r="AB142" s="350">
        <f t="shared" si="38"/>
        <v>30</v>
      </c>
      <c r="AC142" s="67">
        <f t="shared" si="39"/>
        <v>30</v>
      </c>
      <c r="AD142" s="84">
        <f t="shared" si="40"/>
        <v>0</v>
      </c>
      <c r="AJ142" s="405"/>
    </row>
    <row r="143" spans="2:36" ht="12.75" customHeight="1">
      <c r="B143" s="92"/>
      <c r="C143" s="131"/>
      <c r="D143" s="169" t="str">
        <f>IF(op!D31=0,"",op!D31)</f>
        <v/>
      </c>
      <c r="E143" s="169" t="str">
        <f>IF(op!E31=0,"",op!E31)</f>
        <v/>
      </c>
      <c r="F143" s="169" t="str">
        <f>IF(op!F31=0,"",op!F31)</f>
        <v/>
      </c>
      <c r="G143" s="170" t="str">
        <f>IF(op!G31=0,"",op!G31+1)</f>
        <v/>
      </c>
      <c r="H143" s="566" t="str">
        <f>IF(op!H31="","",op!H31)</f>
        <v/>
      </c>
      <c r="I143" s="170" t="str">
        <f>IF(op!I31=0,"",op!I31)</f>
        <v/>
      </c>
      <c r="J143" s="567" t="str">
        <f>IF(E143="","",IF(op!J31&gt;LOOKUP(I143,schaal2011,regels2011),J31-1,IF(op!J31=LOOKUP(I143,schaal2011,regels2011),op!J31,J31+1)))</f>
        <v/>
      </c>
      <c r="K143" s="568" t="str">
        <f>IF(op!K31="","",op!K31)</f>
        <v/>
      </c>
      <c r="L143" s="569" t="str">
        <f>IF(op!L31="","",op!L31)</f>
        <v/>
      </c>
      <c r="M143" s="570" t="str">
        <f t="shared" si="32"/>
        <v/>
      </c>
      <c r="N143" s="155"/>
      <c r="O143" s="571" t="str">
        <f>IF(I143="","",VLOOKUP(I143,tab!$A$119:$V$159,J143+3,FALSE))</f>
        <v/>
      </c>
      <c r="P143" s="572">
        <f t="shared" si="33"/>
        <v>0</v>
      </c>
      <c r="Q143" s="589">
        <f t="shared" si="41"/>
        <v>0.6</v>
      </c>
      <c r="R143" s="573">
        <f t="shared" si="42"/>
        <v>0</v>
      </c>
      <c r="S143" s="332">
        <f>IF(L143="",0,O143*12*L143*(1+tab!$D$108)*tab!$E$110)</f>
        <v>0</v>
      </c>
      <c r="T143" s="580">
        <f t="shared" si="43"/>
        <v>0</v>
      </c>
      <c r="U143" s="243">
        <f t="shared" si="34"/>
        <v>0</v>
      </c>
      <c r="V143" s="332">
        <f t="shared" si="35"/>
        <v>0</v>
      </c>
      <c r="W143" s="136"/>
      <c r="X143" s="97"/>
      <c r="Z143" s="647" t="e">
        <f t="shared" si="36"/>
        <v>#VALUE!</v>
      </c>
      <c r="AA143" s="647" t="e">
        <f t="shared" si="37"/>
        <v>#VALUE!</v>
      </c>
      <c r="AB143" s="350">
        <f t="shared" si="38"/>
        <v>30</v>
      </c>
      <c r="AC143" s="67">
        <f t="shared" si="39"/>
        <v>30</v>
      </c>
      <c r="AD143" s="84">
        <f t="shared" si="40"/>
        <v>0</v>
      </c>
      <c r="AJ143" s="405"/>
    </row>
    <row r="144" spans="2:36" ht="12.75" customHeight="1">
      <c r="B144" s="92"/>
      <c r="C144" s="131"/>
      <c r="D144" s="169" t="str">
        <f>IF(op!D32=0,"",op!D32)</f>
        <v/>
      </c>
      <c r="E144" s="169" t="str">
        <f>IF(op!E32=0,"",op!E32)</f>
        <v/>
      </c>
      <c r="F144" s="169" t="str">
        <f>IF(op!F32=0,"",op!F32)</f>
        <v/>
      </c>
      <c r="G144" s="170" t="str">
        <f>IF(op!G32=0,"",op!G32+1)</f>
        <v/>
      </c>
      <c r="H144" s="566" t="str">
        <f>IF(op!H32="","",op!H32)</f>
        <v/>
      </c>
      <c r="I144" s="170" t="str">
        <f>IF(op!I32=0,"",op!I32)</f>
        <v/>
      </c>
      <c r="J144" s="567" t="str">
        <f>IF(E144="","",IF(op!J32&gt;LOOKUP(I144,schaal2011,regels2011),J32-1,IF(op!J32=LOOKUP(I144,schaal2011,regels2011),op!J32,J32+1)))</f>
        <v/>
      </c>
      <c r="K144" s="568" t="str">
        <f>IF(op!K32="","",op!K32)</f>
        <v/>
      </c>
      <c r="L144" s="569" t="str">
        <f>IF(op!L32="","",op!L32)</f>
        <v/>
      </c>
      <c r="M144" s="570" t="str">
        <f t="shared" si="32"/>
        <v/>
      </c>
      <c r="N144" s="155"/>
      <c r="O144" s="571" t="str">
        <f>IF(I144="","",VLOOKUP(I144,tab!$A$119:$V$159,J144+3,FALSE))</f>
        <v/>
      </c>
      <c r="P144" s="572">
        <f t="shared" si="33"/>
        <v>0</v>
      </c>
      <c r="Q144" s="589">
        <f t="shared" si="41"/>
        <v>0.6</v>
      </c>
      <c r="R144" s="573">
        <f t="shared" si="42"/>
        <v>0</v>
      </c>
      <c r="S144" s="332">
        <f>IF(L144="",0,O144*12*L144*(1+tab!$D$108)*tab!$E$110)</f>
        <v>0</v>
      </c>
      <c r="T144" s="580">
        <f t="shared" si="43"/>
        <v>0</v>
      </c>
      <c r="U144" s="243">
        <f t="shared" si="34"/>
        <v>0</v>
      </c>
      <c r="V144" s="332">
        <f t="shared" si="35"/>
        <v>0</v>
      </c>
      <c r="W144" s="136"/>
      <c r="X144" s="97"/>
      <c r="Z144" s="647" t="e">
        <f t="shared" si="36"/>
        <v>#VALUE!</v>
      </c>
      <c r="AA144" s="647" t="e">
        <f t="shared" si="37"/>
        <v>#VALUE!</v>
      </c>
      <c r="AB144" s="350">
        <f t="shared" si="38"/>
        <v>30</v>
      </c>
      <c r="AC144" s="67">
        <f t="shared" si="39"/>
        <v>30</v>
      </c>
      <c r="AD144" s="84">
        <f t="shared" si="40"/>
        <v>0</v>
      </c>
      <c r="AJ144" s="405"/>
    </row>
    <row r="145" spans="2:36" ht="12.75" customHeight="1">
      <c r="B145" s="92"/>
      <c r="C145" s="131"/>
      <c r="D145" s="169" t="str">
        <f>IF(op!D33=0,"",op!D33)</f>
        <v/>
      </c>
      <c r="E145" s="169" t="str">
        <f>IF(op!E33=0,"",op!E33)</f>
        <v/>
      </c>
      <c r="F145" s="169" t="str">
        <f>IF(op!F33=0,"",op!F33)</f>
        <v/>
      </c>
      <c r="G145" s="170" t="str">
        <f>IF(op!G33=0,"",op!G33+1)</f>
        <v/>
      </c>
      <c r="H145" s="566" t="str">
        <f>IF(op!H33="","",op!H33)</f>
        <v/>
      </c>
      <c r="I145" s="170" t="str">
        <f>IF(op!I33=0,"",op!I33)</f>
        <v/>
      </c>
      <c r="J145" s="567" t="str">
        <f>IF(E145="","",IF(op!J33&gt;LOOKUP(I145,schaal2011,regels2011),J33-1,IF(op!J33=LOOKUP(I145,schaal2011,regels2011),op!J33,J33+1)))</f>
        <v/>
      </c>
      <c r="K145" s="568" t="str">
        <f>IF(op!K33="","",op!K33)</f>
        <v/>
      </c>
      <c r="L145" s="569" t="str">
        <f>IF(op!L33="","",op!L33)</f>
        <v/>
      </c>
      <c r="M145" s="570" t="str">
        <f t="shared" si="32"/>
        <v/>
      </c>
      <c r="N145" s="155"/>
      <c r="O145" s="571" t="str">
        <f>IF(I145="","",VLOOKUP(I145,tab!$A$119:$V$159,J145+3,FALSE))</f>
        <v/>
      </c>
      <c r="P145" s="572">
        <f t="shared" si="33"/>
        <v>0</v>
      </c>
      <c r="Q145" s="589">
        <f t="shared" si="41"/>
        <v>0.6</v>
      </c>
      <c r="R145" s="573">
        <f t="shared" si="42"/>
        <v>0</v>
      </c>
      <c r="S145" s="332">
        <f>IF(L145="",0,O145*12*L145*(1+tab!$D$108)*tab!$E$110)</f>
        <v>0</v>
      </c>
      <c r="T145" s="580">
        <f t="shared" si="43"/>
        <v>0</v>
      </c>
      <c r="U145" s="243">
        <f t="shared" si="34"/>
        <v>0</v>
      </c>
      <c r="V145" s="332">
        <f t="shared" si="35"/>
        <v>0</v>
      </c>
      <c r="W145" s="136"/>
      <c r="X145" s="97"/>
      <c r="Z145" s="647" t="e">
        <f t="shared" si="36"/>
        <v>#VALUE!</v>
      </c>
      <c r="AA145" s="647" t="e">
        <f t="shared" si="37"/>
        <v>#VALUE!</v>
      </c>
      <c r="AB145" s="350">
        <f t="shared" si="38"/>
        <v>30</v>
      </c>
      <c r="AC145" s="67">
        <f t="shared" si="39"/>
        <v>30</v>
      </c>
      <c r="AD145" s="84">
        <f t="shared" si="40"/>
        <v>0</v>
      </c>
      <c r="AJ145" s="405"/>
    </row>
    <row r="146" spans="2:36" ht="12.75" customHeight="1">
      <c r="B146" s="92"/>
      <c r="C146" s="131"/>
      <c r="D146" s="169" t="str">
        <f>IF(op!D34=0,"",op!D34)</f>
        <v/>
      </c>
      <c r="E146" s="169" t="str">
        <f>IF(op!E34=0,"",op!E34)</f>
        <v/>
      </c>
      <c r="F146" s="169" t="str">
        <f>IF(op!F34=0,"",op!F34)</f>
        <v/>
      </c>
      <c r="G146" s="170" t="str">
        <f>IF(op!G34=0,"",op!G34+1)</f>
        <v/>
      </c>
      <c r="H146" s="566" t="str">
        <f>IF(op!H34="","",op!H34)</f>
        <v/>
      </c>
      <c r="I146" s="170" t="str">
        <f>IF(op!I34=0,"",op!I34)</f>
        <v/>
      </c>
      <c r="J146" s="567" t="str">
        <f>IF(E146="","",IF(op!J34&gt;LOOKUP(I146,schaal2011,regels2011),J34-1,IF(op!J34=LOOKUP(I146,schaal2011,regels2011),op!J34,J34+1)))</f>
        <v/>
      </c>
      <c r="K146" s="568" t="str">
        <f>IF(op!K34="","",op!K34)</f>
        <v/>
      </c>
      <c r="L146" s="569" t="str">
        <f>IF(op!L34="","",op!L34)</f>
        <v/>
      </c>
      <c r="M146" s="570" t="str">
        <f t="shared" si="32"/>
        <v/>
      </c>
      <c r="N146" s="155"/>
      <c r="O146" s="571" t="str">
        <f>IF(I146="","",VLOOKUP(I146,tab!$A$119:$V$159,J146+3,FALSE))</f>
        <v/>
      </c>
      <c r="P146" s="572">
        <f t="shared" si="33"/>
        <v>0</v>
      </c>
      <c r="Q146" s="589">
        <f t="shared" si="41"/>
        <v>0.6</v>
      </c>
      <c r="R146" s="573">
        <f t="shared" si="42"/>
        <v>0</v>
      </c>
      <c r="S146" s="332">
        <f>IF(L146="",0,O146*12*L146*(1+tab!$D$108)*tab!$E$110)</f>
        <v>0</v>
      </c>
      <c r="T146" s="580">
        <f t="shared" si="43"/>
        <v>0</v>
      </c>
      <c r="U146" s="243">
        <f t="shared" si="34"/>
        <v>0</v>
      </c>
      <c r="V146" s="332">
        <f t="shared" si="35"/>
        <v>0</v>
      </c>
      <c r="W146" s="136"/>
      <c r="X146" s="97"/>
      <c r="Z146" s="647" t="e">
        <f t="shared" si="36"/>
        <v>#VALUE!</v>
      </c>
      <c r="AA146" s="647" t="e">
        <f t="shared" si="37"/>
        <v>#VALUE!</v>
      </c>
      <c r="AB146" s="350">
        <f t="shared" si="38"/>
        <v>30</v>
      </c>
      <c r="AC146" s="67">
        <f t="shared" si="39"/>
        <v>30</v>
      </c>
      <c r="AD146" s="84">
        <f t="shared" si="40"/>
        <v>0</v>
      </c>
      <c r="AJ146" s="405"/>
    </row>
    <row r="147" spans="2:36" ht="12.75" customHeight="1">
      <c r="B147" s="92"/>
      <c r="C147" s="131"/>
      <c r="D147" s="169" t="str">
        <f>IF(op!D35=0,"",op!D35)</f>
        <v/>
      </c>
      <c r="E147" s="169" t="str">
        <f>IF(op!E35=0,"",op!E35)</f>
        <v/>
      </c>
      <c r="F147" s="169" t="str">
        <f>IF(op!F35=0,"",op!F35)</f>
        <v/>
      </c>
      <c r="G147" s="170" t="str">
        <f>IF(op!G35=0,"",op!G35+1)</f>
        <v/>
      </c>
      <c r="H147" s="566" t="str">
        <f>IF(op!H35="","",op!H35)</f>
        <v/>
      </c>
      <c r="I147" s="170" t="str">
        <f>IF(op!I35=0,"",op!I35)</f>
        <v/>
      </c>
      <c r="J147" s="567" t="str">
        <f>IF(E147="","",IF(op!J35&gt;LOOKUP(I147,schaal2011,regels2011),J35-1,IF(op!J35=LOOKUP(I147,schaal2011,regels2011),op!J35,J35+1)))</f>
        <v/>
      </c>
      <c r="K147" s="568" t="str">
        <f>IF(op!K35="","",op!K35)</f>
        <v/>
      </c>
      <c r="L147" s="569" t="str">
        <f>IF(op!L35="","",op!L35)</f>
        <v/>
      </c>
      <c r="M147" s="570" t="str">
        <f t="shared" si="32"/>
        <v/>
      </c>
      <c r="N147" s="155"/>
      <c r="O147" s="571" t="str">
        <f>IF(I147="","",VLOOKUP(I147,tab!$A$119:$V$159,J147+3,FALSE))</f>
        <v/>
      </c>
      <c r="P147" s="572">
        <f t="shared" si="33"/>
        <v>0</v>
      </c>
      <c r="Q147" s="589">
        <f t="shared" si="41"/>
        <v>0.6</v>
      </c>
      <c r="R147" s="573">
        <f t="shared" si="42"/>
        <v>0</v>
      </c>
      <c r="S147" s="332">
        <f>IF(L147="",0,O147*12*L147*(1+tab!$D$108)*tab!$E$110)</f>
        <v>0</v>
      </c>
      <c r="T147" s="580">
        <f t="shared" si="43"/>
        <v>0</v>
      </c>
      <c r="U147" s="243">
        <f t="shared" si="34"/>
        <v>0</v>
      </c>
      <c r="V147" s="332">
        <f t="shared" si="35"/>
        <v>0</v>
      </c>
      <c r="W147" s="136"/>
      <c r="X147" s="97"/>
      <c r="Z147" s="647" t="e">
        <f t="shared" si="36"/>
        <v>#VALUE!</v>
      </c>
      <c r="AA147" s="647" t="e">
        <f t="shared" si="37"/>
        <v>#VALUE!</v>
      </c>
      <c r="AB147" s="350">
        <f t="shared" si="38"/>
        <v>30</v>
      </c>
      <c r="AC147" s="67">
        <f t="shared" si="39"/>
        <v>30</v>
      </c>
      <c r="AD147" s="84">
        <f t="shared" si="40"/>
        <v>0</v>
      </c>
      <c r="AJ147" s="405"/>
    </row>
    <row r="148" spans="2:36" ht="12.75" customHeight="1">
      <c r="B148" s="92"/>
      <c r="C148" s="131"/>
      <c r="D148" s="169" t="str">
        <f>IF(op!D36=0,"",op!D36)</f>
        <v/>
      </c>
      <c r="E148" s="169" t="str">
        <f>IF(op!E36=0,"",op!E36)</f>
        <v/>
      </c>
      <c r="F148" s="169" t="str">
        <f>IF(op!F36=0,"",op!F36)</f>
        <v/>
      </c>
      <c r="G148" s="170" t="str">
        <f>IF(op!G36=0,"",op!G36+1)</f>
        <v/>
      </c>
      <c r="H148" s="566" t="str">
        <f>IF(op!H36="","",op!H36)</f>
        <v/>
      </c>
      <c r="I148" s="170" t="str">
        <f>IF(op!I36=0,"",op!I36)</f>
        <v/>
      </c>
      <c r="J148" s="567" t="str">
        <f>IF(E148="","",IF(op!J36&gt;LOOKUP(I148,schaal2011,regels2011),J36-1,IF(op!J36=LOOKUP(I148,schaal2011,regels2011),op!J36,J36+1)))</f>
        <v/>
      </c>
      <c r="K148" s="568" t="str">
        <f>IF(op!K36="","",op!K36)</f>
        <v/>
      </c>
      <c r="L148" s="569" t="str">
        <f>IF(op!L36="","",op!L36)</f>
        <v/>
      </c>
      <c r="M148" s="570" t="str">
        <f t="shared" si="32"/>
        <v/>
      </c>
      <c r="N148" s="155"/>
      <c r="O148" s="571" t="str">
        <f>IF(I148="","",VLOOKUP(I148,tab!$A$119:$V$159,J148+3,FALSE))</f>
        <v/>
      </c>
      <c r="P148" s="572">
        <f t="shared" si="33"/>
        <v>0</v>
      </c>
      <c r="Q148" s="589">
        <f t="shared" si="41"/>
        <v>0.6</v>
      </c>
      <c r="R148" s="573">
        <f t="shared" si="42"/>
        <v>0</v>
      </c>
      <c r="S148" s="332">
        <f>IF(L148="",0,O148*12*L148*(1+tab!$D$108)*tab!$E$110)</f>
        <v>0</v>
      </c>
      <c r="T148" s="580">
        <f t="shared" si="43"/>
        <v>0</v>
      </c>
      <c r="U148" s="243">
        <f t="shared" si="34"/>
        <v>0</v>
      </c>
      <c r="V148" s="332">
        <f t="shared" si="35"/>
        <v>0</v>
      </c>
      <c r="W148" s="136"/>
      <c r="X148" s="97"/>
      <c r="Z148" s="647" t="e">
        <f t="shared" si="36"/>
        <v>#VALUE!</v>
      </c>
      <c r="AA148" s="647" t="e">
        <f t="shared" si="37"/>
        <v>#VALUE!</v>
      </c>
      <c r="AB148" s="350">
        <f t="shared" si="38"/>
        <v>30</v>
      </c>
      <c r="AC148" s="67">
        <f t="shared" si="39"/>
        <v>30</v>
      </c>
      <c r="AD148" s="84">
        <f t="shared" si="40"/>
        <v>0</v>
      </c>
      <c r="AJ148" s="405"/>
    </row>
    <row r="149" spans="2:36" ht="12.75" customHeight="1">
      <c r="B149" s="92"/>
      <c r="C149" s="131"/>
      <c r="D149" s="169" t="str">
        <f>IF(op!D37=0,"",op!D37)</f>
        <v/>
      </c>
      <c r="E149" s="169" t="str">
        <f>IF(op!E37=0,"",op!E37)</f>
        <v/>
      </c>
      <c r="F149" s="169" t="str">
        <f>IF(op!F37=0,"",op!F37)</f>
        <v/>
      </c>
      <c r="G149" s="170" t="str">
        <f>IF(op!G37=0,"",op!G37+1)</f>
        <v/>
      </c>
      <c r="H149" s="566" t="str">
        <f>IF(op!H37="","",op!H37)</f>
        <v/>
      </c>
      <c r="I149" s="170" t="str">
        <f>IF(op!I37=0,"",op!I37)</f>
        <v/>
      </c>
      <c r="J149" s="567" t="str">
        <f>IF(E149="","",IF(op!J37&gt;LOOKUP(I149,schaal2011,regels2011),J37-1,IF(op!J37=LOOKUP(I149,schaal2011,regels2011),op!J37,J37+1)))</f>
        <v/>
      </c>
      <c r="K149" s="568" t="str">
        <f>IF(op!K37="","",op!K37)</f>
        <v/>
      </c>
      <c r="L149" s="569" t="str">
        <f>IF(op!L37="","",op!L37)</f>
        <v/>
      </c>
      <c r="M149" s="570" t="str">
        <f t="shared" si="32"/>
        <v/>
      </c>
      <c r="N149" s="155"/>
      <c r="O149" s="571" t="str">
        <f>IF(I149="","",VLOOKUP(I149,tab!$A$119:$V$159,J149+3,FALSE))</f>
        <v/>
      </c>
      <c r="P149" s="572">
        <f t="shared" si="33"/>
        <v>0</v>
      </c>
      <c r="Q149" s="589">
        <f t="shared" si="41"/>
        <v>0.6</v>
      </c>
      <c r="R149" s="573">
        <f t="shared" si="42"/>
        <v>0</v>
      </c>
      <c r="S149" s="332">
        <f>IF(L149="",0,O149*12*L149*(1+tab!$D$108)*tab!$E$110)</f>
        <v>0</v>
      </c>
      <c r="T149" s="580">
        <f t="shared" si="43"/>
        <v>0</v>
      </c>
      <c r="U149" s="243">
        <f t="shared" si="34"/>
        <v>0</v>
      </c>
      <c r="V149" s="332">
        <f t="shared" si="35"/>
        <v>0</v>
      </c>
      <c r="W149" s="136"/>
      <c r="X149" s="97"/>
      <c r="Z149" s="647" t="e">
        <f t="shared" si="36"/>
        <v>#VALUE!</v>
      </c>
      <c r="AA149" s="647" t="e">
        <f t="shared" si="37"/>
        <v>#VALUE!</v>
      </c>
      <c r="AB149" s="350">
        <f t="shared" si="38"/>
        <v>30</v>
      </c>
      <c r="AC149" s="67">
        <f t="shared" si="39"/>
        <v>30</v>
      </c>
      <c r="AD149" s="84">
        <f t="shared" si="40"/>
        <v>0</v>
      </c>
      <c r="AJ149" s="405"/>
    </row>
    <row r="150" spans="2:36" ht="12.75" customHeight="1">
      <c r="B150" s="92"/>
      <c r="C150" s="131"/>
      <c r="D150" s="169" t="str">
        <f>IF(op!D38=0,"",op!D38)</f>
        <v/>
      </c>
      <c r="E150" s="169" t="str">
        <f>IF(op!E38=0,"",op!E38)</f>
        <v/>
      </c>
      <c r="F150" s="169" t="str">
        <f>IF(op!F38=0,"",op!F38)</f>
        <v/>
      </c>
      <c r="G150" s="170" t="str">
        <f>IF(op!G38=0,"",op!G38+1)</f>
        <v/>
      </c>
      <c r="H150" s="566" t="str">
        <f>IF(op!H38="","",op!H38)</f>
        <v/>
      </c>
      <c r="I150" s="170" t="str">
        <f>IF(op!I38=0,"",op!I38)</f>
        <v/>
      </c>
      <c r="J150" s="567" t="str">
        <f>IF(E150="","",IF(op!J38&gt;LOOKUP(I150,schaal2011,regels2011),J38-1,IF(op!J38=LOOKUP(I150,schaal2011,regels2011),op!J38,J38+1)))</f>
        <v/>
      </c>
      <c r="K150" s="568" t="str">
        <f>IF(op!K38="","",op!K38)</f>
        <v/>
      </c>
      <c r="L150" s="569" t="str">
        <f>IF(op!L38="","",op!L38)</f>
        <v/>
      </c>
      <c r="M150" s="570" t="str">
        <f t="shared" si="32"/>
        <v/>
      </c>
      <c r="N150" s="155"/>
      <c r="O150" s="571" t="str">
        <f>IF(I150="","",VLOOKUP(I150,tab!$A$119:$V$159,J150+3,FALSE))</f>
        <v/>
      </c>
      <c r="P150" s="572">
        <f t="shared" si="33"/>
        <v>0</v>
      </c>
      <c r="Q150" s="589">
        <f t="shared" si="41"/>
        <v>0.6</v>
      </c>
      <c r="R150" s="573">
        <f t="shared" si="42"/>
        <v>0</v>
      </c>
      <c r="S150" s="332">
        <f>IF(L150="",0,O150*12*L150*(1+tab!$D$108)*tab!$E$110)</f>
        <v>0</v>
      </c>
      <c r="T150" s="580">
        <f t="shared" si="43"/>
        <v>0</v>
      </c>
      <c r="U150" s="243">
        <f t="shared" si="34"/>
        <v>0</v>
      </c>
      <c r="V150" s="332">
        <f t="shared" si="35"/>
        <v>0</v>
      </c>
      <c r="W150" s="136"/>
      <c r="X150" s="97"/>
      <c r="Z150" s="647" t="e">
        <f t="shared" si="36"/>
        <v>#VALUE!</v>
      </c>
      <c r="AA150" s="647" t="e">
        <f t="shared" si="37"/>
        <v>#VALUE!</v>
      </c>
      <c r="AB150" s="350">
        <f t="shared" si="38"/>
        <v>30</v>
      </c>
      <c r="AC150" s="67">
        <f t="shared" si="39"/>
        <v>30</v>
      </c>
      <c r="AD150" s="84">
        <f t="shared" si="40"/>
        <v>0</v>
      </c>
      <c r="AJ150" s="405"/>
    </row>
    <row r="151" spans="2:36" ht="12.75" customHeight="1">
      <c r="B151" s="92"/>
      <c r="C151" s="131"/>
      <c r="D151" s="169" t="str">
        <f>IF(op!D39=0,"",op!D39)</f>
        <v/>
      </c>
      <c r="E151" s="169" t="str">
        <f>IF(op!E39=0,"",op!E39)</f>
        <v/>
      </c>
      <c r="F151" s="169" t="str">
        <f>IF(op!F39=0,"",op!F39)</f>
        <v/>
      </c>
      <c r="G151" s="170" t="str">
        <f>IF(op!G39=0,"",op!G39+1)</f>
        <v/>
      </c>
      <c r="H151" s="566" t="str">
        <f>IF(op!H39="","",op!H39)</f>
        <v/>
      </c>
      <c r="I151" s="170" t="str">
        <f>IF(op!I39=0,"",op!I39)</f>
        <v/>
      </c>
      <c r="J151" s="567" t="str">
        <f>IF(E151="","",IF(op!J39&gt;LOOKUP(I151,schaal2011,regels2011),J39-1,IF(op!J39=LOOKUP(I151,schaal2011,regels2011),op!J39,J39+1)))</f>
        <v/>
      </c>
      <c r="K151" s="568" t="str">
        <f>IF(op!K39="","",op!K39)</f>
        <v/>
      </c>
      <c r="L151" s="569" t="str">
        <f>IF(op!L39="","",op!L39)</f>
        <v/>
      </c>
      <c r="M151" s="570" t="str">
        <f t="shared" si="32"/>
        <v/>
      </c>
      <c r="N151" s="155"/>
      <c r="O151" s="571" t="str">
        <f>IF(I151="","",VLOOKUP(I151,tab!$A$119:$V$159,J151+3,FALSE))</f>
        <v/>
      </c>
      <c r="P151" s="572">
        <f t="shared" si="33"/>
        <v>0</v>
      </c>
      <c r="Q151" s="589">
        <f t="shared" si="41"/>
        <v>0.6</v>
      </c>
      <c r="R151" s="573">
        <f t="shared" si="42"/>
        <v>0</v>
      </c>
      <c r="S151" s="332">
        <f>IF(L151="",0,O151*12*L151*(1+tab!$D$108)*tab!$E$110)</f>
        <v>0</v>
      </c>
      <c r="T151" s="580">
        <f t="shared" si="43"/>
        <v>0</v>
      </c>
      <c r="U151" s="243">
        <f t="shared" si="34"/>
        <v>0</v>
      </c>
      <c r="V151" s="332">
        <f t="shared" si="35"/>
        <v>0</v>
      </c>
      <c r="W151" s="136"/>
      <c r="X151" s="97"/>
      <c r="Z151" s="647" t="e">
        <f t="shared" si="36"/>
        <v>#VALUE!</v>
      </c>
      <c r="AA151" s="647" t="e">
        <f t="shared" si="37"/>
        <v>#VALUE!</v>
      </c>
      <c r="AB151" s="350">
        <f t="shared" si="38"/>
        <v>30</v>
      </c>
      <c r="AC151" s="67">
        <f t="shared" si="39"/>
        <v>30</v>
      </c>
      <c r="AD151" s="84">
        <f t="shared" si="40"/>
        <v>0</v>
      </c>
      <c r="AJ151" s="405"/>
    </row>
    <row r="152" spans="2:36" ht="12.75" customHeight="1">
      <c r="B152" s="92"/>
      <c r="C152" s="131"/>
      <c r="D152" s="169" t="str">
        <f>IF(op!D40=0,"",op!D40)</f>
        <v/>
      </c>
      <c r="E152" s="169" t="str">
        <f>IF(op!E40=0,"",op!E40)</f>
        <v/>
      </c>
      <c r="F152" s="169" t="str">
        <f>IF(op!F40=0,"",op!F40)</f>
        <v/>
      </c>
      <c r="G152" s="170" t="str">
        <f>IF(op!G40=0,"",op!G40+1)</f>
        <v/>
      </c>
      <c r="H152" s="566" t="str">
        <f>IF(op!H40="","",op!H40)</f>
        <v/>
      </c>
      <c r="I152" s="170" t="str">
        <f>IF(op!I40=0,"",op!I40)</f>
        <v/>
      </c>
      <c r="J152" s="567" t="str">
        <f>IF(E152="","",IF(op!J40&gt;LOOKUP(I152,schaal2011,regels2011),J40-1,IF(op!J40=LOOKUP(I152,schaal2011,regels2011),op!J40,J40+1)))</f>
        <v/>
      </c>
      <c r="K152" s="568" t="str">
        <f>IF(op!K40="","",op!K40)</f>
        <v/>
      </c>
      <c r="L152" s="569" t="str">
        <f>IF(op!L40="","",op!L40)</f>
        <v/>
      </c>
      <c r="M152" s="570" t="str">
        <f t="shared" si="32"/>
        <v/>
      </c>
      <c r="N152" s="155"/>
      <c r="O152" s="571" t="str">
        <f>IF(I152="","",VLOOKUP(I152,tab!$A$119:$V$159,J152+3,FALSE))</f>
        <v/>
      </c>
      <c r="P152" s="572">
        <f t="shared" si="33"/>
        <v>0</v>
      </c>
      <c r="Q152" s="589">
        <f t="shared" si="41"/>
        <v>0.6</v>
      </c>
      <c r="R152" s="573">
        <f t="shared" si="42"/>
        <v>0</v>
      </c>
      <c r="S152" s="332">
        <f>IF(L152="",0,O152*12*L152*(1+tab!$D$108)*tab!$E$110)</f>
        <v>0</v>
      </c>
      <c r="T152" s="580">
        <f t="shared" si="43"/>
        <v>0</v>
      </c>
      <c r="U152" s="243">
        <f t="shared" si="34"/>
        <v>0</v>
      </c>
      <c r="V152" s="332">
        <f t="shared" si="35"/>
        <v>0</v>
      </c>
      <c r="W152" s="136"/>
      <c r="X152" s="97"/>
      <c r="Z152" s="647" t="e">
        <f t="shared" si="36"/>
        <v>#VALUE!</v>
      </c>
      <c r="AA152" s="647" t="e">
        <f t="shared" si="37"/>
        <v>#VALUE!</v>
      </c>
      <c r="AB152" s="350">
        <f t="shared" si="38"/>
        <v>30</v>
      </c>
      <c r="AC152" s="67">
        <f t="shared" si="39"/>
        <v>30</v>
      </c>
      <c r="AD152" s="84">
        <f t="shared" si="40"/>
        <v>0</v>
      </c>
      <c r="AJ152" s="405"/>
    </row>
    <row r="153" spans="2:36" ht="12.75" customHeight="1">
      <c r="B153" s="92"/>
      <c r="C153" s="131"/>
      <c r="D153" s="169" t="str">
        <f>IF(op!D41=0,"",op!D41)</f>
        <v/>
      </c>
      <c r="E153" s="169" t="str">
        <f>IF(op!E41=0,"",op!E41)</f>
        <v/>
      </c>
      <c r="F153" s="169" t="str">
        <f>IF(op!F41=0,"",op!F41)</f>
        <v/>
      </c>
      <c r="G153" s="170" t="str">
        <f>IF(op!G41=0,"",op!G41+1)</f>
        <v/>
      </c>
      <c r="H153" s="566" t="str">
        <f>IF(op!H41="","",op!H41)</f>
        <v/>
      </c>
      <c r="I153" s="170" t="str">
        <f>IF(op!I41=0,"",op!I41)</f>
        <v/>
      </c>
      <c r="J153" s="567" t="str">
        <f>IF(E153="","",IF(op!J41&gt;LOOKUP(I153,schaal2011,regels2011),J41-1,IF(op!J41=LOOKUP(I153,schaal2011,regels2011),op!J41,J41+1)))</f>
        <v/>
      </c>
      <c r="K153" s="568" t="str">
        <f>IF(op!K41="","",op!K41)</f>
        <v/>
      </c>
      <c r="L153" s="569" t="str">
        <f>IF(op!L41="","",op!L41)</f>
        <v/>
      </c>
      <c r="M153" s="570" t="str">
        <f t="shared" si="32"/>
        <v/>
      </c>
      <c r="N153" s="155"/>
      <c r="O153" s="571" t="str">
        <f>IF(I153="","",VLOOKUP(I153,tab!$A$119:$V$159,J153+3,FALSE))</f>
        <v/>
      </c>
      <c r="P153" s="572">
        <f t="shared" si="33"/>
        <v>0</v>
      </c>
      <c r="Q153" s="589">
        <f t="shared" si="41"/>
        <v>0.6</v>
      </c>
      <c r="R153" s="573">
        <f t="shared" si="42"/>
        <v>0</v>
      </c>
      <c r="S153" s="332">
        <f>IF(L153="",0,O153*12*L153*(1+tab!$D$108)*tab!$E$110)</f>
        <v>0</v>
      </c>
      <c r="T153" s="580">
        <f t="shared" si="43"/>
        <v>0</v>
      </c>
      <c r="U153" s="243">
        <f t="shared" si="34"/>
        <v>0</v>
      </c>
      <c r="V153" s="332">
        <f t="shared" si="35"/>
        <v>0</v>
      </c>
      <c r="W153" s="136"/>
      <c r="X153" s="97"/>
      <c r="Z153" s="647" t="e">
        <f t="shared" si="36"/>
        <v>#VALUE!</v>
      </c>
      <c r="AA153" s="647" t="e">
        <f t="shared" si="37"/>
        <v>#VALUE!</v>
      </c>
      <c r="AB153" s="350">
        <f t="shared" si="38"/>
        <v>30</v>
      </c>
      <c r="AC153" s="67">
        <f t="shared" si="39"/>
        <v>30</v>
      </c>
      <c r="AD153" s="84">
        <f t="shared" si="40"/>
        <v>0</v>
      </c>
      <c r="AJ153" s="405"/>
    </row>
    <row r="154" spans="2:36" ht="12.75" customHeight="1">
      <c r="B154" s="92"/>
      <c r="C154" s="131"/>
      <c r="D154" s="169" t="str">
        <f>IF(op!D42=0,"",op!D42)</f>
        <v/>
      </c>
      <c r="E154" s="169" t="str">
        <f>IF(op!E42=0,"",op!E42)</f>
        <v/>
      </c>
      <c r="F154" s="169" t="str">
        <f>IF(op!F42=0,"",op!F42)</f>
        <v/>
      </c>
      <c r="G154" s="170" t="str">
        <f>IF(op!G42=0,"",op!G42+1)</f>
        <v/>
      </c>
      <c r="H154" s="566" t="str">
        <f>IF(op!H42="","",op!H42)</f>
        <v/>
      </c>
      <c r="I154" s="170" t="str">
        <f>IF(op!I42=0,"",op!I42)</f>
        <v/>
      </c>
      <c r="J154" s="567" t="str">
        <f>IF(E154="","",IF(op!J42&gt;LOOKUP(I154,schaal2011,regels2011),J42-1,IF(op!J42=LOOKUP(I154,schaal2011,regels2011),op!J42,J42+1)))</f>
        <v/>
      </c>
      <c r="K154" s="568" t="str">
        <f>IF(op!K42="","",op!K42)</f>
        <v/>
      </c>
      <c r="L154" s="569" t="str">
        <f>IF(op!L42="","",op!L42)</f>
        <v/>
      </c>
      <c r="M154" s="570" t="str">
        <f t="shared" si="32"/>
        <v/>
      </c>
      <c r="N154" s="155"/>
      <c r="O154" s="571" t="str">
        <f>IF(I154="","",VLOOKUP(I154,tab!$A$119:$V$159,J154+3,FALSE))</f>
        <v/>
      </c>
      <c r="P154" s="572">
        <f t="shared" si="33"/>
        <v>0</v>
      </c>
      <c r="Q154" s="589">
        <f t="shared" si="41"/>
        <v>0.6</v>
      </c>
      <c r="R154" s="573">
        <f t="shared" si="42"/>
        <v>0</v>
      </c>
      <c r="S154" s="332">
        <f>IF(L154="",0,O154*12*L154*(1+tab!$D$108)*tab!$E$110)</f>
        <v>0</v>
      </c>
      <c r="T154" s="580">
        <f t="shared" si="43"/>
        <v>0</v>
      </c>
      <c r="U154" s="243">
        <f t="shared" si="34"/>
        <v>0</v>
      </c>
      <c r="V154" s="332">
        <f t="shared" si="35"/>
        <v>0</v>
      </c>
      <c r="W154" s="136"/>
      <c r="X154" s="97"/>
      <c r="Z154" s="647" t="e">
        <f t="shared" si="36"/>
        <v>#VALUE!</v>
      </c>
      <c r="AA154" s="647" t="e">
        <f t="shared" si="37"/>
        <v>#VALUE!</v>
      </c>
      <c r="AB154" s="350">
        <f t="shared" si="38"/>
        <v>30</v>
      </c>
      <c r="AC154" s="67">
        <f t="shared" si="39"/>
        <v>30</v>
      </c>
      <c r="AD154" s="84">
        <f t="shared" si="40"/>
        <v>0</v>
      </c>
      <c r="AJ154" s="405"/>
    </row>
    <row r="155" spans="2:36" ht="12.75" customHeight="1">
      <c r="B155" s="92"/>
      <c r="C155" s="131"/>
      <c r="D155" s="169" t="str">
        <f>IF(op!D43=0,"",op!D43)</f>
        <v/>
      </c>
      <c r="E155" s="169" t="str">
        <f>IF(op!E43=0,"",op!E43)</f>
        <v/>
      </c>
      <c r="F155" s="169" t="str">
        <f>IF(op!F43=0,"",op!F43)</f>
        <v/>
      </c>
      <c r="G155" s="170" t="str">
        <f>IF(op!G43=0,"",op!G43+1)</f>
        <v/>
      </c>
      <c r="H155" s="566" t="str">
        <f>IF(op!H43="","",op!H43)</f>
        <v/>
      </c>
      <c r="I155" s="170" t="str">
        <f>IF(op!I43=0,"",op!I43)</f>
        <v/>
      </c>
      <c r="J155" s="567" t="str">
        <f>IF(E155="","",IF(op!J43&gt;LOOKUP(I155,schaal2011,regels2011),J43-1,IF(op!J43=LOOKUP(I155,schaal2011,regels2011),op!J43,J43+1)))</f>
        <v/>
      </c>
      <c r="K155" s="568" t="str">
        <f>IF(op!K43="","",op!K43)</f>
        <v/>
      </c>
      <c r="L155" s="569" t="str">
        <f>IF(op!L43="","",op!L43)</f>
        <v/>
      </c>
      <c r="M155" s="570" t="str">
        <f t="shared" si="32"/>
        <v/>
      </c>
      <c r="N155" s="155"/>
      <c r="O155" s="571" t="str">
        <f>IF(I155="","",VLOOKUP(I155,tab!$A$119:$V$159,J155+3,FALSE))</f>
        <v/>
      </c>
      <c r="P155" s="572">
        <f t="shared" si="33"/>
        <v>0</v>
      </c>
      <c r="Q155" s="589">
        <f t="shared" si="41"/>
        <v>0.6</v>
      </c>
      <c r="R155" s="573">
        <f t="shared" si="42"/>
        <v>0</v>
      </c>
      <c r="S155" s="332">
        <f>IF(L155="",0,O155*12*L155*(1+tab!$D$108)*tab!$E$110)</f>
        <v>0</v>
      </c>
      <c r="T155" s="580">
        <f t="shared" si="43"/>
        <v>0</v>
      </c>
      <c r="U155" s="243">
        <f t="shared" si="34"/>
        <v>0</v>
      </c>
      <c r="V155" s="332">
        <f t="shared" si="35"/>
        <v>0</v>
      </c>
      <c r="W155" s="136"/>
      <c r="X155" s="97"/>
      <c r="Z155" s="647" t="e">
        <f t="shared" si="36"/>
        <v>#VALUE!</v>
      </c>
      <c r="AA155" s="647" t="e">
        <f t="shared" si="37"/>
        <v>#VALUE!</v>
      </c>
      <c r="AB155" s="350">
        <f t="shared" si="38"/>
        <v>30</v>
      </c>
      <c r="AC155" s="67">
        <f t="shared" si="39"/>
        <v>30</v>
      </c>
      <c r="AD155" s="84">
        <f t="shared" si="40"/>
        <v>0</v>
      </c>
      <c r="AJ155" s="405"/>
    </row>
    <row r="156" spans="2:36" ht="12.75" customHeight="1">
      <c r="B156" s="92"/>
      <c r="C156" s="131"/>
      <c r="D156" s="169" t="str">
        <f>IF(op!D44=0,"",op!D44)</f>
        <v/>
      </c>
      <c r="E156" s="169" t="str">
        <f>IF(op!E44=0,"",op!E44)</f>
        <v/>
      </c>
      <c r="F156" s="169" t="str">
        <f>IF(op!F44=0,"",op!F44)</f>
        <v/>
      </c>
      <c r="G156" s="170" t="str">
        <f>IF(op!G44=0,"",op!G44+1)</f>
        <v/>
      </c>
      <c r="H156" s="566" t="str">
        <f>IF(op!H44="","",op!H44)</f>
        <v/>
      </c>
      <c r="I156" s="170" t="str">
        <f>IF(op!I44=0,"",op!I44)</f>
        <v/>
      </c>
      <c r="J156" s="567" t="str">
        <f>IF(E156="","",IF(op!J44&gt;LOOKUP(I156,schaal2011,regels2011),J44-1,IF(op!J44=LOOKUP(I156,schaal2011,regels2011),op!J44,J44+1)))</f>
        <v/>
      </c>
      <c r="K156" s="568" t="str">
        <f>IF(op!K44="","",op!K44)</f>
        <v/>
      </c>
      <c r="L156" s="569" t="str">
        <f>IF(op!L44="","",op!L44)</f>
        <v/>
      </c>
      <c r="M156" s="570" t="str">
        <f t="shared" si="32"/>
        <v/>
      </c>
      <c r="N156" s="155"/>
      <c r="O156" s="571" t="str">
        <f>IF(I156="","",VLOOKUP(I156,tab!$A$119:$V$159,J156+3,FALSE))</f>
        <v/>
      </c>
      <c r="P156" s="572">
        <f t="shared" si="33"/>
        <v>0</v>
      </c>
      <c r="Q156" s="589">
        <f t="shared" si="41"/>
        <v>0.6</v>
      </c>
      <c r="R156" s="573">
        <f t="shared" si="42"/>
        <v>0</v>
      </c>
      <c r="S156" s="332">
        <f>IF(L156="",0,O156*12*L156*(1+tab!$D$108)*tab!$E$110)</f>
        <v>0</v>
      </c>
      <c r="T156" s="580">
        <f t="shared" si="43"/>
        <v>0</v>
      </c>
      <c r="U156" s="243">
        <f t="shared" si="34"/>
        <v>0</v>
      </c>
      <c r="V156" s="332">
        <f t="shared" si="35"/>
        <v>0</v>
      </c>
      <c r="W156" s="136"/>
      <c r="X156" s="97"/>
      <c r="Z156" s="647" t="e">
        <f t="shared" si="36"/>
        <v>#VALUE!</v>
      </c>
      <c r="AA156" s="647" t="e">
        <f t="shared" si="37"/>
        <v>#VALUE!</v>
      </c>
      <c r="AB156" s="350">
        <f t="shared" si="38"/>
        <v>30</v>
      </c>
      <c r="AC156" s="67">
        <f t="shared" si="39"/>
        <v>30</v>
      </c>
      <c r="AD156" s="84">
        <f t="shared" si="40"/>
        <v>0</v>
      </c>
      <c r="AJ156" s="405"/>
    </row>
    <row r="157" spans="2:36" ht="12.75" customHeight="1">
      <c r="B157" s="92"/>
      <c r="C157" s="131"/>
      <c r="D157" s="169" t="str">
        <f>IF(op!D45=0,"",op!D45)</f>
        <v/>
      </c>
      <c r="E157" s="169" t="str">
        <f>IF(op!E45=0,"",op!E45)</f>
        <v/>
      </c>
      <c r="F157" s="169" t="str">
        <f>IF(op!F45=0,"",op!F45)</f>
        <v/>
      </c>
      <c r="G157" s="170" t="str">
        <f>IF(op!G45=0,"",op!G45+1)</f>
        <v/>
      </c>
      <c r="H157" s="566" t="str">
        <f>IF(op!H45="","",op!H45)</f>
        <v/>
      </c>
      <c r="I157" s="170" t="str">
        <f>IF(op!I45=0,"",op!I45)</f>
        <v/>
      </c>
      <c r="J157" s="567" t="str">
        <f>IF(E157="","",IF(op!J45&gt;LOOKUP(I157,schaal2011,regels2011),J45-1,IF(op!J45=LOOKUP(I157,schaal2011,regels2011),op!J45,J45+1)))</f>
        <v/>
      </c>
      <c r="K157" s="568" t="str">
        <f>IF(op!K45="","",op!K45)</f>
        <v/>
      </c>
      <c r="L157" s="569" t="str">
        <f>IF(op!L45="","",op!L45)</f>
        <v/>
      </c>
      <c r="M157" s="570" t="str">
        <f t="shared" si="32"/>
        <v/>
      </c>
      <c r="N157" s="155"/>
      <c r="O157" s="571" t="str">
        <f>IF(I157="","",VLOOKUP(I157,tab!$A$119:$V$159,J157+3,FALSE))</f>
        <v/>
      </c>
      <c r="P157" s="572">
        <f t="shared" si="33"/>
        <v>0</v>
      </c>
      <c r="Q157" s="589">
        <f t="shared" si="41"/>
        <v>0.6</v>
      </c>
      <c r="R157" s="573">
        <f t="shared" si="42"/>
        <v>0</v>
      </c>
      <c r="S157" s="332">
        <f>IF(L157="",0,O157*12*L157*(1+tab!$D$108)*tab!$E$110)</f>
        <v>0</v>
      </c>
      <c r="T157" s="580">
        <f t="shared" si="43"/>
        <v>0</v>
      </c>
      <c r="U157" s="243">
        <f t="shared" si="34"/>
        <v>0</v>
      </c>
      <c r="V157" s="332">
        <f t="shared" si="35"/>
        <v>0</v>
      </c>
      <c r="W157" s="136"/>
      <c r="X157" s="97"/>
      <c r="Z157" s="647" t="e">
        <f t="shared" si="36"/>
        <v>#VALUE!</v>
      </c>
      <c r="AA157" s="647" t="e">
        <f t="shared" si="37"/>
        <v>#VALUE!</v>
      </c>
      <c r="AB157" s="350">
        <f t="shared" si="38"/>
        <v>30</v>
      </c>
      <c r="AC157" s="67">
        <f t="shared" si="39"/>
        <v>30</v>
      </c>
      <c r="AD157" s="84">
        <f t="shared" si="40"/>
        <v>0</v>
      </c>
      <c r="AJ157" s="405"/>
    </row>
    <row r="158" spans="2:36" ht="12.75" customHeight="1">
      <c r="B158" s="92"/>
      <c r="C158" s="131"/>
      <c r="D158" s="169" t="str">
        <f>IF(op!D46=0,"",op!D46)</f>
        <v/>
      </c>
      <c r="E158" s="169" t="str">
        <f>IF(op!E46=0,"",op!E46)</f>
        <v/>
      </c>
      <c r="F158" s="169" t="str">
        <f>IF(op!F46=0,"",op!F46)</f>
        <v/>
      </c>
      <c r="G158" s="170" t="str">
        <f>IF(op!G46=0,"",op!G46+1)</f>
        <v/>
      </c>
      <c r="H158" s="566" t="str">
        <f>IF(op!H46="","",op!H46)</f>
        <v/>
      </c>
      <c r="I158" s="170" t="str">
        <f>IF(op!I46=0,"",op!I46)</f>
        <v/>
      </c>
      <c r="J158" s="567" t="str">
        <f>IF(E158="","",IF(op!J46&gt;LOOKUP(I158,schaal2011,regels2011),J46-1,IF(op!J46=LOOKUP(I158,schaal2011,regels2011),op!J46,J46+1)))</f>
        <v/>
      </c>
      <c r="K158" s="568" t="str">
        <f>IF(op!K46="","",op!K46)</f>
        <v/>
      </c>
      <c r="L158" s="569" t="str">
        <f>IF(op!L46="","",op!L46)</f>
        <v/>
      </c>
      <c r="M158" s="570" t="str">
        <f t="shared" si="32"/>
        <v/>
      </c>
      <c r="N158" s="155"/>
      <c r="O158" s="571" t="str">
        <f>IF(I158="","",VLOOKUP(I158,tab!$A$119:$V$159,J158+3,FALSE))</f>
        <v/>
      </c>
      <c r="P158" s="572">
        <f t="shared" si="33"/>
        <v>0</v>
      </c>
      <c r="Q158" s="589">
        <f t="shared" si="41"/>
        <v>0.6</v>
      </c>
      <c r="R158" s="573">
        <f t="shared" si="42"/>
        <v>0</v>
      </c>
      <c r="S158" s="332">
        <f>IF(L158="",0,O158*12*L158*(1+tab!$D$108)*tab!$E$110)</f>
        <v>0</v>
      </c>
      <c r="T158" s="580">
        <f t="shared" si="43"/>
        <v>0</v>
      </c>
      <c r="U158" s="243">
        <f t="shared" si="34"/>
        <v>0</v>
      </c>
      <c r="V158" s="332">
        <f t="shared" si="35"/>
        <v>0</v>
      </c>
      <c r="W158" s="136"/>
      <c r="X158" s="97"/>
      <c r="Z158" s="647" t="e">
        <f t="shared" si="36"/>
        <v>#VALUE!</v>
      </c>
      <c r="AA158" s="647" t="e">
        <f t="shared" si="37"/>
        <v>#VALUE!</v>
      </c>
      <c r="AB158" s="350">
        <f t="shared" si="38"/>
        <v>30</v>
      </c>
      <c r="AC158" s="67">
        <f t="shared" si="39"/>
        <v>30</v>
      </c>
      <c r="AD158" s="84">
        <f t="shared" si="40"/>
        <v>0</v>
      </c>
      <c r="AJ158" s="405"/>
    </row>
    <row r="159" spans="2:36" ht="12.75" customHeight="1">
      <c r="B159" s="92"/>
      <c r="C159" s="131"/>
      <c r="D159" s="169" t="str">
        <f>IF(op!D47=0,"",op!D47)</f>
        <v/>
      </c>
      <c r="E159" s="169" t="str">
        <f>IF(op!E47=0,"",op!E47)</f>
        <v/>
      </c>
      <c r="F159" s="169" t="str">
        <f>IF(op!F47=0,"",op!F47)</f>
        <v/>
      </c>
      <c r="G159" s="170" t="str">
        <f>IF(op!G47=0,"",op!G47+1)</f>
        <v/>
      </c>
      <c r="H159" s="566" t="str">
        <f>IF(op!H47="","",op!H47)</f>
        <v/>
      </c>
      <c r="I159" s="170" t="str">
        <f>IF(op!I47=0,"",op!I47)</f>
        <v/>
      </c>
      <c r="J159" s="567" t="str">
        <f>IF(E159="","",IF(op!J47&gt;LOOKUP(I159,schaal2011,regels2011),J47-1,IF(op!J47=LOOKUP(I159,schaal2011,regels2011),op!J47,J47+1)))</f>
        <v/>
      </c>
      <c r="K159" s="568" t="str">
        <f>IF(op!K47="","",op!K47)</f>
        <v/>
      </c>
      <c r="L159" s="569" t="str">
        <f>IF(op!L47="","",op!L47)</f>
        <v/>
      </c>
      <c r="M159" s="570" t="str">
        <f t="shared" si="32"/>
        <v/>
      </c>
      <c r="N159" s="155"/>
      <c r="O159" s="571" t="str">
        <f>IF(I159="","",VLOOKUP(I159,tab!$A$119:$V$159,J159+3,FALSE))</f>
        <v/>
      </c>
      <c r="P159" s="572">
        <f t="shared" si="33"/>
        <v>0</v>
      </c>
      <c r="Q159" s="589">
        <f t="shared" si="41"/>
        <v>0.6</v>
      </c>
      <c r="R159" s="573">
        <f t="shared" si="42"/>
        <v>0</v>
      </c>
      <c r="S159" s="332">
        <f>IF(L159="",0,O159*12*L159*(1+tab!$D$108)*tab!$E$110)</f>
        <v>0</v>
      </c>
      <c r="T159" s="580">
        <f t="shared" si="43"/>
        <v>0</v>
      </c>
      <c r="U159" s="243">
        <f t="shared" si="34"/>
        <v>0</v>
      </c>
      <c r="V159" s="332">
        <f t="shared" si="35"/>
        <v>0</v>
      </c>
      <c r="W159" s="136"/>
      <c r="X159" s="97"/>
      <c r="Z159" s="647" t="e">
        <f t="shared" si="36"/>
        <v>#VALUE!</v>
      </c>
      <c r="AA159" s="647" t="e">
        <f t="shared" si="37"/>
        <v>#VALUE!</v>
      </c>
      <c r="AB159" s="350">
        <f t="shared" si="38"/>
        <v>30</v>
      </c>
      <c r="AC159" s="67">
        <f t="shared" si="39"/>
        <v>30</v>
      </c>
      <c r="AD159" s="84">
        <f t="shared" si="40"/>
        <v>0</v>
      </c>
      <c r="AJ159" s="405"/>
    </row>
    <row r="160" spans="2:36" ht="12.75" customHeight="1">
      <c r="B160" s="92"/>
      <c r="C160" s="131"/>
      <c r="D160" s="169" t="str">
        <f>IF(op!D48=0,"",op!D48)</f>
        <v/>
      </c>
      <c r="E160" s="169" t="str">
        <f>IF(op!E48=0,"",op!E48)</f>
        <v/>
      </c>
      <c r="F160" s="169" t="str">
        <f>IF(op!F48=0,"",op!F48)</f>
        <v/>
      </c>
      <c r="G160" s="170" t="str">
        <f>IF(op!G48=0,"",op!G48+1)</f>
        <v/>
      </c>
      <c r="H160" s="566" t="str">
        <f>IF(op!H48="","",op!H48)</f>
        <v/>
      </c>
      <c r="I160" s="170" t="str">
        <f>IF(op!I48=0,"",op!I48)</f>
        <v/>
      </c>
      <c r="J160" s="567" t="str">
        <f>IF(E160="","",IF(op!J48&gt;LOOKUP(I160,schaal2011,regels2011),J48-1,IF(op!J48=LOOKUP(I160,schaal2011,regels2011),op!J48,J48+1)))</f>
        <v/>
      </c>
      <c r="K160" s="568" t="str">
        <f>IF(op!K48="","",op!K48)</f>
        <v/>
      </c>
      <c r="L160" s="569" t="str">
        <f>IF(op!L48="","",op!L48)</f>
        <v/>
      </c>
      <c r="M160" s="570" t="str">
        <f t="shared" ref="M160:M176" si="44">(IF(L160="",(K160),(K160)-L160))</f>
        <v/>
      </c>
      <c r="N160" s="155"/>
      <c r="O160" s="571" t="str">
        <f>IF(I160="","",VLOOKUP(I160,tab!$A$119:$V$159,J160+3,FALSE))</f>
        <v/>
      </c>
      <c r="P160" s="572">
        <f t="shared" ref="P160:P191" si="45">IF(E160="",0,(O160*M160*12))</f>
        <v>0</v>
      </c>
      <c r="Q160" s="589">
        <f t="shared" si="41"/>
        <v>0.6</v>
      </c>
      <c r="R160" s="573">
        <f t="shared" si="42"/>
        <v>0</v>
      </c>
      <c r="S160" s="332">
        <f>IF(L160="",0,O160*12*L160*(1+tab!$D$108)*tab!$E$110)</f>
        <v>0</v>
      </c>
      <c r="T160" s="580">
        <f t="shared" si="43"/>
        <v>0</v>
      </c>
      <c r="U160" s="243">
        <f t="shared" si="34"/>
        <v>0</v>
      </c>
      <c r="V160" s="332">
        <f t="shared" ref="V160:V191" si="46">IF(U160=25,(O160*1.08*(K160)/2),IF(U160=40,(O160*1.08*(K160)),IF(U160=0,0)))</f>
        <v>0</v>
      </c>
      <c r="W160" s="136"/>
      <c r="X160" s="97"/>
      <c r="Z160" s="647" t="e">
        <f t="shared" ref="Z160:Z191" si="47">DATE(YEAR($E$121),MONTH(H160),DAY(H160))&gt;$E$121</f>
        <v>#VALUE!</v>
      </c>
      <c r="AA160" s="647" t="e">
        <f t="shared" ref="AA160:AA191" si="48">YEAR($E$121)-YEAR(H160)-Z160</f>
        <v>#VALUE!</v>
      </c>
      <c r="AB160" s="350">
        <f t="shared" ref="AB160:AB191" si="49">IF((H160=""),30,AA160)</f>
        <v>30</v>
      </c>
      <c r="AC160" s="67">
        <f t="shared" ref="AC160:AC227" si="50">IF((AB160)&gt;50,50,(AB160))</f>
        <v>30</v>
      </c>
      <c r="AD160" s="84">
        <f t="shared" ref="AD160:AD191" si="51">(AC160*(SUM(K160:K160)))</f>
        <v>0</v>
      </c>
      <c r="AJ160" s="405"/>
    </row>
    <row r="161" spans="2:36" ht="12.75" customHeight="1">
      <c r="B161" s="92"/>
      <c r="C161" s="131"/>
      <c r="D161" s="169" t="str">
        <f>IF(op!D49=0,"",op!D49)</f>
        <v/>
      </c>
      <c r="E161" s="169" t="str">
        <f>IF(op!E49=0,"",op!E49)</f>
        <v/>
      </c>
      <c r="F161" s="169" t="str">
        <f>IF(op!F49=0,"",op!F49)</f>
        <v/>
      </c>
      <c r="G161" s="170" t="str">
        <f>IF(op!G49=0,"",op!G49+1)</f>
        <v/>
      </c>
      <c r="H161" s="566" t="str">
        <f>IF(op!H49="","",op!H49)</f>
        <v/>
      </c>
      <c r="I161" s="170" t="str">
        <f>IF(op!I49=0,"",op!I49)</f>
        <v/>
      </c>
      <c r="J161" s="567" t="str">
        <f>IF(E161="","",IF(op!J49&gt;LOOKUP(I161,schaal2011,regels2011),J49-1,IF(op!J49=LOOKUP(I161,schaal2011,regels2011),op!J49,J49+1)))</f>
        <v/>
      </c>
      <c r="K161" s="568" t="str">
        <f>IF(op!K49="","",op!K49)</f>
        <v/>
      </c>
      <c r="L161" s="569" t="str">
        <f>IF(op!L49="","",op!L49)</f>
        <v/>
      </c>
      <c r="M161" s="570" t="str">
        <f t="shared" si="44"/>
        <v/>
      </c>
      <c r="N161" s="155"/>
      <c r="O161" s="571" t="str">
        <f>IF(I161="","",VLOOKUP(I161,tab!$A$119:$V$159,J161+3,FALSE))</f>
        <v/>
      </c>
      <c r="P161" s="572">
        <f t="shared" si="45"/>
        <v>0</v>
      </c>
      <c r="Q161" s="589">
        <f t="shared" si="41"/>
        <v>0.6</v>
      </c>
      <c r="R161" s="573">
        <f t="shared" si="42"/>
        <v>0</v>
      </c>
      <c r="S161" s="332">
        <f>IF(L161="",0,O161*12*L161*(1+tab!$D$108)*tab!$E$110)</f>
        <v>0</v>
      </c>
      <c r="T161" s="580">
        <f t="shared" si="43"/>
        <v>0</v>
      </c>
      <c r="U161" s="243">
        <f t="shared" si="34"/>
        <v>0</v>
      </c>
      <c r="V161" s="332">
        <f t="shared" si="46"/>
        <v>0</v>
      </c>
      <c r="W161" s="136"/>
      <c r="X161" s="97"/>
      <c r="Z161" s="647" t="e">
        <f t="shared" si="47"/>
        <v>#VALUE!</v>
      </c>
      <c r="AA161" s="647" t="e">
        <f t="shared" si="48"/>
        <v>#VALUE!</v>
      </c>
      <c r="AB161" s="350">
        <f t="shared" si="49"/>
        <v>30</v>
      </c>
      <c r="AC161" s="67">
        <f t="shared" si="50"/>
        <v>30</v>
      </c>
      <c r="AD161" s="84">
        <f t="shared" si="51"/>
        <v>0</v>
      </c>
      <c r="AJ161" s="405"/>
    </row>
    <row r="162" spans="2:36" ht="12.75" customHeight="1">
      <c r="B162" s="92"/>
      <c r="C162" s="131"/>
      <c r="D162" s="169" t="str">
        <f>IF(op!D50=0,"",op!D50)</f>
        <v/>
      </c>
      <c r="E162" s="169" t="str">
        <f>IF(op!E50=0,"",op!E50)</f>
        <v/>
      </c>
      <c r="F162" s="169" t="str">
        <f>IF(op!F50=0,"",op!F50)</f>
        <v/>
      </c>
      <c r="G162" s="170" t="str">
        <f>IF(op!G50=0,"",op!G50+1)</f>
        <v/>
      </c>
      <c r="H162" s="566" t="str">
        <f>IF(op!H50="","",op!H50)</f>
        <v/>
      </c>
      <c r="I162" s="170" t="str">
        <f>IF(op!I50=0,"",op!I50)</f>
        <v/>
      </c>
      <c r="J162" s="567" t="str">
        <f>IF(E162="","",IF(op!J50&gt;LOOKUP(I162,schaal2011,regels2011),J50-1,IF(op!J50=LOOKUP(I162,schaal2011,regels2011),op!J50,J50+1)))</f>
        <v/>
      </c>
      <c r="K162" s="568" t="str">
        <f>IF(op!K50="","",op!K50)</f>
        <v/>
      </c>
      <c r="L162" s="569" t="str">
        <f>IF(op!L50="","",op!L50)</f>
        <v/>
      </c>
      <c r="M162" s="570" t="str">
        <f t="shared" si="44"/>
        <v/>
      </c>
      <c r="N162" s="155"/>
      <c r="O162" s="571" t="str">
        <f>IF(I162="","",VLOOKUP(I162,tab!$A$119:$V$159,J162+3,FALSE))</f>
        <v/>
      </c>
      <c r="P162" s="572">
        <f t="shared" si="45"/>
        <v>0</v>
      </c>
      <c r="Q162" s="589">
        <f t="shared" si="41"/>
        <v>0.6</v>
      </c>
      <c r="R162" s="573">
        <f t="shared" si="42"/>
        <v>0</v>
      </c>
      <c r="S162" s="332">
        <f>IF(L162="",0,O162*12*L162*(1+tab!$D$108)*tab!$E$110)</f>
        <v>0</v>
      </c>
      <c r="T162" s="580">
        <f t="shared" si="43"/>
        <v>0</v>
      </c>
      <c r="U162" s="243">
        <f t="shared" si="34"/>
        <v>0</v>
      </c>
      <c r="V162" s="332">
        <f t="shared" si="46"/>
        <v>0</v>
      </c>
      <c r="W162" s="136"/>
      <c r="X162" s="97"/>
      <c r="Z162" s="647" t="e">
        <f t="shared" si="47"/>
        <v>#VALUE!</v>
      </c>
      <c r="AA162" s="647" t="e">
        <f t="shared" si="48"/>
        <v>#VALUE!</v>
      </c>
      <c r="AB162" s="350">
        <f t="shared" si="49"/>
        <v>30</v>
      </c>
      <c r="AC162" s="67">
        <f t="shared" si="50"/>
        <v>30</v>
      </c>
      <c r="AD162" s="84">
        <f t="shared" si="51"/>
        <v>0</v>
      </c>
      <c r="AJ162" s="405"/>
    </row>
    <row r="163" spans="2:36" ht="12.75" customHeight="1">
      <c r="B163" s="92"/>
      <c r="C163" s="131"/>
      <c r="D163" s="169" t="str">
        <f>IF(op!D51=0,"",op!D51)</f>
        <v/>
      </c>
      <c r="E163" s="169" t="str">
        <f>IF(op!E51=0,"",op!E51)</f>
        <v/>
      </c>
      <c r="F163" s="169" t="str">
        <f>IF(op!F51=0,"",op!F51)</f>
        <v/>
      </c>
      <c r="G163" s="170" t="str">
        <f>IF(op!G51=0,"",op!G51+1)</f>
        <v/>
      </c>
      <c r="H163" s="566" t="str">
        <f>IF(op!H51="","",op!H51)</f>
        <v/>
      </c>
      <c r="I163" s="170" t="str">
        <f>IF(op!I51=0,"",op!I51)</f>
        <v/>
      </c>
      <c r="J163" s="567" t="str">
        <f>IF(E163="","",IF(op!J51&gt;LOOKUP(I163,schaal2011,regels2011),J51-1,IF(op!J51=LOOKUP(I163,schaal2011,regels2011),op!J51,J51+1)))</f>
        <v/>
      </c>
      <c r="K163" s="568" t="str">
        <f>IF(op!K51="","",op!K51)</f>
        <v/>
      </c>
      <c r="L163" s="569" t="str">
        <f>IF(op!L51="","",op!L51)</f>
        <v/>
      </c>
      <c r="M163" s="570" t="str">
        <f t="shared" si="44"/>
        <v/>
      </c>
      <c r="N163" s="155"/>
      <c r="O163" s="571" t="str">
        <f>IF(I163="","",VLOOKUP(I163,tab!$A$119:$V$159,J163+3,FALSE))</f>
        <v/>
      </c>
      <c r="P163" s="572">
        <f t="shared" si="45"/>
        <v>0</v>
      </c>
      <c r="Q163" s="589">
        <f t="shared" si="41"/>
        <v>0.6</v>
      </c>
      <c r="R163" s="573">
        <f t="shared" si="42"/>
        <v>0</v>
      </c>
      <c r="S163" s="332">
        <f>IF(L163="",0,O163*12*L163*(1+tab!$D$108)*tab!$E$110)</f>
        <v>0</v>
      </c>
      <c r="T163" s="580">
        <f t="shared" si="43"/>
        <v>0</v>
      </c>
      <c r="U163" s="243">
        <f t="shared" si="34"/>
        <v>0</v>
      </c>
      <c r="V163" s="332">
        <f t="shared" si="46"/>
        <v>0</v>
      </c>
      <c r="W163" s="136"/>
      <c r="X163" s="97"/>
      <c r="Z163" s="647" t="e">
        <f t="shared" si="47"/>
        <v>#VALUE!</v>
      </c>
      <c r="AA163" s="647" t="e">
        <f t="shared" si="48"/>
        <v>#VALUE!</v>
      </c>
      <c r="AB163" s="350">
        <f t="shared" si="49"/>
        <v>30</v>
      </c>
      <c r="AC163" s="67">
        <f t="shared" si="50"/>
        <v>30</v>
      </c>
      <c r="AD163" s="84">
        <f t="shared" si="51"/>
        <v>0</v>
      </c>
      <c r="AJ163" s="405"/>
    </row>
    <row r="164" spans="2:36" ht="12.75" customHeight="1">
      <c r="B164" s="92"/>
      <c r="C164" s="131"/>
      <c r="D164" s="169" t="str">
        <f>IF(op!D52=0,"",op!D52)</f>
        <v/>
      </c>
      <c r="E164" s="169" t="str">
        <f>IF(op!E52=0,"",op!E52)</f>
        <v/>
      </c>
      <c r="F164" s="169" t="str">
        <f>IF(op!F52=0,"",op!F52)</f>
        <v/>
      </c>
      <c r="G164" s="170" t="str">
        <f>IF(op!G52=0,"",op!G52+1)</f>
        <v/>
      </c>
      <c r="H164" s="566" t="str">
        <f>IF(op!H52="","",op!H52)</f>
        <v/>
      </c>
      <c r="I164" s="170" t="str">
        <f>IF(op!I52=0,"",op!I52)</f>
        <v/>
      </c>
      <c r="J164" s="567" t="str">
        <f>IF(E164="","",IF(op!J52&gt;LOOKUP(I164,schaal2011,regels2011),J52-1,IF(op!J52=LOOKUP(I164,schaal2011,regels2011),op!J52,J52+1)))</f>
        <v/>
      </c>
      <c r="K164" s="568" t="str">
        <f>IF(op!K52="","",op!K52)</f>
        <v/>
      </c>
      <c r="L164" s="569" t="str">
        <f>IF(op!L52="","",op!L52)</f>
        <v/>
      </c>
      <c r="M164" s="570" t="str">
        <f t="shared" si="44"/>
        <v/>
      </c>
      <c r="N164" s="155"/>
      <c r="O164" s="571" t="str">
        <f>IF(I164="","",VLOOKUP(I164,tab!$A$119:$V$159,J164+3,FALSE))</f>
        <v/>
      </c>
      <c r="P164" s="572">
        <f t="shared" si="45"/>
        <v>0</v>
      </c>
      <c r="Q164" s="589">
        <f t="shared" si="41"/>
        <v>0.6</v>
      </c>
      <c r="R164" s="573">
        <f t="shared" si="42"/>
        <v>0</v>
      </c>
      <c r="S164" s="332">
        <f>IF(L164="",0,O164*12*L164*(1+tab!$D$108)*tab!$E$110)</f>
        <v>0</v>
      </c>
      <c r="T164" s="580">
        <f t="shared" si="43"/>
        <v>0</v>
      </c>
      <c r="U164" s="243">
        <f t="shared" si="34"/>
        <v>0</v>
      </c>
      <c r="V164" s="332">
        <f t="shared" si="46"/>
        <v>0</v>
      </c>
      <c r="W164" s="136"/>
      <c r="X164" s="97"/>
      <c r="Z164" s="647" t="e">
        <f t="shared" si="47"/>
        <v>#VALUE!</v>
      </c>
      <c r="AA164" s="647" t="e">
        <f t="shared" si="48"/>
        <v>#VALUE!</v>
      </c>
      <c r="AB164" s="350">
        <f t="shared" si="49"/>
        <v>30</v>
      </c>
      <c r="AC164" s="67">
        <f t="shared" si="50"/>
        <v>30</v>
      </c>
      <c r="AD164" s="84">
        <f t="shared" si="51"/>
        <v>0</v>
      </c>
      <c r="AJ164" s="405"/>
    </row>
    <row r="165" spans="2:36" ht="12.75" customHeight="1">
      <c r="B165" s="92"/>
      <c r="C165" s="131"/>
      <c r="D165" s="169" t="str">
        <f>IF(op!D53=0,"",op!D53)</f>
        <v/>
      </c>
      <c r="E165" s="169" t="str">
        <f>IF(op!E53=0,"",op!E53)</f>
        <v/>
      </c>
      <c r="F165" s="169" t="str">
        <f>IF(op!F53=0,"",op!F53)</f>
        <v/>
      </c>
      <c r="G165" s="170" t="str">
        <f>IF(op!G53=0,"",op!G53+1)</f>
        <v/>
      </c>
      <c r="H165" s="566" t="str">
        <f>IF(op!H53="","",op!H53)</f>
        <v/>
      </c>
      <c r="I165" s="170" t="str">
        <f>IF(op!I53=0,"",op!I53)</f>
        <v/>
      </c>
      <c r="J165" s="567" t="str">
        <f>IF(E165="","",IF(op!J53&gt;LOOKUP(I165,schaal2011,regels2011),J53-1,IF(op!J53=LOOKUP(I165,schaal2011,regels2011),op!J53,J53+1)))</f>
        <v/>
      </c>
      <c r="K165" s="568" t="str">
        <f>IF(op!K53="","",op!K53)</f>
        <v/>
      </c>
      <c r="L165" s="569" t="str">
        <f>IF(op!L53="","",op!L53)</f>
        <v/>
      </c>
      <c r="M165" s="570" t="str">
        <f t="shared" si="44"/>
        <v/>
      </c>
      <c r="N165" s="155"/>
      <c r="O165" s="571" t="str">
        <f>IF(I165="","",VLOOKUP(I165,tab!$A$119:$V$159,J165+3,FALSE))</f>
        <v/>
      </c>
      <c r="P165" s="572">
        <f t="shared" si="45"/>
        <v>0</v>
      </c>
      <c r="Q165" s="589">
        <f t="shared" si="41"/>
        <v>0.6</v>
      </c>
      <c r="R165" s="573">
        <f t="shared" si="42"/>
        <v>0</v>
      </c>
      <c r="S165" s="332">
        <f>IF(L165="",0,O165*12*L165*(1+tab!$D$108)*tab!$E$110)</f>
        <v>0</v>
      </c>
      <c r="T165" s="580">
        <f t="shared" si="43"/>
        <v>0</v>
      </c>
      <c r="U165" s="243">
        <f t="shared" si="34"/>
        <v>0</v>
      </c>
      <c r="V165" s="332">
        <f t="shared" si="46"/>
        <v>0</v>
      </c>
      <c r="W165" s="136"/>
      <c r="X165" s="97"/>
      <c r="Z165" s="647" t="e">
        <f t="shared" si="47"/>
        <v>#VALUE!</v>
      </c>
      <c r="AA165" s="647" t="e">
        <f t="shared" si="48"/>
        <v>#VALUE!</v>
      </c>
      <c r="AB165" s="350">
        <f t="shared" si="49"/>
        <v>30</v>
      </c>
      <c r="AC165" s="67">
        <f t="shared" si="50"/>
        <v>30</v>
      </c>
      <c r="AD165" s="84">
        <f t="shared" si="51"/>
        <v>0</v>
      </c>
      <c r="AJ165" s="405"/>
    </row>
    <row r="166" spans="2:36" ht="12.75" customHeight="1">
      <c r="B166" s="92"/>
      <c r="C166" s="131"/>
      <c r="D166" s="169" t="str">
        <f>IF(op!D54=0,"",op!D54)</f>
        <v/>
      </c>
      <c r="E166" s="169" t="str">
        <f>IF(op!E54=0,"",op!E54)</f>
        <v/>
      </c>
      <c r="F166" s="169" t="str">
        <f>IF(op!F54=0,"",op!F54)</f>
        <v/>
      </c>
      <c r="G166" s="170" t="str">
        <f>IF(op!G54=0,"",op!G54+1)</f>
        <v/>
      </c>
      <c r="H166" s="566" t="str">
        <f>IF(op!H54="","",op!H54)</f>
        <v/>
      </c>
      <c r="I166" s="170" t="str">
        <f>IF(op!I54=0,"",op!I54)</f>
        <v/>
      </c>
      <c r="J166" s="567" t="str">
        <f>IF(E166="","",IF(op!J54&gt;LOOKUP(I166,schaal2011,regels2011),J54-1,IF(op!J54=LOOKUP(I166,schaal2011,regels2011),op!J54,J54+1)))</f>
        <v/>
      </c>
      <c r="K166" s="568" t="str">
        <f>IF(op!K54="","",op!K54)</f>
        <v/>
      </c>
      <c r="L166" s="569" t="str">
        <f>IF(op!L54="","",op!L54)</f>
        <v/>
      </c>
      <c r="M166" s="570" t="str">
        <f t="shared" si="44"/>
        <v/>
      </c>
      <c r="N166" s="155"/>
      <c r="O166" s="571" t="str">
        <f>IF(I166="","",VLOOKUP(I166,tab!$A$119:$V$159,J166+3,FALSE))</f>
        <v/>
      </c>
      <c r="P166" s="572">
        <f t="shared" si="45"/>
        <v>0</v>
      </c>
      <c r="Q166" s="589">
        <f t="shared" si="41"/>
        <v>0.6</v>
      </c>
      <c r="R166" s="573">
        <f t="shared" si="42"/>
        <v>0</v>
      </c>
      <c r="S166" s="332">
        <f>IF(L166="",0,O166*12*L166*(1+tab!$D$108)*tab!$E$110)</f>
        <v>0</v>
      </c>
      <c r="T166" s="580">
        <f t="shared" si="43"/>
        <v>0</v>
      </c>
      <c r="U166" s="243">
        <f t="shared" si="34"/>
        <v>0</v>
      </c>
      <c r="V166" s="332">
        <f t="shared" si="46"/>
        <v>0</v>
      </c>
      <c r="W166" s="136"/>
      <c r="X166" s="97"/>
      <c r="Z166" s="647" t="e">
        <f t="shared" si="47"/>
        <v>#VALUE!</v>
      </c>
      <c r="AA166" s="647" t="e">
        <f t="shared" si="48"/>
        <v>#VALUE!</v>
      </c>
      <c r="AB166" s="350">
        <f t="shared" si="49"/>
        <v>30</v>
      </c>
      <c r="AC166" s="67">
        <f t="shared" si="50"/>
        <v>30</v>
      </c>
      <c r="AD166" s="84">
        <f t="shared" si="51"/>
        <v>0</v>
      </c>
      <c r="AJ166" s="405"/>
    </row>
    <row r="167" spans="2:36" ht="12.75" customHeight="1">
      <c r="B167" s="92"/>
      <c r="C167" s="131"/>
      <c r="D167" s="169" t="str">
        <f>IF(op!D55=0,"",op!D55)</f>
        <v/>
      </c>
      <c r="E167" s="169" t="str">
        <f>IF(op!E55=0,"",op!E55)</f>
        <v/>
      </c>
      <c r="F167" s="169" t="str">
        <f>IF(op!F55=0,"",op!F55)</f>
        <v/>
      </c>
      <c r="G167" s="170" t="str">
        <f>IF(op!G55=0,"",op!G55+1)</f>
        <v/>
      </c>
      <c r="H167" s="566" t="str">
        <f>IF(op!H55="","",op!H55)</f>
        <v/>
      </c>
      <c r="I167" s="170" t="str">
        <f>IF(op!I55=0,"",op!I55)</f>
        <v/>
      </c>
      <c r="J167" s="567" t="str">
        <f>IF(E167="","",IF(op!J55&gt;LOOKUP(I167,schaal2011,regels2011),J55-1,IF(op!J55=LOOKUP(I167,schaal2011,regels2011),op!J55,J55+1)))</f>
        <v/>
      </c>
      <c r="K167" s="568" t="str">
        <f>IF(op!K55="","",op!K55)</f>
        <v/>
      </c>
      <c r="L167" s="569" t="str">
        <f>IF(op!L55="","",op!L55)</f>
        <v/>
      </c>
      <c r="M167" s="570" t="str">
        <f t="shared" si="44"/>
        <v/>
      </c>
      <c r="N167" s="155"/>
      <c r="O167" s="571" t="str">
        <f>IF(I167="","",VLOOKUP(I167,tab!$A$119:$V$159,J167+3,FALSE))</f>
        <v/>
      </c>
      <c r="P167" s="572">
        <f t="shared" si="45"/>
        <v>0</v>
      </c>
      <c r="Q167" s="589">
        <f t="shared" si="41"/>
        <v>0.6</v>
      </c>
      <c r="R167" s="573">
        <f t="shared" si="42"/>
        <v>0</v>
      </c>
      <c r="S167" s="332">
        <f>IF(L167="",0,O167*12*L167*(1+tab!$D$108)*tab!$E$110)</f>
        <v>0</v>
      </c>
      <c r="T167" s="580">
        <f t="shared" si="43"/>
        <v>0</v>
      </c>
      <c r="U167" s="243">
        <f t="shared" si="34"/>
        <v>0</v>
      </c>
      <c r="V167" s="332">
        <f t="shared" si="46"/>
        <v>0</v>
      </c>
      <c r="W167" s="136"/>
      <c r="X167" s="97"/>
      <c r="Z167" s="647" t="e">
        <f t="shared" si="47"/>
        <v>#VALUE!</v>
      </c>
      <c r="AA167" s="647" t="e">
        <f t="shared" si="48"/>
        <v>#VALUE!</v>
      </c>
      <c r="AB167" s="350">
        <f t="shared" si="49"/>
        <v>30</v>
      </c>
      <c r="AC167" s="67">
        <f t="shared" si="50"/>
        <v>30</v>
      </c>
      <c r="AD167" s="84">
        <f t="shared" si="51"/>
        <v>0</v>
      </c>
      <c r="AJ167" s="405"/>
    </row>
    <row r="168" spans="2:36" ht="12.75" customHeight="1">
      <c r="B168" s="92"/>
      <c r="C168" s="131"/>
      <c r="D168" s="169" t="str">
        <f>IF(op!D56=0,"",op!D56)</f>
        <v/>
      </c>
      <c r="E168" s="169" t="str">
        <f>IF(op!E56=0,"",op!E56)</f>
        <v/>
      </c>
      <c r="F168" s="169" t="str">
        <f>IF(op!F56=0,"",op!F56)</f>
        <v/>
      </c>
      <c r="G168" s="170" t="str">
        <f>IF(op!G56=0,"",op!G56+1)</f>
        <v/>
      </c>
      <c r="H168" s="566" t="str">
        <f>IF(op!H56="","",op!H56)</f>
        <v/>
      </c>
      <c r="I168" s="170" t="str">
        <f>IF(op!I56=0,"",op!I56)</f>
        <v/>
      </c>
      <c r="J168" s="567" t="str">
        <f>IF(E168="","",IF(op!J56&gt;LOOKUP(I168,schaal2011,regels2011),J56-1,IF(op!J56=LOOKUP(I168,schaal2011,regels2011),op!J56,J56+1)))</f>
        <v/>
      </c>
      <c r="K168" s="568" t="str">
        <f>IF(op!K56="","",op!K56)</f>
        <v/>
      </c>
      <c r="L168" s="569" t="str">
        <f>IF(op!L56="","",op!L56)</f>
        <v/>
      </c>
      <c r="M168" s="570" t="str">
        <f t="shared" si="44"/>
        <v/>
      </c>
      <c r="N168" s="155"/>
      <c r="O168" s="571" t="str">
        <f>IF(I168="","",VLOOKUP(I168,tab!$A$119:$V$159,J168+3,FALSE))</f>
        <v/>
      </c>
      <c r="P168" s="572">
        <f t="shared" si="45"/>
        <v>0</v>
      </c>
      <c r="Q168" s="589">
        <f t="shared" si="41"/>
        <v>0.6</v>
      </c>
      <c r="R168" s="573">
        <f t="shared" si="42"/>
        <v>0</v>
      </c>
      <c r="S168" s="332">
        <f>IF(L168="",0,O168*12*L168*(1+tab!$D$108)*tab!$E$110)</f>
        <v>0</v>
      </c>
      <c r="T168" s="580">
        <f t="shared" si="43"/>
        <v>0</v>
      </c>
      <c r="U168" s="243">
        <f t="shared" si="34"/>
        <v>0</v>
      </c>
      <c r="V168" s="332">
        <f t="shared" si="46"/>
        <v>0</v>
      </c>
      <c r="W168" s="136"/>
      <c r="X168" s="97"/>
      <c r="Z168" s="647" t="e">
        <f t="shared" si="47"/>
        <v>#VALUE!</v>
      </c>
      <c r="AA168" s="647" t="e">
        <f t="shared" si="48"/>
        <v>#VALUE!</v>
      </c>
      <c r="AB168" s="350">
        <f t="shared" si="49"/>
        <v>30</v>
      </c>
      <c r="AC168" s="67">
        <f t="shared" si="50"/>
        <v>30</v>
      </c>
      <c r="AD168" s="84">
        <f t="shared" si="51"/>
        <v>0</v>
      </c>
      <c r="AJ168" s="405"/>
    </row>
    <row r="169" spans="2:36" ht="12.75" customHeight="1">
      <c r="B169" s="92"/>
      <c r="C169" s="131"/>
      <c r="D169" s="169" t="str">
        <f>IF(op!D57=0,"",op!D57)</f>
        <v/>
      </c>
      <c r="E169" s="169" t="str">
        <f>IF(op!E57=0,"",op!E57)</f>
        <v/>
      </c>
      <c r="F169" s="169" t="str">
        <f>IF(op!F57=0,"",op!F57)</f>
        <v/>
      </c>
      <c r="G169" s="170" t="str">
        <f>IF(op!G57=0,"",op!G57+1)</f>
        <v/>
      </c>
      <c r="H169" s="566" t="str">
        <f>IF(op!H57="","",op!H57)</f>
        <v/>
      </c>
      <c r="I169" s="170" t="str">
        <f>IF(op!I57=0,"",op!I57)</f>
        <v/>
      </c>
      <c r="J169" s="567" t="str">
        <f>IF(E169="","",IF(op!J57&gt;LOOKUP(I169,schaal2011,regels2011),J57-1,IF(op!J57=LOOKUP(I169,schaal2011,regels2011),op!J57,J57+1)))</f>
        <v/>
      </c>
      <c r="K169" s="568" t="str">
        <f>IF(op!K57="","",op!K57)</f>
        <v/>
      </c>
      <c r="L169" s="569" t="str">
        <f>IF(op!L57="","",op!L57)</f>
        <v/>
      </c>
      <c r="M169" s="570" t="str">
        <f t="shared" si="44"/>
        <v/>
      </c>
      <c r="N169" s="155"/>
      <c r="O169" s="571" t="str">
        <f>IF(I169="","",VLOOKUP(I169,tab!$A$119:$V$159,J169+3,FALSE))</f>
        <v/>
      </c>
      <c r="P169" s="572">
        <f t="shared" si="45"/>
        <v>0</v>
      </c>
      <c r="Q169" s="589">
        <f t="shared" si="41"/>
        <v>0.6</v>
      </c>
      <c r="R169" s="573">
        <f t="shared" si="42"/>
        <v>0</v>
      </c>
      <c r="S169" s="332">
        <f>IF(L169="",0,O169*12*L169*(1+tab!$D$108)*tab!$E$110)</f>
        <v>0</v>
      </c>
      <c r="T169" s="580">
        <f t="shared" si="43"/>
        <v>0</v>
      </c>
      <c r="U169" s="243">
        <f t="shared" si="34"/>
        <v>0</v>
      </c>
      <c r="V169" s="332">
        <f t="shared" si="46"/>
        <v>0</v>
      </c>
      <c r="W169" s="136"/>
      <c r="X169" s="97"/>
      <c r="Z169" s="647" t="e">
        <f t="shared" si="47"/>
        <v>#VALUE!</v>
      </c>
      <c r="AA169" s="647" t="e">
        <f t="shared" si="48"/>
        <v>#VALUE!</v>
      </c>
      <c r="AB169" s="350">
        <f t="shared" si="49"/>
        <v>30</v>
      </c>
      <c r="AC169" s="67">
        <f t="shared" si="50"/>
        <v>30</v>
      </c>
      <c r="AD169" s="84">
        <f t="shared" si="51"/>
        <v>0</v>
      </c>
      <c r="AJ169" s="405"/>
    </row>
    <row r="170" spans="2:36" ht="12.75" customHeight="1">
      <c r="B170" s="92"/>
      <c r="C170" s="131"/>
      <c r="D170" s="169" t="str">
        <f>IF(op!D58=0,"",op!D58)</f>
        <v/>
      </c>
      <c r="E170" s="169" t="str">
        <f>IF(op!E58=0,"",op!E58)</f>
        <v/>
      </c>
      <c r="F170" s="169" t="str">
        <f>IF(op!F58=0,"",op!F58)</f>
        <v/>
      </c>
      <c r="G170" s="170" t="str">
        <f>IF(op!G58=0,"",op!G58+1)</f>
        <v/>
      </c>
      <c r="H170" s="566" t="str">
        <f>IF(op!H58="","",op!H58)</f>
        <v/>
      </c>
      <c r="I170" s="170" t="str">
        <f>IF(op!I58=0,"",op!I58)</f>
        <v/>
      </c>
      <c r="J170" s="567" t="str">
        <f>IF(E170="","",IF(op!J58&gt;LOOKUP(I170,schaal2011,regels2011),J58-1,IF(op!J58=LOOKUP(I170,schaal2011,regels2011),op!J58,J58+1)))</f>
        <v/>
      </c>
      <c r="K170" s="568" t="str">
        <f>IF(op!K58="","",op!K58)</f>
        <v/>
      </c>
      <c r="L170" s="569" t="str">
        <f>IF(op!L58="","",op!L58)</f>
        <v/>
      </c>
      <c r="M170" s="570" t="str">
        <f t="shared" si="44"/>
        <v/>
      </c>
      <c r="N170" s="155"/>
      <c r="O170" s="571" t="str">
        <f>IF(I170="","",VLOOKUP(I170,tab!$A$119:$V$159,J170+3,FALSE))</f>
        <v/>
      </c>
      <c r="P170" s="572">
        <f t="shared" si="45"/>
        <v>0</v>
      </c>
      <c r="Q170" s="589">
        <f t="shared" si="41"/>
        <v>0.6</v>
      </c>
      <c r="R170" s="573">
        <f t="shared" si="42"/>
        <v>0</v>
      </c>
      <c r="S170" s="332">
        <f>IF(L170="",0,O170*12*L170*(1+tab!$D$108)*tab!$E$110)</f>
        <v>0</v>
      </c>
      <c r="T170" s="580">
        <f t="shared" si="43"/>
        <v>0</v>
      </c>
      <c r="U170" s="243">
        <f t="shared" si="34"/>
        <v>0</v>
      </c>
      <c r="V170" s="332">
        <f t="shared" si="46"/>
        <v>0</v>
      </c>
      <c r="W170" s="136"/>
      <c r="X170" s="97"/>
      <c r="Z170" s="647" t="e">
        <f t="shared" si="47"/>
        <v>#VALUE!</v>
      </c>
      <c r="AA170" s="647" t="e">
        <f t="shared" si="48"/>
        <v>#VALUE!</v>
      </c>
      <c r="AB170" s="350">
        <f t="shared" si="49"/>
        <v>30</v>
      </c>
      <c r="AC170" s="67">
        <f t="shared" si="50"/>
        <v>30</v>
      </c>
      <c r="AD170" s="84">
        <f t="shared" si="51"/>
        <v>0</v>
      </c>
      <c r="AJ170" s="405"/>
    </row>
    <row r="171" spans="2:36" ht="12.75" customHeight="1">
      <c r="B171" s="92"/>
      <c r="C171" s="131"/>
      <c r="D171" s="169" t="str">
        <f>IF(op!D59=0,"",op!D59)</f>
        <v/>
      </c>
      <c r="E171" s="169" t="str">
        <f>IF(op!E59=0,"",op!E59)</f>
        <v/>
      </c>
      <c r="F171" s="169" t="str">
        <f>IF(op!F59=0,"",op!F59)</f>
        <v/>
      </c>
      <c r="G171" s="170" t="str">
        <f>IF(op!G59=0,"",op!G59+1)</f>
        <v/>
      </c>
      <c r="H171" s="566" t="str">
        <f>IF(op!H59="","",op!H59)</f>
        <v/>
      </c>
      <c r="I171" s="170" t="str">
        <f>IF(op!I59=0,"",op!I59)</f>
        <v/>
      </c>
      <c r="J171" s="567" t="str">
        <f>IF(E171="","",IF(op!J59&gt;LOOKUP(I171,schaal2011,regels2011),J59-1,IF(op!J59=LOOKUP(I171,schaal2011,regels2011),op!J59,J59+1)))</f>
        <v/>
      </c>
      <c r="K171" s="568" t="str">
        <f>IF(op!K59="","",op!K59)</f>
        <v/>
      </c>
      <c r="L171" s="569" t="str">
        <f>IF(op!L59="","",op!L59)</f>
        <v/>
      </c>
      <c r="M171" s="570" t="str">
        <f t="shared" si="44"/>
        <v/>
      </c>
      <c r="N171" s="155"/>
      <c r="O171" s="571" t="str">
        <f>IF(I171="","",VLOOKUP(I171,tab!$A$119:$V$159,J171+3,FALSE))</f>
        <v/>
      </c>
      <c r="P171" s="572">
        <f t="shared" si="45"/>
        <v>0</v>
      </c>
      <c r="Q171" s="589">
        <f t="shared" si="41"/>
        <v>0.6</v>
      </c>
      <c r="R171" s="573">
        <f t="shared" si="42"/>
        <v>0</v>
      </c>
      <c r="S171" s="332">
        <f>IF(L171="",0,O171*12*L171*(1+tab!$D$108)*tab!$E$110)</f>
        <v>0</v>
      </c>
      <c r="T171" s="580">
        <f t="shared" si="43"/>
        <v>0</v>
      </c>
      <c r="U171" s="243">
        <f t="shared" si="34"/>
        <v>0</v>
      </c>
      <c r="V171" s="332">
        <f t="shared" si="46"/>
        <v>0</v>
      </c>
      <c r="W171" s="136"/>
      <c r="X171" s="97"/>
      <c r="Z171" s="647" t="e">
        <f t="shared" si="47"/>
        <v>#VALUE!</v>
      </c>
      <c r="AA171" s="647" t="e">
        <f t="shared" si="48"/>
        <v>#VALUE!</v>
      </c>
      <c r="AB171" s="350">
        <f t="shared" si="49"/>
        <v>30</v>
      </c>
      <c r="AC171" s="67">
        <f t="shared" si="50"/>
        <v>30</v>
      </c>
      <c r="AD171" s="84">
        <f t="shared" si="51"/>
        <v>0</v>
      </c>
      <c r="AJ171" s="405"/>
    </row>
    <row r="172" spans="2:36" ht="12.75" customHeight="1">
      <c r="B172" s="92"/>
      <c r="C172" s="131"/>
      <c r="D172" s="169" t="str">
        <f>IF(op!D60=0,"",op!D60)</f>
        <v/>
      </c>
      <c r="E172" s="169" t="str">
        <f>IF(op!E60=0,"",op!E60)</f>
        <v/>
      </c>
      <c r="F172" s="169" t="str">
        <f>IF(op!F60=0,"",op!F60)</f>
        <v/>
      </c>
      <c r="G172" s="170" t="str">
        <f>IF(op!G60=0,"",op!G60+1)</f>
        <v/>
      </c>
      <c r="H172" s="566" t="str">
        <f>IF(op!H60="","",op!H60)</f>
        <v/>
      </c>
      <c r="I172" s="170" t="str">
        <f>IF(op!I60=0,"",op!I60)</f>
        <v/>
      </c>
      <c r="J172" s="567" t="str">
        <f>IF(E172="","",IF(op!J60&gt;LOOKUP(I172,schaal2011,regels2011),J60-1,IF(op!J60=LOOKUP(I172,schaal2011,regels2011),op!J60,J60+1)))</f>
        <v/>
      </c>
      <c r="K172" s="568" t="str">
        <f>IF(op!K60="","",op!K60)</f>
        <v/>
      </c>
      <c r="L172" s="569" t="str">
        <f>IF(op!L60="","",op!L60)</f>
        <v/>
      </c>
      <c r="M172" s="570" t="str">
        <f t="shared" si="44"/>
        <v/>
      </c>
      <c r="N172" s="155"/>
      <c r="O172" s="571" t="str">
        <f>IF(I172="","",VLOOKUP(I172,tab!$A$119:$V$159,J172+3,FALSE))</f>
        <v/>
      </c>
      <c r="P172" s="572">
        <f t="shared" si="45"/>
        <v>0</v>
      </c>
      <c r="Q172" s="589">
        <f t="shared" si="41"/>
        <v>0.6</v>
      </c>
      <c r="R172" s="573">
        <f t="shared" si="42"/>
        <v>0</v>
      </c>
      <c r="S172" s="332">
        <f>IF(L172="",0,O172*12*L172*(1+tab!$D$108)*tab!$E$110)</f>
        <v>0</v>
      </c>
      <c r="T172" s="580">
        <f t="shared" si="43"/>
        <v>0</v>
      </c>
      <c r="U172" s="243">
        <f t="shared" si="34"/>
        <v>0</v>
      </c>
      <c r="V172" s="332">
        <f t="shared" si="46"/>
        <v>0</v>
      </c>
      <c r="W172" s="136"/>
      <c r="X172" s="97"/>
      <c r="Z172" s="647" t="e">
        <f t="shared" si="47"/>
        <v>#VALUE!</v>
      </c>
      <c r="AA172" s="647" t="e">
        <f t="shared" si="48"/>
        <v>#VALUE!</v>
      </c>
      <c r="AB172" s="350">
        <f t="shared" si="49"/>
        <v>30</v>
      </c>
      <c r="AC172" s="67">
        <f t="shared" si="50"/>
        <v>30</v>
      </c>
      <c r="AD172" s="84">
        <f t="shared" si="51"/>
        <v>0</v>
      </c>
      <c r="AJ172" s="405"/>
    </row>
    <row r="173" spans="2:36" ht="12.75" customHeight="1">
      <c r="B173" s="92"/>
      <c r="C173" s="131"/>
      <c r="D173" s="169" t="str">
        <f>IF(op!D61=0,"",op!D61)</f>
        <v/>
      </c>
      <c r="E173" s="169" t="str">
        <f>IF(op!E61=0,"",op!E61)</f>
        <v/>
      </c>
      <c r="F173" s="169" t="str">
        <f>IF(op!F61=0,"",op!F61)</f>
        <v/>
      </c>
      <c r="G173" s="170" t="str">
        <f>IF(op!G61=0,"",op!G61+1)</f>
        <v/>
      </c>
      <c r="H173" s="566" t="str">
        <f>IF(op!H61="","",op!H61)</f>
        <v/>
      </c>
      <c r="I173" s="170" t="str">
        <f>IF(op!I61=0,"",op!I61)</f>
        <v/>
      </c>
      <c r="J173" s="567" t="str">
        <f>IF(E173="","",IF(op!J61&gt;LOOKUP(I173,schaal2011,regels2011),J61-1,IF(op!J61=LOOKUP(I173,schaal2011,regels2011),op!J61,J61+1)))</f>
        <v/>
      </c>
      <c r="K173" s="568" t="str">
        <f>IF(op!K61="","",op!K61)</f>
        <v/>
      </c>
      <c r="L173" s="569" t="str">
        <f>IF(op!L61="","",op!L61)</f>
        <v/>
      </c>
      <c r="M173" s="570" t="str">
        <f t="shared" si="44"/>
        <v/>
      </c>
      <c r="N173" s="155"/>
      <c r="O173" s="571" t="str">
        <f>IF(I173="","",VLOOKUP(I173,tab!$A$119:$V$159,J173+3,FALSE))</f>
        <v/>
      </c>
      <c r="P173" s="572">
        <f t="shared" si="45"/>
        <v>0</v>
      </c>
      <c r="Q173" s="589">
        <f t="shared" si="41"/>
        <v>0.6</v>
      </c>
      <c r="R173" s="573">
        <f t="shared" si="42"/>
        <v>0</v>
      </c>
      <c r="S173" s="332">
        <f>IF(L173="",0,O173*12*L173*(1+tab!$D$108)*tab!$E$110)</f>
        <v>0</v>
      </c>
      <c r="T173" s="580">
        <f t="shared" si="43"/>
        <v>0</v>
      </c>
      <c r="U173" s="243">
        <f t="shared" si="34"/>
        <v>0</v>
      </c>
      <c r="V173" s="332">
        <f t="shared" si="46"/>
        <v>0</v>
      </c>
      <c r="W173" s="136"/>
      <c r="X173" s="97"/>
      <c r="Z173" s="647" t="e">
        <f t="shared" si="47"/>
        <v>#VALUE!</v>
      </c>
      <c r="AA173" s="647" t="e">
        <f t="shared" si="48"/>
        <v>#VALUE!</v>
      </c>
      <c r="AB173" s="350">
        <f t="shared" si="49"/>
        <v>30</v>
      </c>
      <c r="AC173" s="67">
        <f t="shared" si="50"/>
        <v>30</v>
      </c>
      <c r="AD173" s="84">
        <f t="shared" si="51"/>
        <v>0</v>
      </c>
      <c r="AJ173" s="405"/>
    </row>
    <row r="174" spans="2:36" ht="12.75" customHeight="1">
      <c r="B174" s="92"/>
      <c r="C174" s="131"/>
      <c r="D174" s="169" t="str">
        <f>IF(op!D62=0,"",op!D62)</f>
        <v/>
      </c>
      <c r="E174" s="169" t="str">
        <f>IF(op!E62=0,"",op!E62)</f>
        <v/>
      </c>
      <c r="F174" s="169" t="str">
        <f>IF(op!F62=0,"",op!F62)</f>
        <v/>
      </c>
      <c r="G174" s="170" t="str">
        <f>IF(op!G62=0,"",op!G62+1)</f>
        <v/>
      </c>
      <c r="H174" s="566" t="str">
        <f>IF(op!H62="","",op!H62)</f>
        <v/>
      </c>
      <c r="I174" s="170" t="str">
        <f>IF(op!I62=0,"",op!I62)</f>
        <v/>
      </c>
      <c r="J174" s="567" t="str">
        <f>IF(E174="","",IF(op!J62&gt;LOOKUP(I174,schaal2011,regels2011),J62-1,IF(op!J62=LOOKUP(I174,schaal2011,regels2011),op!J62,J62+1)))</f>
        <v/>
      </c>
      <c r="K174" s="568" t="str">
        <f>IF(op!K62="","",op!K62)</f>
        <v/>
      </c>
      <c r="L174" s="569" t="str">
        <f>IF(op!L62="","",op!L62)</f>
        <v/>
      </c>
      <c r="M174" s="570" t="str">
        <f t="shared" si="44"/>
        <v/>
      </c>
      <c r="N174" s="155"/>
      <c r="O174" s="571" t="str">
        <f>IF(I174="","",VLOOKUP(I174,tab!$A$119:$V$159,J174+3,FALSE))</f>
        <v/>
      </c>
      <c r="P174" s="572">
        <f t="shared" si="45"/>
        <v>0</v>
      </c>
      <c r="Q174" s="589">
        <f t="shared" si="41"/>
        <v>0.6</v>
      </c>
      <c r="R174" s="573">
        <f t="shared" si="42"/>
        <v>0</v>
      </c>
      <c r="S174" s="332">
        <f>IF(L174="",0,O174*12*L174*(1+tab!$D$108)*tab!$E$110)</f>
        <v>0</v>
      </c>
      <c r="T174" s="580">
        <f t="shared" si="43"/>
        <v>0</v>
      </c>
      <c r="U174" s="243">
        <f t="shared" si="34"/>
        <v>0</v>
      </c>
      <c r="V174" s="332">
        <f t="shared" si="46"/>
        <v>0</v>
      </c>
      <c r="W174" s="136"/>
      <c r="X174" s="97"/>
      <c r="Z174" s="647" t="e">
        <f t="shared" si="47"/>
        <v>#VALUE!</v>
      </c>
      <c r="AA174" s="647" t="e">
        <f t="shared" si="48"/>
        <v>#VALUE!</v>
      </c>
      <c r="AB174" s="350">
        <f t="shared" si="49"/>
        <v>30</v>
      </c>
      <c r="AC174" s="67">
        <f t="shared" si="50"/>
        <v>30</v>
      </c>
      <c r="AD174" s="84">
        <f t="shared" si="51"/>
        <v>0</v>
      </c>
      <c r="AJ174" s="405"/>
    </row>
    <row r="175" spans="2:36" ht="12.75" customHeight="1">
      <c r="B175" s="92"/>
      <c r="C175" s="131"/>
      <c r="D175" s="169" t="str">
        <f>IF(op!D63=0,"",op!D63)</f>
        <v/>
      </c>
      <c r="E175" s="169" t="str">
        <f>IF(op!E63=0,"",op!E63)</f>
        <v/>
      </c>
      <c r="F175" s="169" t="str">
        <f>IF(op!F63=0,"",op!F63)</f>
        <v/>
      </c>
      <c r="G175" s="170" t="str">
        <f>IF(op!G63=0,"",op!G63+1)</f>
        <v/>
      </c>
      <c r="H175" s="566" t="str">
        <f>IF(op!H63="","",op!H63)</f>
        <v/>
      </c>
      <c r="I175" s="170" t="str">
        <f>IF(op!I63=0,"",op!I63)</f>
        <v/>
      </c>
      <c r="J175" s="567" t="str">
        <f>IF(E175="","",IF(op!J63&gt;LOOKUP(I175,schaal2011,regels2011),J63-1,IF(op!J63=LOOKUP(I175,schaal2011,regels2011),op!J63,J63+1)))</f>
        <v/>
      </c>
      <c r="K175" s="568" t="str">
        <f>IF(op!K63="","",op!K63)</f>
        <v/>
      </c>
      <c r="L175" s="569" t="str">
        <f>IF(op!L63="","",op!L63)</f>
        <v/>
      </c>
      <c r="M175" s="570" t="str">
        <f t="shared" si="44"/>
        <v/>
      </c>
      <c r="N175" s="155"/>
      <c r="O175" s="571" t="str">
        <f>IF(I175="","",VLOOKUP(I175,tab!$A$119:$V$159,J175+3,FALSE))</f>
        <v/>
      </c>
      <c r="P175" s="572">
        <f t="shared" si="45"/>
        <v>0</v>
      </c>
      <c r="Q175" s="589">
        <f t="shared" si="41"/>
        <v>0.6</v>
      </c>
      <c r="R175" s="573">
        <f t="shared" si="42"/>
        <v>0</v>
      </c>
      <c r="S175" s="332">
        <f>IF(L175="",0,O175*12*L175*(1+tab!$D$108)*tab!$E$110)</f>
        <v>0</v>
      </c>
      <c r="T175" s="580">
        <f t="shared" si="43"/>
        <v>0</v>
      </c>
      <c r="U175" s="243">
        <f t="shared" si="34"/>
        <v>0</v>
      </c>
      <c r="V175" s="332">
        <f t="shared" si="46"/>
        <v>0</v>
      </c>
      <c r="W175" s="136"/>
      <c r="X175" s="97"/>
      <c r="Z175" s="647" t="e">
        <f t="shared" si="47"/>
        <v>#VALUE!</v>
      </c>
      <c r="AA175" s="647" t="e">
        <f t="shared" si="48"/>
        <v>#VALUE!</v>
      </c>
      <c r="AB175" s="350">
        <f t="shared" si="49"/>
        <v>30</v>
      </c>
      <c r="AC175" s="67">
        <f t="shared" si="50"/>
        <v>30</v>
      </c>
      <c r="AD175" s="84">
        <f t="shared" si="51"/>
        <v>0</v>
      </c>
      <c r="AJ175" s="405"/>
    </row>
    <row r="176" spans="2:36" ht="12.75" customHeight="1">
      <c r="B176" s="92"/>
      <c r="C176" s="131"/>
      <c r="D176" s="169" t="str">
        <f>IF(op!D64=0,"",op!D64)</f>
        <v/>
      </c>
      <c r="E176" s="169" t="str">
        <f>IF(op!E64=0,"",op!E64)</f>
        <v/>
      </c>
      <c r="F176" s="169" t="str">
        <f>IF(op!F64=0,"",op!F64)</f>
        <v/>
      </c>
      <c r="G176" s="170" t="str">
        <f>IF(op!G64=0,"",op!G64+1)</f>
        <v/>
      </c>
      <c r="H176" s="566" t="str">
        <f>IF(op!H64="","",op!H64)</f>
        <v/>
      </c>
      <c r="I176" s="170" t="str">
        <f>IF(op!I64=0,"",op!I64)</f>
        <v/>
      </c>
      <c r="J176" s="567" t="str">
        <f>IF(E176="","",IF(op!J64&gt;LOOKUP(I176,schaal2011,regels2011),J64-1,IF(op!J64=LOOKUP(I176,schaal2011,regels2011),op!J64,J64+1)))</f>
        <v/>
      </c>
      <c r="K176" s="568" t="str">
        <f>IF(op!K64="","",op!K64)</f>
        <v/>
      </c>
      <c r="L176" s="569" t="str">
        <f>IF(op!L64="","",op!L64)</f>
        <v/>
      </c>
      <c r="M176" s="570" t="str">
        <f t="shared" si="44"/>
        <v/>
      </c>
      <c r="N176" s="155"/>
      <c r="O176" s="571" t="str">
        <f>IF(I176="","",VLOOKUP(I176,tab!$A$119:$V$159,J176+3,FALSE))</f>
        <v/>
      </c>
      <c r="P176" s="572">
        <f t="shared" si="45"/>
        <v>0</v>
      </c>
      <c r="Q176" s="589">
        <f t="shared" si="41"/>
        <v>0.6</v>
      </c>
      <c r="R176" s="573">
        <f t="shared" si="42"/>
        <v>0</v>
      </c>
      <c r="S176" s="332">
        <f>IF(L176="",0,O176*12*L176*(1+tab!$D$108)*tab!$E$110)</f>
        <v>0</v>
      </c>
      <c r="T176" s="580">
        <f t="shared" si="43"/>
        <v>0</v>
      </c>
      <c r="U176" s="243">
        <f t="shared" si="34"/>
        <v>0</v>
      </c>
      <c r="V176" s="332">
        <f t="shared" si="46"/>
        <v>0</v>
      </c>
      <c r="W176" s="136"/>
      <c r="X176" s="97"/>
      <c r="Z176" s="647" t="e">
        <f t="shared" si="47"/>
        <v>#VALUE!</v>
      </c>
      <c r="AA176" s="647" t="e">
        <f t="shared" si="48"/>
        <v>#VALUE!</v>
      </c>
      <c r="AB176" s="350">
        <f t="shared" si="49"/>
        <v>30</v>
      </c>
      <c r="AC176" s="67">
        <f t="shared" si="50"/>
        <v>30</v>
      </c>
      <c r="AD176" s="84">
        <f t="shared" si="51"/>
        <v>0</v>
      </c>
      <c r="AJ176" s="405"/>
    </row>
    <row r="177" spans="2:36" ht="12.75" customHeight="1">
      <c r="B177" s="92"/>
      <c r="C177" s="131"/>
      <c r="D177" s="169" t="str">
        <f>IF(op!D65=0,"",op!D65)</f>
        <v/>
      </c>
      <c r="E177" s="169" t="str">
        <f>IF(op!E65=0,"",op!E65)</f>
        <v/>
      </c>
      <c r="F177" s="169" t="str">
        <f>IF(op!F65=0,"",op!F65)</f>
        <v/>
      </c>
      <c r="G177" s="170" t="str">
        <f>IF(op!G65=0,"",op!G65+1)</f>
        <v/>
      </c>
      <c r="H177" s="566" t="str">
        <f>IF(op!H65="","",op!H65)</f>
        <v/>
      </c>
      <c r="I177" s="170" t="str">
        <f>IF(op!I65=0,"",op!I65)</f>
        <v/>
      </c>
      <c r="J177" s="567" t="str">
        <f>IF(E177="","",IF(op!J65&gt;LOOKUP(I177,schaal2011,regels2011),J65-1,IF(op!J65=LOOKUP(I177,schaal2011,regels2011),op!J65,J65+1)))</f>
        <v/>
      </c>
      <c r="K177" s="568" t="str">
        <f>IF(op!K65="","",op!K65)</f>
        <v/>
      </c>
      <c r="L177" s="569" t="str">
        <f>IF(op!L65="","",op!L65)</f>
        <v/>
      </c>
      <c r="M177" s="570" t="str">
        <f t="shared" ref="M177:M221" si="52">(IF(L177="",(K177),(K177)-L177))</f>
        <v/>
      </c>
      <c r="N177" s="155"/>
      <c r="O177" s="571" t="str">
        <f>IF(I177="","",VLOOKUP(I177,tab!$A$119:$V$159,J177+3,FALSE))</f>
        <v/>
      </c>
      <c r="P177" s="572">
        <f t="shared" si="45"/>
        <v>0</v>
      </c>
      <c r="Q177" s="589">
        <f t="shared" si="41"/>
        <v>0.6</v>
      </c>
      <c r="R177" s="573">
        <f t="shared" si="42"/>
        <v>0</v>
      </c>
      <c r="S177" s="332">
        <f>IF(L177="",0,O177*12*L177*(1+tab!$D$108)*tab!$E$110)</f>
        <v>0</v>
      </c>
      <c r="T177" s="580">
        <f t="shared" si="43"/>
        <v>0</v>
      </c>
      <c r="U177" s="243">
        <f t="shared" si="34"/>
        <v>0</v>
      </c>
      <c r="V177" s="332">
        <f t="shared" si="46"/>
        <v>0</v>
      </c>
      <c r="W177" s="136"/>
      <c r="X177" s="97"/>
      <c r="Z177" s="647" t="e">
        <f t="shared" si="47"/>
        <v>#VALUE!</v>
      </c>
      <c r="AA177" s="647" t="e">
        <f t="shared" si="48"/>
        <v>#VALUE!</v>
      </c>
      <c r="AB177" s="350">
        <f t="shared" si="49"/>
        <v>30</v>
      </c>
      <c r="AC177" s="67">
        <f t="shared" si="50"/>
        <v>30</v>
      </c>
      <c r="AD177" s="84">
        <f t="shared" si="51"/>
        <v>0</v>
      </c>
      <c r="AJ177" s="405"/>
    </row>
    <row r="178" spans="2:36" ht="12.75" customHeight="1">
      <c r="B178" s="92"/>
      <c r="C178" s="131"/>
      <c r="D178" s="169" t="str">
        <f>IF(op!D66=0,"",op!D66)</f>
        <v/>
      </c>
      <c r="E178" s="169" t="str">
        <f>IF(op!E66=0,"",op!E66)</f>
        <v/>
      </c>
      <c r="F178" s="169" t="str">
        <f>IF(op!F66=0,"",op!F66)</f>
        <v/>
      </c>
      <c r="G178" s="170" t="str">
        <f>IF(op!G66=0,"",op!G66+1)</f>
        <v/>
      </c>
      <c r="H178" s="566" t="str">
        <f>IF(op!H66="","",op!H66)</f>
        <v/>
      </c>
      <c r="I178" s="170" t="str">
        <f>IF(op!I66=0,"",op!I66)</f>
        <v/>
      </c>
      <c r="J178" s="567" t="str">
        <f>IF(E178="","",IF(op!J66&gt;LOOKUP(I178,schaal2011,regels2011),J66-1,IF(op!J66=LOOKUP(I178,schaal2011,regels2011),op!J66,J66+1)))</f>
        <v/>
      </c>
      <c r="K178" s="568" t="str">
        <f>IF(op!K66="","",op!K66)</f>
        <v/>
      </c>
      <c r="L178" s="569" t="str">
        <f>IF(op!L66="","",op!L66)</f>
        <v/>
      </c>
      <c r="M178" s="570" t="str">
        <f t="shared" si="52"/>
        <v/>
      </c>
      <c r="N178" s="155"/>
      <c r="O178" s="571" t="str">
        <f>IF(I178="","",VLOOKUP(I178,tab!$A$119:$V$159,J178+3,FALSE))</f>
        <v/>
      </c>
      <c r="P178" s="572">
        <f t="shared" si="45"/>
        <v>0</v>
      </c>
      <c r="Q178" s="589">
        <f t="shared" si="41"/>
        <v>0.6</v>
      </c>
      <c r="R178" s="573">
        <f t="shared" si="42"/>
        <v>0</v>
      </c>
      <c r="S178" s="332">
        <f>IF(L178="",0,O178*12*L178*(1+tab!$D$108)*tab!$E$110)</f>
        <v>0</v>
      </c>
      <c r="T178" s="580">
        <f t="shared" si="43"/>
        <v>0</v>
      </c>
      <c r="U178" s="243">
        <f t="shared" si="34"/>
        <v>0</v>
      </c>
      <c r="V178" s="332">
        <f t="shared" si="46"/>
        <v>0</v>
      </c>
      <c r="W178" s="136"/>
      <c r="X178" s="97"/>
      <c r="Z178" s="647" t="e">
        <f t="shared" si="47"/>
        <v>#VALUE!</v>
      </c>
      <c r="AA178" s="647" t="e">
        <f t="shared" si="48"/>
        <v>#VALUE!</v>
      </c>
      <c r="AB178" s="350">
        <f t="shared" si="49"/>
        <v>30</v>
      </c>
      <c r="AC178" s="67">
        <f t="shared" si="50"/>
        <v>30</v>
      </c>
      <c r="AD178" s="84">
        <f t="shared" si="51"/>
        <v>0</v>
      </c>
      <c r="AJ178" s="405"/>
    </row>
    <row r="179" spans="2:36" ht="12.75" customHeight="1">
      <c r="B179" s="92"/>
      <c r="C179" s="131"/>
      <c r="D179" s="169" t="str">
        <f>IF(op!D67=0,"",op!D67)</f>
        <v/>
      </c>
      <c r="E179" s="169" t="str">
        <f>IF(op!E67=0,"",op!E67)</f>
        <v/>
      </c>
      <c r="F179" s="169" t="str">
        <f>IF(op!F67=0,"",op!F67)</f>
        <v/>
      </c>
      <c r="G179" s="170" t="str">
        <f>IF(op!G67=0,"",op!G67+1)</f>
        <v/>
      </c>
      <c r="H179" s="566" t="str">
        <f>IF(op!H67="","",op!H67)</f>
        <v/>
      </c>
      <c r="I179" s="170" t="str">
        <f>IF(op!I67=0,"",op!I67)</f>
        <v/>
      </c>
      <c r="J179" s="567" t="str">
        <f>IF(E179="","",IF(op!J67&gt;LOOKUP(I179,schaal2011,regels2011),J67-1,IF(op!J67=LOOKUP(I179,schaal2011,regels2011),op!J67,J67+1)))</f>
        <v/>
      </c>
      <c r="K179" s="568" t="str">
        <f>IF(op!K67="","",op!K67)</f>
        <v/>
      </c>
      <c r="L179" s="569" t="str">
        <f>IF(op!L67="","",op!L67)</f>
        <v/>
      </c>
      <c r="M179" s="570" t="str">
        <f t="shared" si="52"/>
        <v/>
      </c>
      <c r="N179" s="155"/>
      <c r="O179" s="571" t="str">
        <f>IF(I179="","",VLOOKUP(I179,tab!$A$119:$V$159,J179+3,FALSE))</f>
        <v/>
      </c>
      <c r="P179" s="572">
        <f t="shared" si="45"/>
        <v>0</v>
      </c>
      <c r="Q179" s="589">
        <f t="shared" si="41"/>
        <v>0.6</v>
      </c>
      <c r="R179" s="573">
        <f t="shared" si="42"/>
        <v>0</v>
      </c>
      <c r="S179" s="332">
        <f>IF(L179="",0,O179*12*L179*(1+tab!$D$108)*tab!$E$110)</f>
        <v>0</v>
      </c>
      <c r="T179" s="580">
        <f t="shared" si="43"/>
        <v>0</v>
      </c>
      <c r="U179" s="243">
        <f t="shared" si="34"/>
        <v>0</v>
      </c>
      <c r="V179" s="332">
        <f t="shared" si="46"/>
        <v>0</v>
      </c>
      <c r="W179" s="136"/>
      <c r="X179" s="97"/>
      <c r="Z179" s="647" t="e">
        <f t="shared" si="47"/>
        <v>#VALUE!</v>
      </c>
      <c r="AA179" s="647" t="e">
        <f t="shared" si="48"/>
        <v>#VALUE!</v>
      </c>
      <c r="AB179" s="350">
        <f t="shared" si="49"/>
        <v>30</v>
      </c>
      <c r="AC179" s="67">
        <f t="shared" si="50"/>
        <v>30</v>
      </c>
      <c r="AD179" s="84">
        <f t="shared" si="51"/>
        <v>0</v>
      </c>
      <c r="AJ179" s="405"/>
    </row>
    <row r="180" spans="2:36" ht="12.75" customHeight="1">
      <c r="B180" s="92"/>
      <c r="C180" s="131"/>
      <c r="D180" s="169" t="str">
        <f>IF(op!D68=0,"",op!D68)</f>
        <v/>
      </c>
      <c r="E180" s="169" t="str">
        <f>IF(op!E68=0,"",op!E68)</f>
        <v/>
      </c>
      <c r="F180" s="169" t="str">
        <f>IF(op!F68=0,"",op!F68)</f>
        <v/>
      </c>
      <c r="G180" s="170" t="str">
        <f>IF(op!G68=0,"",op!G68+1)</f>
        <v/>
      </c>
      <c r="H180" s="566" t="str">
        <f>IF(op!H68="","",op!H68)</f>
        <v/>
      </c>
      <c r="I180" s="170" t="str">
        <f>IF(op!I68=0,"",op!I68)</f>
        <v/>
      </c>
      <c r="J180" s="567" t="str">
        <f>IF(E180="","",IF(op!J68&gt;LOOKUP(I180,schaal2011,regels2011),J68-1,IF(op!J68=LOOKUP(I180,schaal2011,regels2011),op!J68,J68+1)))</f>
        <v/>
      </c>
      <c r="K180" s="568" t="str">
        <f>IF(op!K68="","",op!K68)</f>
        <v/>
      </c>
      <c r="L180" s="569" t="str">
        <f>IF(op!L68="","",op!L68)</f>
        <v/>
      </c>
      <c r="M180" s="570" t="str">
        <f t="shared" si="52"/>
        <v/>
      </c>
      <c r="N180" s="155"/>
      <c r="O180" s="571" t="str">
        <f>IF(I180="","",VLOOKUP(I180,tab!$A$119:$V$159,J180+3,FALSE))</f>
        <v/>
      </c>
      <c r="P180" s="572">
        <f t="shared" si="45"/>
        <v>0</v>
      </c>
      <c r="Q180" s="589">
        <f t="shared" si="41"/>
        <v>0.6</v>
      </c>
      <c r="R180" s="573">
        <f t="shared" si="42"/>
        <v>0</v>
      </c>
      <c r="S180" s="332">
        <f>IF(L180="",0,O180*12*L180*(1+tab!$D$108)*tab!$E$110)</f>
        <v>0</v>
      </c>
      <c r="T180" s="580">
        <f t="shared" si="43"/>
        <v>0</v>
      </c>
      <c r="U180" s="243">
        <f t="shared" si="34"/>
        <v>0</v>
      </c>
      <c r="V180" s="332">
        <f t="shared" si="46"/>
        <v>0</v>
      </c>
      <c r="W180" s="136"/>
      <c r="X180" s="97"/>
      <c r="Z180" s="647" t="e">
        <f t="shared" si="47"/>
        <v>#VALUE!</v>
      </c>
      <c r="AA180" s="647" t="e">
        <f t="shared" si="48"/>
        <v>#VALUE!</v>
      </c>
      <c r="AB180" s="350">
        <f t="shared" si="49"/>
        <v>30</v>
      </c>
      <c r="AC180" s="67">
        <f t="shared" si="50"/>
        <v>30</v>
      </c>
      <c r="AD180" s="84">
        <f t="shared" si="51"/>
        <v>0</v>
      </c>
      <c r="AJ180" s="405"/>
    </row>
    <row r="181" spans="2:36" ht="12.75" customHeight="1">
      <c r="B181" s="92"/>
      <c r="C181" s="131"/>
      <c r="D181" s="169" t="str">
        <f>IF(op!D69=0,"",op!D69)</f>
        <v/>
      </c>
      <c r="E181" s="169" t="str">
        <f>IF(op!E69=0,"",op!E69)</f>
        <v/>
      </c>
      <c r="F181" s="169" t="str">
        <f>IF(op!F69=0,"",op!F69)</f>
        <v/>
      </c>
      <c r="G181" s="170" t="str">
        <f>IF(op!G69=0,"",op!G69+1)</f>
        <v/>
      </c>
      <c r="H181" s="566" t="str">
        <f>IF(op!H69="","",op!H69)</f>
        <v/>
      </c>
      <c r="I181" s="170" t="str">
        <f>IF(op!I69=0,"",op!I69)</f>
        <v/>
      </c>
      <c r="J181" s="567" t="str">
        <f>IF(E181="","",IF(op!J69&gt;LOOKUP(I181,schaal2011,regels2011),J69-1,IF(op!J69=LOOKUP(I181,schaal2011,regels2011),op!J69,J69+1)))</f>
        <v/>
      </c>
      <c r="K181" s="568" t="str">
        <f>IF(op!K69="","",op!K69)</f>
        <v/>
      </c>
      <c r="L181" s="569" t="str">
        <f>IF(op!L69="","",op!L69)</f>
        <v/>
      </c>
      <c r="M181" s="570" t="str">
        <f t="shared" si="52"/>
        <v/>
      </c>
      <c r="N181" s="155"/>
      <c r="O181" s="571" t="str">
        <f>IF(I181="","",VLOOKUP(I181,tab!$A$119:$V$159,J181+3,FALSE))</f>
        <v/>
      </c>
      <c r="P181" s="572">
        <f t="shared" si="45"/>
        <v>0</v>
      </c>
      <c r="Q181" s="589">
        <f t="shared" si="41"/>
        <v>0.6</v>
      </c>
      <c r="R181" s="573">
        <f t="shared" si="42"/>
        <v>0</v>
      </c>
      <c r="S181" s="332">
        <f>IF(L181="",0,O181*12*L181*(1+tab!$D$108)*tab!$E$110)</f>
        <v>0</v>
      </c>
      <c r="T181" s="580">
        <f t="shared" si="43"/>
        <v>0</v>
      </c>
      <c r="U181" s="243">
        <f t="shared" si="34"/>
        <v>0</v>
      </c>
      <c r="V181" s="332">
        <f t="shared" si="46"/>
        <v>0</v>
      </c>
      <c r="W181" s="136"/>
      <c r="X181" s="97"/>
      <c r="Z181" s="647" t="e">
        <f t="shared" si="47"/>
        <v>#VALUE!</v>
      </c>
      <c r="AA181" s="647" t="e">
        <f t="shared" si="48"/>
        <v>#VALUE!</v>
      </c>
      <c r="AB181" s="350">
        <f t="shared" si="49"/>
        <v>30</v>
      </c>
      <c r="AC181" s="67">
        <f t="shared" si="50"/>
        <v>30</v>
      </c>
      <c r="AD181" s="84">
        <f t="shared" si="51"/>
        <v>0</v>
      </c>
      <c r="AJ181" s="405"/>
    </row>
    <row r="182" spans="2:36" ht="12.75" customHeight="1">
      <c r="B182" s="92"/>
      <c r="C182" s="131"/>
      <c r="D182" s="169" t="str">
        <f>IF(op!D70=0,"",op!D70)</f>
        <v/>
      </c>
      <c r="E182" s="169" t="str">
        <f>IF(op!E70=0,"",op!E70)</f>
        <v/>
      </c>
      <c r="F182" s="169" t="str">
        <f>IF(op!F70=0,"",op!F70)</f>
        <v/>
      </c>
      <c r="G182" s="170" t="str">
        <f>IF(op!G70=0,"",op!G70+1)</f>
        <v/>
      </c>
      <c r="H182" s="566" t="str">
        <f>IF(op!H70="","",op!H70)</f>
        <v/>
      </c>
      <c r="I182" s="170" t="str">
        <f>IF(op!I70=0,"",op!I70)</f>
        <v/>
      </c>
      <c r="J182" s="567" t="str">
        <f>IF(E182="","",IF(op!J70&gt;LOOKUP(I182,schaal2011,regels2011),J70-1,IF(op!J70=LOOKUP(I182,schaal2011,regels2011),op!J70,J70+1)))</f>
        <v/>
      </c>
      <c r="K182" s="568" t="str">
        <f>IF(op!K70="","",op!K70)</f>
        <v/>
      </c>
      <c r="L182" s="569" t="str">
        <f>IF(op!L70="","",op!L70)</f>
        <v/>
      </c>
      <c r="M182" s="570" t="str">
        <f t="shared" si="52"/>
        <v/>
      </c>
      <c r="N182" s="155"/>
      <c r="O182" s="571" t="str">
        <f>IF(I182="","",VLOOKUP(I182,tab!$A$119:$V$159,J182+3,FALSE))</f>
        <v/>
      </c>
      <c r="P182" s="572">
        <f t="shared" si="45"/>
        <v>0</v>
      </c>
      <c r="Q182" s="589">
        <f t="shared" si="41"/>
        <v>0.6</v>
      </c>
      <c r="R182" s="573">
        <f t="shared" si="42"/>
        <v>0</v>
      </c>
      <c r="S182" s="332">
        <f>IF(L182="",0,O182*12*L182*(1+tab!$D$108)*tab!$E$110)</f>
        <v>0</v>
      </c>
      <c r="T182" s="580">
        <f t="shared" si="43"/>
        <v>0</v>
      </c>
      <c r="U182" s="243">
        <f t="shared" si="34"/>
        <v>0</v>
      </c>
      <c r="V182" s="332">
        <f t="shared" si="46"/>
        <v>0</v>
      </c>
      <c r="W182" s="136"/>
      <c r="X182" s="97"/>
      <c r="Z182" s="647" t="e">
        <f t="shared" si="47"/>
        <v>#VALUE!</v>
      </c>
      <c r="AA182" s="647" t="e">
        <f t="shared" si="48"/>
        <v>#VALUE!</v>
      </c>
      <c r="AB182" s="350">
        <f t="shared" si="49"/>
        <v>30</v>
      </c>
      <c r="AC182" s="67">
        <f t="shared" si="50"/>
        <v>30</v>
      </c>
      <c r="AD182" s="84">
        <f t="shared" si="51"/>
        <v>0</v>
      </c>
      <c r="AJ182" s="405"/>
    </row>
    <row r="183" spans="2:36" ht="12.75" customHeight="1">
      <c r="B183" s="92"/>
      <c r="C183" s="131"/>
      <c r="D183" s="169" t="str">
        <f>IF(op!D71=0,"",op!D71)</f>
        <v/>
      </c>
      <c r="E183" s="169" t="str">
        <f>IF(op!E71=0,"",op!E71)</f>
        <v/>
      </c>
      <c r="F183" s="169" t="str">
        <f>IF(op!F71=0,"",op!F71)</f>
        <v/>
      </c>
      <c r="G183" s="170" t="str">
        <f>IF(op!G71=0,"",op!G71+1)</f>
        <v/>
      </c>
      <c r="H183" s="566" t="str">
        <f>IF(op!H71="","",op!H71)</f>
        <v/>
      </c>
      <c r="I183" s="170" t="str">
        <f>IF(op!I71=0,"",op!I71)</f>
        <v/>
      </c>
      <c r="J183" s="567" t="str">
        <f>IF(E183="","",IF(op!J71&gt;LOOKUP(I183,schaal2011,regels2011),J71-1,IF(op!J71=LOOKUP(I183,schaal2011,regels2011),op!J71,J71+1)))</f>
        <v/>
      </c>
      <c r="K183" s="568" t="str">
        <f>IF(op!K71="","",op!K71)</f>
        <v/>
      </c>
      <c r="L183" s="569" t="str">
        <f>IF(op!L71="","",op!L71)</f>
        <v/>
      </c>
      <c r="M183" s="570" t="str">
        <f t="shared" si="52"/>
        <v/>
      </c>
      <c r="N183" s="155"/>
      <c r="O183" s="571" t="str">
        <f>IF(I183="","",VLOOKUP(I183,tab!$A$119:$V$159,J183+3,FALSE))</f>
        <v/>
      </c>
      <c r="P183" s="572">
        <f t="shared" si="45"/>
        <v>0</v>
      </c>
      <c r="Q183" s="589">
        <f t="shared" si="41"/>
        <v>0.6</v>
      </c>
      <c r="R183" s="573">
        <f t="shared" si="42"/>
        <v>0</v>
      </c>
      <c r="S183" s="332">
        <f>IF(L183="",0,O183*12*L183*(1+tab!$D$108)*tab!$E$110)</f>
        <v>0</v>
      </c>
      <c r="T183" s="580">
        <f t="shared" si="43"/>
        <v>0</v>
      </c>
      <c r="U183" s="243">
        <f t="shared" si="34"/>
        <v>0</v>
      </c>
      <c r="V183" s="332">
        <f t="shared" si="46"/>
        <v>0</v>
      </c>
      <c r="W183" s="136"/>
      <c r="X183" s="97"/>
      <c r="Z183" s="647" t="e">
        <f t="shared" si="47"/>
        <v>#VALUE!</v>
      </c>
      <c r="AA183" s="647" t="e">
        <f t="shared" si="48"/>
        <v>#VALUE!</v>
      </c>
      <c r="AB183" s="350">
        <f t="shared" si="49"/>
        <v>30</v>
      </c>
      <c r="AC183" s="67">
        <f t="shared" si="50"/>
        <v>30</v>
      </c>
      <c r="AD183" s="84">
        <f t="shared" si="51"/>
        <v>0</v>
      </c>
      <c r="AJ183" s="405"/>
    </row>
    <row r="184" spans="2:36" ht="12.75" customHeight="1">
      <c r="B184" s="92"/>
      <c r="C184" s="131"/>
      <c r="D184" s="169" t="str">
        <f>IF(op!D72=0,"",op!D72)</f>
        <v/>
      </c>
      <c r="E184" s="169" t="str">
        <f>IF(op!E72=0,"",op!E72)</f>
        <v/>
      </c>
      <c r="F184" s="169" t="str">
        <f>IF(op!F72=0,"",op!F72)</f>
        <v/>
      </c>
      <c r="G184" s="170" t="str">
        <f>IF(op!G72=0,"",op!G72+1)</f>
        <v/>
      </c>
      <c r="H184" s="566" t="str">
        <f>IF(op!H72="","",op!H72)</f>
        <v/>
      </c>
      <c r="I184" s="170" t="str">
        <f>IF(op!I72=0,"",op!I72)</f>
        <v/>
      </c>
      <c r="J184" s="567" t="str">
        <f>IF(E184="","",IF(op!J72&gt;LOOKUP(I184,schaal2011,regels2011),J72-1,IF(op!J72=LOOKUP(I184,schaal2011,regels2011),op!J72,J72+1)))</f>
        <v/>
      </c>
      <c r="K184" s="568" t="str">
        <f>IF(op!K72="","",op!K72)</f>
        <v/>
      </c>
      <c r="L184" s="569" t="str">
        <f>IF(op!L72="","",op!L72)</f>
        <v/>
      </c>
      <c r="M184" s="570" t="str">
        <f t="shared" si="52"/>
        <v/>
      </c>
      <c r="N184" s="155"/>
      <c r="O184" s="571" t="str">
        <f>IF(I184="","",VLOOKUP(I184,tab!$A$119:$V$159,J184+3,FALSE))</f>
        <v/>
      </c>
      <c r="P184" s="572">
        <f t="shared" si="45"/>
        <v>0</v>
      </c>
      <c r="Q184" s="589">
        <f t="shared" si="41"/>
        <v>0.6</v>
      </c>
      <c r="R184" s="573">
        <f t="shared" si="42"/>
        <v>0</v>
      </c>
      <c r="S184" s="332">
        <f>IF(L184="",0,O184*12*L184*(1+tab!$D$108)*tab!$E$110)</f>
        <v>0</v>
      </c>
      <c r="T184" s="580">
        <f t="shared" si="43"/>
        <v>0</v>
      </c>
      <c r="U184" s="243">
        <f t="shared" si="34"/>
        <v>0</v>
      </c>
      <c r="V184" s="332">
        <f t="shared" si="46"/>
        <v>0</v>
      </c>
      <c r="W184" s="136"/>
      <c r="X184" s="97"/>
      <c r="Z184" s="647" t="e">
        <f t="shared" si="47"/>
        <v>#VALUE!</v>
      </c>
      <c r="AA184" s="647" t="e">
        <f t="shared" si="48"/>
        <v>#VALUE!</v>
      </c>
      <c r="AB184" s="350">
        <f t="shared" si="49"/>
        <v>30</v>
      </c>
      <c r="AC184" s="67">
        <f t="shared" si="50"/>
        <v>30</v>
      </c>
      <c r="AD184" s="84">
        <f t="shared" si="51"/>
        <v>0</v>
      </c>
      <c r="AJ184" s="405"/>
    </row>
    <row r="185" spans="2:36" ht="12.75" customHeight="1">
      <c r="B185" s="92"/>
      <c r="C185" s="131"/>
      <c r="D185" s="169" t="str">
        <f>IF(op!D73=0,"",op!D73)</f>
        <v/>
      </c>
      <c r="E185" s="169" t="str">
        <f>IF(op!E73=0,"",op!E73)</f>
        <v/>
      </c>
      <c r="F185" s="169" t="str">
        <f>IF(op!F73=0,"",op!F73)</f>
        <v/>
      </c>
      <c r="G185" s="170" t="str">
        <f>IF(op!G73=0,"",op!G73+1)</f>
        <v/>
      </c>
      <c r="H185" s="566" t="str">
        <f>IF(op!H73="","",op!H73)</f>
        <v/>
      </c>
      <c r="I185" s="170" t="str">
        <f>IF(op!I73=0,"",op!I73)</f>
        <v/>
      </c>
      <c r="J185" s="567" t="str">
        <f>IF(E185="","",IF(op!J73&gt;LOOKUP(I185,schaal2011,regels2011),J73-1,IF(op!J73=LOOKUP(I185,schaal2011,regels2011),op!J73,J73+1)))</f>
        <v/>
      </c>
      <c r="K185" s="568" t="str">
        <f>IF(op!K73="","",op!K73)</f>
        <v/>
      </c>
      <c r="L185" s="569" t="str">
        <f>IF(op!L73="","",op!L73)</f>
        <v/>
      </c>
      <c r="M185" s="570" t="str">
        <f t="shared" si="52"/>
        <v/>
      </c>
      <c r="N185" s="155"/>
      <c r="O185" s="571" t="str">
        <f>IF(I185="","",VLOOKUP(I185,tab!$A$119:$V$159,J185+3,FALSE))</f>
        <v/>
      </c>
      <c r="P185" s="572">
        <f t="shared" si="45"/>
        <v>0</v>
      </c>
      <c r="Q185" s="589">
        <f t="shared" si="41"/>
        <v>0.6</v>
      </c>
      <c r="R185" s="573">
        <f t="shared" si="42"/>
        <v>0</v>
      </c>
      <c r="S185" s="332">
        <f>IF(L185="",0,O185*12*L185*(1+tab!$D$108)*tab!$E$110)</f>
        <v>0</v>
      </c>
      <c r="T185" s="580">
        <f t="shared" si="43"/>
        <v>0</v>
      </c>
      <c r="U185" s="243">
        <f t="shared" si="34"/>
        <v>0</v>
      </c>
      <c r="V185" s="332">
        <f t="shared" si="46"/>
        <v>0</v>
      </c>
      <c r="W185" s="136"/>
      <c r="X185" s="97"/>
      <c r="Z185" s="647" t="e">
        <f t="shared" si="47"/>
        <v>#VALUE!</v>
      </c>
      <c r="AA185" s="647" t="e">
        <f t="shared" si="48"/>
        <v>#VALUE!</v>
      </c>
      <c r="AB185" s="350">
        <f t="shared" si="49"/>
        <v>30</v>
      </c>
      <c r="AC185" s="67">
        <f t="shared" si="50"/>
        <v>30</v>
      </c>
      <c r="AD185" s="84">
        <f t="shared" si="51"/>
        <v>0</v>
      </c>
      <c r="AJ185" s="405"/>
    </row>
    <row r="186" spans="2:36" ht="12.75" customHeight="1">
      <c r="B186" s="92"/>
      <c r="C186" s="131"/>
      <c r="D186" s="169" t="str">
        <f>IF(op!D74=0,"",op!D74)</f>
        <v/>
      </c>
      <c r="E186" s="169" t="str">
        <f>IF(op!E74=0,"",op!E74)</f>
        <v/>
      </c>
      <c r="F186" s="169" t="str">
        <f>IF(op!F74=0,"",op!F74)</f>
        <v/>
      </c>
      <c r="G186" s="170" t="str">
        <f>IF(op!G74=0,"",op!G74+1)</f>
        <v/>
      </c>
      <c r="H186" s="566" t="str">
        <f>IF(op!H74="","",op!H74)</f>
        <v/>
      </c>
      <c r="I186" s="170" t="str">
        <f>IF(op!I74=0,"",op!I74)</f>
        <v/>
      </c>
      <c r="J186" s="567" t="str">
        <f>IF(E186="","",IF(op!J74&gt;LOOKUP(I186,schaal2011,regels2011),J74-1,IF(op!J74=LOOKUP(I186,schaal2011,regels2011),op!J74,J74+1)))</f>
        <v/>
      </c>
      <c r="K186" s="568" t="str">
        <f>IF(op!K74="","",op!K74)</f>
        <v/>
      </c>
      <c r="L186" s="569" t="str">
        <f>IF(op!L74="","",op!L74)</f>
        <v/>
      </c>
      <c r="M186" s="570" t="str">
        <f t="shared" si="52"/>
        <v/>
      </c>
      <c r="N186" s="155"/>
      <c r="O186" s="571" t="str">
        <f>IF(I186="","",VLOOKUP(I186,tab!$A$119:$V$159,J186+3,FALSE))</f>
        <v/>
      </c>
      <c r="P186" s="572">
        <f t="shared" si="45"/>
        <v>0</v>
      </c>
      <c r="Q186" s="589">
        <f t="shared" si="41"/>
        <v>0.6</v>
      </c>
      <c r="R186" s="573">
        <f t="shared" si="42"/>
        <v>0</v>
      </c>
      <c r="S186" s="332">
        <f>IF(L186="",0,O186*12*L186*(1+tab!$D$108)*tab!$E$110)</f>
        <v>0</v>
      </c>
      <c r="T186" s="580">
        <f t="shared" si="43"/>
        <v>0</v>
      </c>
      <c r="U186" s="243">
        <f t="shared" si="34"/>
        <v>0</v>
      </c>
      <c r="V186" s="332">
        <f t="shared" si="46"/>
        <v>0</v>
      </c>
      <c r="W186" s="136"/>
      <c r="X186" s="97"/>
      <c r="Z186" s="647" t="e">
        <f t="shared" si="47"/>
        <v>#VALUE!</v>
      </c>
      <c r="AA186" s="647" t="e">
        <f t="shared" si="48"/>
        <v>#VALUE!</v>
      </c>
      <c r="AB186" s="350">
        <f t="shared" si="49"/>
        <v>30</v>
      </c>
      <c r="AC186" s="67">
        <f t="shared" si="50"/>
        <v>30</v>
      </c>
      <c r="AD186" s="84">
        <f t="shared" si="51"/>
        <v>0</v>
      </c>
      <c r="AJ186" s="405"/>
    </row>
    <row r="187" spans="2:36" ht="12.75" customHeight="1">
      <c r="B187" s="92"/>
      <c r="C187" s="131"/>
      <c r="D187" s="169" t="str">
        <f>IF(op!D75=0,"",op!D75)</f>
        <v/>
      </c>
      <c r="E187" s="169" t="str">
        <f>IF(op!E75=0,"",op!E75)</f>
        <v/>
      </c>
      <c r="F187" s="169" t="str">
        <f>IF(op!F75=0,"",op!F75)</f>
        <v/>
      </c>
      <c r="G187" s="170" t="str">
        <f>IF(op!G75=0,"",op!G75+1)</f>
        <v/>
      </c>
      <c r="H187" s="566" t="str">
        <f>IF(op!H75="","",op!H75)</f>
        <v/>
      </c>
      <c r="I187" s="170" t="str">
        <f>IF(op!I75=0,"",op!I75)</f>
        <v/>
      </c>
      <c r="J187" s="567" t="str">
        <f>IF(E187="","",IF(op!J75&gt;LOOKUP(I187,schaal2011,regels2011),J75-1,IF(op!J75=LOOKUP(I187,schaal2011,regels2011),op!J75,J75+1)))</f>
        <v/>
      </c>
      <c r="K187" s="568" t="str">
        <f>IF(op!K75="","",op!K75)</f>
        <v/>
      </c>
      <c r="L187" s="569" t="str">
        <f>IF(op!L75="","",op!L75)</f>
        <v/>
      </c>
      <c r="M187" s="570" t="str">
        <f t="shared" si="52"/>
        <v/>
      </c>
      <c r="N187" s="155"/>
      <c r="O187" s="571" t="str">
        <f>IF(I187="","",VLOOKUP(I187,tab!$A$119:$V$159,J187+3,FALSE))</f>
        <v/>
      </c>
      <c r="P187" s="572">
        <f t="shared" si="45"/>
        <v>0</v>
      </c>
      <c r="Q187" s="589">
        <f t="shared" si="41"/>
        <v>0.6</v>
      </c>
      <c r="R187" s="573">
        <f t="shared" si="42"/>
        <v>0</v>
      </c>
      <c r="S187" s="332">
        <f>IF(L187="",0,O187*12*L187*(1+tab!$D$108)*tab!$E$110)</f>
        <v>0</v>
      </c>
      <c r="T187" s="580">
        <f t="shared" si="43"/>
        <v>0</v>
      </c>
      <c r="U187" s="243">
        <f t="shared" si="34"/>
        <v>0</v>
      </c>
      <c r="V187" s="332">
        <f t="shared" si="46"/>
        <v>0</v>
      </c>
      <c r="W187" s="136"/>
      <c r="X187" s="97"/>
      <c r="Z187" s="647" t="e">
        <f t="shared" si="47"/>
        <v>#VALUE!</v>
      </c>
      <c r="AA187" s="647" t="e">
        <f t="shared" si="48"/>
        <v>#VALUE!</v>
      </c>
      <c r="AB187" s="350">
        <f t="shared" si="49"/>
        <v>30</v>
      </c>
      <c r="AC187" s="67">
        <f t="shared" si="50"/>
        <v>30</v>
      </c>
      <c r="AD187" s="84">
        <f t="shared" si="51"/>
        <v>0</v>
      </c>
      <c r="AJ187" s="405"/>
    </row>
    <row r="188" spans="2:36" ht="12.75" customHeight="1">
      <c r="B188" s="92"/>
      <c r="C188" s="131"/>
      <c r="D188" s="169" t="str">
        <f>IF(op!D76=0,"",op!D76)</f>
        <v/>
      </c>
      <c r="E188" s="169" t="str">
        <f>IF(op!E76=0,"",op!E76)</f>
        <v/>
      </c>
      <c r="F188" s="169" t="str">
        <f>IF(op!F76=0,"",op!F76)</f>
        <v/>
      </c>
      <c r="G188" s="170" t="str">
        <f>IF(op!G76=0,"",op!G76+1)</f>
        <v/>
      </c>
      <c r="H188" s="566" t="str">
        <f>IF(op!H76="","",op!H76)</f>
        <v/>
      </c>
      <c r="I188" s="170" t="str">
        <f>IF(op!I76=0,"",op!I76)</f>
        <v/>
      </c>
      <c r="J188" s="567" t="str">
        <f>IF(E188="","",IF(op!J76&gt;LOOKUP(I188,schaal2011,regels2011),J76-1,IF(op!J76=LOOKUP(I188,schaal2011,regels2011),op!J76,J76+1)))</f>
        <v/>
      </c>
      <c r="K188" s="568" t="str">
        <f>IF(op!K76="","",op!K76)</f>
        <v/>
      </c>
      <c r="L188" s="569" t="str">
        <f>IF(op!L76="","",op!L76)</f>
        <v/>
      </c>
      <c r="M188" s="570" t="str">
        <f t="shared" si="52"/>
        <v/>
      </c>
      <c r="N188" s="155"/>
      <c r="O188" s="571" t="str">
        <f>IF(I188="","",VLOOKUP(I188,tab!$A$119:$V$159,J188+3,FALSE))</f>
        <v/>
      </c>
      <c r="P188" s="572">
        <f t="shared" si="45"/>
        <v>0</v>
      </c>
      <c r="Q188" s="589">
        <f t="shared" si="41"/>
        <v>0.6</v>
      </c>
      <c r="R188" s="573">
        <f t="shared" si="42"/>
        <v>0</v>
      </c>
      <c r="S188" s="332">
        <f>IF(L188="",0,O188*12*L188*(1+tab!$D$108)*tab!$E$110)</f>
        <v>0</v>
      </c>
      <c r="T188" s="580">
        <f t="shared" si="43"/>
        <v>0</v>
      </c>
      <c r="U188" s="243">
        <f t="shared" si="34"/>
        <v>0</v>
      </c>
      <c r="V188" s="332">
        <f t="shared" si="46"/>
        <v>0</v>
      </c>
      <c r="W188" s="136"/>
      <c r="X188" s="97"/>
      <c r="Z188" s="647" t="e">
        <f t="shared" si="47"/>
        <v>#VALUE!</v>
      </c>
      <c r="AA188" s="647" t="e">
        <f t="shared" si="48"/>
        <v>#VALUE!</v>
      </c>
      <c r="AB188" s="350">
        <f t="shared" si="49"/>
        <v>30</v>
      </c>
      <c r="AC188" s="67">
        <f t="shared" si="50"/>
        <v>30</v>
      </c>
      <c r="AD188" s="84">
        <f t="shared" si="51"/>
        <v>0</v>
      </c>
      <c r="AJ188" s="405"/>
    </row>
    <row r="189" spans="2:36" ht="12.75" customHeight="1">
      <c r="B189" s="92"/>
      <c r="C189" s="131"/>
      <c r="D189" s="169" t="str">
        <f>IF(op!D77=0,"",op!D77)</f>
        <v/>
      </c>
      <c r="E189" s="169" t="str">
        <f>IF(op!E77=0,"",op!E77)</f>
        <v/>
      </c>
      <c r="F189" s="169" t="str">
        <f>IF(op!F77=0,"",op!F77)</f>
        <v/>
      </c>
      <c r="G189" s="170" t="str">
        <f>IF(op!G77=0,"",op!G77+1)</f>
        <v/>
      </c>
      <c r="H189" s="566" t="str">
        <f>IF(op!H77="","",op!H77)</f>
        <v/>
      </c>
      <c r="I189" s="170" t="str">
        <f>IF(op!I77=0,"",op!I77)</f>
        <v/>
      </c>
      <c r="J189" s="567" t="str">
        <f>IF(E189="","",IF(op!J77&gt;LOOKUP(I189,schaal2011,regels2011),J77-1,IF(op!J77=LOOKUP(I189,schaal2011,regels2011),op!J77,J77+1)))</f>
        <v/>
      </c>
      <c r="K189" s="568" t="str">
        <f>IF(op!K77="","",op!K77)</f>
        <v/>
      </c>
      <c r="L189" s="569" t="str">
        <f>IF(op!L77="","",op!L77)</f>
        <v/>
      </c>
      <c r="M189" s="570" t="str">
        <f t="shared" si="52"/>
        <v/>
      </c>
      <c r="N189" s="155"/>
      <c r="O189" s="571" t="str">
        <f>IF(I189="","",VLOOKUP(I189,tab!$A$119:$V$159,J189+3,FALSE))</f>
        <v/>
      </c>
      <c r="P189" s="572">
        <f t="shared" si="45"/>
        <v>0</v>
      </c>
      <c r="Q189" s="589">
        <f t="shared" si="41"/>
        <v>0.6</v>
      </c>
      <c r="R189" s="573">
        <f t="shared" si="42"/>
        <v>0</v>
      </c>
      <c r="S189" s="332">
        <f>IF(L189="",0,O189*12*L189*(1+tab!$D$108)*tab!$E$110)</f>
        <v>0</v>
      </c>
      <c r="T189" s="580">
        <f t="shared" si="43"/>
        <v>0</v>
      </c>
      <c r="U189" s="243">
        <f t="shared" si="34"/>
        <v>0</v>
      </c>
      <c r="V189" s="332">
        <f t="shared" si="46"/>
        <v>0</v>
      </c>
      <c r="W189" s="136"/>
      <c r="X189" s="97"/>
      <c r="Z189" s="647" t="e">
        <f t="shared" si="47"/>
        <v>#VALUE!</v>
      </c>
      <c r="AA189" s="647" t="e">
        <f t="shared" si="48"/>
        <v>#VALUE!</v>
      </c>
      <c r="AB189" s="350">
        <f t="shared" si="49"/>
        <v>30</v>
      </c>
      <c r="AC189" s="67">
        <f t="shared" si="50"/>
        <v>30</v>
      </c>
      <c r="AD189" s="84">
        <f t="shared" si="51"/>
        <v>0</v>
      </c>
      <c r="AJ189" s="405"/>
    </row>
    <row r="190" spans="2:36" ht="12.75" customHeight="1">
      <c r="B190" s="92"/>
      <c r="C190" s="131"/>
      <c r="D190" s="169" t="str">
        <f>IF(op!D78=0,"",op!D78)</f>
        <v/>
      </c>
      <c r="E190" s="169" t="str">
        <f>IF(op!E78=0,"",op!E78)</f>
        <v/>
      </c>
      <c r="F190" s="169" t="str">
        <f>IF(op!F78=0,"",op!F78)</f>
        <v/>
      </c>
      <c r="G190" s="170" t="str">
        <f>IF(op!G78=0,"",op!G78+1)</f>
        <v/>
      </c>
      <c r="H190" s="566" t="str">
        <f>IF(op!H78="","",op!H78)</f>
        <v/>
      </c>
      <c r="I190" s="170" t="str">
        <f>IF(op!I78=0,"",op!I78)</f>
        <v/>
      </c>
      <c r="J190" s="567" t="str">
        <f>IF(E190="","",IF(op!J78&gt;LOOKUP(I190,schaal2011,regels2011),J78-1,IF(op!J78=LOOKUP(I190,schaal2011,regels2011),op!J78,J78+1)))</f>
        <v/>
      </c>
      <c r="K190" s="568" t="str">
        <f>IF(op!K78="","",op!K78)</f>
        <v/>
      </c>
      <c r="L190" s="569" t="str">
        <f>IF(op!L78="","",op!L78)</f>
        <v/>
      </c>
      <c r="M190" s="570" t="str">
        <f t="shared" si="52"/>
        <v/>
      </c>
      <c r="N190" s="155"/>
      <c r="O190" s="571" t="str">
        <f>IF(I190="","",VLOOKUP(I190,tab!$A$119:$V$159,J190+3,FALSE))</f>
        <v/>
      </c>
      <c r="P190" s="572">
        <f t="shared" si="45"/>
        <v>0</v>
      </c>
      <c r="Q190" s="589">
        <f t="shared" si="41"/>
        <v>0.6</v>
      </c>
      <c r="R190" s="573">
        <f t="shared" si="42"/>
        <v>0</v>
      </c>
      <c r="S190" s="332">
        <f>IF(L190="",0,O190*12*L190*(1+tab!$D$108)*tab!$E$110)</f>
        <v>0</v>
      </c>
      <c r="T190" s="580">
        <f t="shared" si="43"/>
        <v>0</v>
      </c>
      <c r="U190" s="243">
        <f t="shared" si="34"/>
        <v>0</v>
      </c>
      <c r="V190" s="332">
        <f t="shared" si="46"/>
        <v>0</v>
      </c>
      <c r="W190" s="136"/>
      <c r="X190" s="97"/>
      <c r="Z190" s="647" t="e">
        <f t="shared" si="47"/>
        <v>#VALUE!</v>
      </c>
      <c r="AA190" s="647" t="e">
        <f t="shared" si="48"/>
        <v>#VALUE!</v>
      </c>
      <c r="AB190" s="350">
        <f t="shared" si="49"/>
        <v>30</v>
      </c>
      <c r="AC190" s="67">
        <f t="shared" si="50"/>
        <v>30</v>
      </c>
      <c r="AD190" s="84">
        <f t="shared" si="51"/>
        <v>0</v>
      </c>
      <c r="AJ190" s="405"/>
    </row>
    <row r="191" spans="2:36" ht="12.75" customHeight="1">
      <c r="B191" s="92"/>
      <c r="C191" s="131"/>
      <c r="D191" s="169" t="str">
        <f>IF(op!D79=0,"",op!D79)</f>
        <v/>
      </c>
      <c r="E191" s="169" t="str">
        <f>IF(op!E79=0,"",op!E79)</f>
        <v/>
      </c>
      <c r="F191" s="169" t="str">
        <f>IF(op!F79=0,"",op!F79)</f>
        <v/>
      </c>
      <c r="G191" s="170" t="str">
        <f>IF(op!G79=0,"",op!G79+1)</f>
        <v/>
      </c>
      <c r="H191" s="566" t="str">
        <f>IF(op!H79="","",op!H79)</f>
        <v/>
      </c>
      <c r="I191" s="170" t="str">
        <f>IF(op!I79=0,"",op!I79)</f>
        <v/>
      </c>
      <c r="J191" s="567" t="str">
        <f>IF(E191="","",IF(op!J79&gt;LOOKUP(I191,schaal2011,regels2011),J79-1,IF(op!J79=LOOKUP(I191,schaal2011,regels2011),op!J79,J79+1)))</f>
        <v/>
      </c>
      <c r="K191" s="568" t="str">
        <f>IF(op!K79="","",op!K79)</f>
        <v/>
      </c>
      <c r="L191" s="569" t="str">
        <f>IF(op!L79="","",op!L79)</f>
        <v/>
      </c>
      <c r="M191" s="570" t="str">
        <f t="shared" si="52"/>
        <v/>
      </c>
      <c r="N191" s="155"/>
      <c r="O191" s="571" t="str">
        <f>IF(I191="","",VLOOKUP(I191,tab!$A$119:$V$159,J191+3,FALSE))</f>
        <v/>
      </c>
      <c r="P191" s="572">
        <f t="shared" si="45"/>
        <v>0</v>
      </c>
      <c r="Q191" s="589">
        <f t="shared" si="41"/>
        <v>0.6</v>
      </c>
      <c r="R191" s="573">
        <f t="shared" si="42"/>
        <v>0</v>
      </c>
      <c r="S191" s="332">
        <f>IF(L191="",0,O191*12*L191*(1+tab!$D$108)*tab!$E$110)</f>
        <v>0</v>
      </c>
      <c r="T191" s="580">
        <f t="shared" si="43"/>
        <v>0</v>
      </c>
      <c r="U191" s="243">
        <f t="shared" si="34"/>
        <v>0</v>
      </c>
      <c r="V191" s="332">
        <f t="shared" si="46"/>
        <v>0</v>
      </c>
      <c r="W191" s="136"/>
      <c r="X191" s="97"/>
      <c r="Z191" s="647" t="e">
        <f t="shared" si="47"/>
        <v>#VALUE!</v>
      </c>
      <c r="AA191" s="647" t="e">
        <f t="shared" si="48"/>
        <v>#VALUE!</v>
      </c>
      <c r="AB191" s="350">
        <f t="shared" si="49"/>
        <v>30</v>
      </c>
      <c r="AC191" s="67">
        <f t="shared" si="50"/>
        <v>30</v>
      </c>
      <c r="AD191" s="84">
        <f t="shared" si="51"/>
        <v>0</v>
      </c>
      <c r="AJ191" s="405"/>
    </row>
    <row r="192" spans="2:36" ht="12.75" customHeight="1">
      <c r="B192" s="92"/>
      <c r="C192" s="131"/>
      <c r="D192" s="169" t="str">
        <f>IF(op!D80=0,"",op!D80)</f>
        <v/>
      </c>
      <c r="E192" s="169" t="str">
        <f>IF(op!E80=0,"",op!E80)</f>
        <v/>
      </c>
      <c r="F192" s="169" t="str">
        <f>IF(op!F80=0,"",op!F80)</f>
        <v/>
      </c>
      <c r="G192" s="170" t="str">
        <f>IF(op!G80=0,"",op!G80+1)</f>
        <v/>
      </c>
      <c r="H192" s="566" t="str">
        <f>IF(op!H80="","",op!H80)</f>
        <v/>
      </c>
      <c r="I192" s="170" t="str">
        <f>IF(op!I80=0,"",op!I80)</f>
        <v/>
      </c>
      <c r="J192" s="567" t="str">
        <f>IF(E192="","",IF(op!J80&gt;LOOKUP(I192,schaal2011,regels2011),J80-1,IF(op!J80=LOOKUP(I192,schaal2011,regels2011),op!J80,J80+1)))</f>
        <v/>
      </c>
      <c r="K192" s="568" t="str">
        <f>IF(op!K80="","",op!K80)</f>
        <v/>
      </c>
      <c r="L192" s="569" t="str">
        <f>IF(op!L80="","",op!L80)</f>
        <v/>
      </c>
      <c r="M192" s="570" t="str">
        <f t="shared" si="52"/>
        <v/>
      </c>
      <c r="N192" s="155"/>
      <c r="O192" s="571" t="str">
        <f>IF(I192="","",VLOOKUP(I192,tab!$A$119:$V$159,J192+3,FALSE))</f>
        <v/>
      </c>
      <c r="P192" s="572">
        <f t="shared" ref="P192:P223" si="53">IF(E192="",0,(O192*M192*12))</f>
        <v>0</v>
      </c>
      <c r="Q192" s="589">
        <f t="shared" si="41"/>
        <v>0.6</v>
      </c>
      <c r="R192" s="573">
        <f t="shared" si="42"/>
        <v>0</v>
      </c>
      <c r="S192" s="332">
        <f>IF(L192="",0,O192*12*L192*(1+tab!$D$108)*tab!$E$110)</f>
        <v>0</v>
      </c>
      <c r="T192" s="580">
        <f t="shared" si="43"/>
        <v>0</v>
      </c>
      <c r="U192" s="243">
        <f t="shared" ref="U192:U227" si="54">IF(G192&lt;25,0,IF(G192=25,25,IF(G192&lt;40,0,IF(G192=40,40,IF(G192&gt;=40,0)))))</f>
        <v>0</v>
      </c>
      <c r="V192" s="332">
        <f t="shared" ref="V192:V223" si="55">IF(U192=25,(O192*1.08*(K192)/2),IF(U192=40,(O192*1.08*(K192)),IF(U192=0,0)))</f>
        <v>0</v>
      </c>
      <c r="W192" s="136"/>
      <c r="X192" s="97"/>
      <c r="Z192" s="647" t="e">
        <f t="shared" ref="Z192:Z227" si="56">DATE(YEAR($E$121),MONTH(H192),DAY(H192))&gt;$E$121</f>
        <v>#VALUE!</v>
      </c>
      <c r="AA192" s="647" t="e">
        <f t="shared" ref="AA192:AA223" si="57">YEAR($E$121)-YEAR(H192)-Z192</f>
        <v>#VALUE!</v>
      </c>
      <c r="AB192" s="350">
        <f t="shared" ref="AB192:AB223" si="58">IF((H192=""),30,AA192)</f>
        <v>30</v>
      </c>
      <c r="AC192" s="67">
        <f t="shared" si="50"/>
        <v>30</v>
      </c>
      <c r="AD192" s="84">
        <f t="shared" ref="AD192:AD223" si="59">(AC192*(SUM(K192:K192)))</f>
        <v>0</v>
      </c>
      <c r="AJ192" s="405"/>
    </row>
    <row r="193" spans="2:36" ht="12.75" customHeight="1">
      <c r="B193" s="92"/>
      <c r="C193" s="131"/>
      <c r="D193" s="169" t="str">
        <f>IF(op!D81=0,"",op!D81)</f>
        <v/>
      </c>
      <c r="E193" s="169" t="str">
        <f>IF(op!E81=0,"",op!E81)</f>
        <v/>
      </c>
      <c r="F193" s="169" t="str">
        <f>IF(op!F81=0,"",op!F81)</f>
        <v/>
      </c>
      <c r="G193" s="170" t="str">
        <f>IF(op!G81=0,"",op!G81+1)</f>
        <v/>
      </c>
      <c r="H193" s="566" t="str">
        <f>IF(op!H81="","",op!H81)</f>
        <v/>
      </c>
      <c r="I193" s="170" t="str">
        <f>IF(op!I81=0,"",op!I81)</f>
        <v/>
      </c>
      <c r="J193" s="567" t="str">
        <f>IF(E193="","",IF(op!J81&gt;LOOKUP(I193,schaal2011,regels2011),J81-1,IF(op!J81=LOOKUP(I193,schaal2011,regels2011),op!J81,J81+1)))</f>
        <v/>
      </c>
      <c r="K193" s="568" t="str">
        <f>IF(op!K81="","",op!K81)</f>
        <v/>
      </c>
      <c r="L193" s="569" t="str">
        <f>IF(op!L81="","",op!L81)</f>
        <v/>
      </c>
      <c r="M193" s="570" t="str">
        <f t="shared" si="52"/>
        <v/>
      </c>
      <c r="N193" s="155"/>
      <c r="O193" s="571" t="str">
        <f>IF(I193="","",VLOOKUP(I193,tab!$A$119:$V$159,J193+3,FALSE))</f>
        <v/>
      </c>
      <c r="P193" s="572">
        <f t="shared" si="53"/>
        <v>0</v>
      </c>
      <c r="Q193" s="589">
        <f t="shared" ref="Q193:Q227" si="60">$Q$126</f>
        <v>0.6</v>
      </c>
      <c r="R193" s="573">
        <f t="shared" ref="R193:R227" si="61">IF(E193=0,"",(P193)*Q193)</f>
        <v>0</v>
      </c>
      <c r="S193" s="332">
        <f>IF(L193="",0,O193*12*L193*(1+tab!$D$108)*tab!$E$110)</f>
        <v>0</v>
      </c>
      <c r="T193" s="580">
        <f t="shared" ref="T193:T227" si="62">IF(E193=0,0,(P193+R193+S193))</f>
        <v>0</v>
      </c>
      <c r="U193" s="243">
        <f t="shared" si="54"/>
        <v>0</v>
      </c>
      <c r="V193" s="332">
        <f t="shared" si="55"/>
        <v>0</v>
      </c>
      <c r="W193" s="136"/>
      <c r="X193" s="97"/>
      <c r="Z193" s="647" t="e">
        <f t="shared" si="56"/>
        <v>#VALUE!</v>
      </c>
      <c r="AA193" s="647" t="e">
        <f t="shared" si="57"/>
        <v>#VALUE!</v>
      </c>
      <c r="AB193" s="350">
        <f t="shared" si="58"/>
        <v>30</v>
      </c>
      <c r="AC193" s="67">
        <f t="shared" si="50"/>
        <v>30</v>
      </c>
      <c r="AD193" s="84">
        <f t="shared" si="59"/>
        <v>0</v>
      </c>
      <c r="AJ193" s="405"/>
    </row>
    <row r="194" spans="2:36" ht="12.75" customHeight="1">
      <c r="B194" s="92"/>
      <c r="C194" s="131"/>
      <c r="D194" s="169" t="str">
        <f>IF(op!D82=0,"",op!D82)</f>
        <v/>
      </c>
      <c r="E194" s="169" t="str">
        <f>IF(op!E82=0,"",op!E82)</f>
        <v/>
      </c>
      <c r="F194" s="169" t="str">
        <f>IF(op!F82=0,"",op!F82)</f>
        <v/>
      </c>
      <c r="G194" s="170" t="str">
        <f>IF(op!G82=0,"",op!G82+1)</f>
        <v/>
      </c>
      <c r="H194" s="566" t="str">
        <f>IF(op!H82="","",op!H82)</f>
        <v/>
      </c>
      <c r="I194" s="170" t="str">
        <f>IF(op!I82=0,"",op!I82)</f>
        <v/>
      </c>
      <c r="J194" s="567" t="str">
        <f>IF(E194="","",IF(op!J82&gt;LOOKUP(I194,schaal2011,regels2011),J82-1,IF(op!J82=LOOKUP(I194,schaal2011,regels2011),op!J82,J82+1)))</f>
        <v/>
      </c>
      <c r="K194" s="568" t="str">
        <f>IF(op!K82="","",op!K82)</f>
        <v/>
      </c>
      <c r="L194" s="569" t="str">
        <f>IF(op!L82="","",op!L82)</f>
        <v/>
      </c>
      <c r="M194" s="570" t="str">
        <f t="shared" si="52"/>
        <v/>
      </c>
      <c r="N194" s="155"/>
      <c r="O194" s="571" t="str">
        <f>IF(I194="","",VLOOKUP(I194,tab!$A$119:$V$159,J194+3,FALSE))</f>
        <v/>
      </c>
      <c r="P194" s="572">
        <f t="shared" si="53"/>
        <v>0</v>
      </c>
      <c r="Q194" s="589">
        <f t="shared" si="60"/>
        <v>0.6</v>
      </c>
      <c r="R194" s="573">
        <f t="shared" si="61"/>
        <v>0</v>
      </c>
      <c r="S194" s="332">
        <f>IF(L194="",0,O194*12*L194*(1+tab!$D$108)*tab!$E$110)</f>
        <v>0</v>
      </c>
      <c r="T194" s="580">
        <f t="shared" si="62"/>
        <v>0</v>
      </c>
      <c r="U194" s="243">
        <f t="shared" si="54"/>
        <v>0</v>
      </c>
      <c r="V194" s="332">
        <f t="shared" si="55"/>
        <v>0</v>
      </c>
      <c r="W194" s="136"/>
      <c r="X194" s="97"/>
      <c r="Z194" s="647" t="e">
        <f t="shared" si="56"/>
        <v>#VALUE!</v>
      </c>
      <c r="AA194" s="647" t="e">
        <f t="shared" si="57"/>
        <v>#VALUE!</v>
      </c>
      <c r="AB194" s="350">
        <f t="shared" si="58"/>
        <v>30</v>
      </c>
      <c r="AC194" s="67">
        <f t="shared" si="50"/>
        <v>30</v>
      </c>
      <c r="AD194" s="84">
        <f t="shared" si="59"/>
        <v>0</v>
      </c>
      <c r="AJ194" s="405"/>
    </row>
    <row r="195" spans="2:36" ht="12.75" customHeight="1">
      <c r="B195" s="92"/>
      <c r="C195" s="131"/>
      <c r="D195" s="169" t="str">
        <f>IF(op!D83=0,"",op!D83)</f>
        <v/>
      </c>
      <c r="E195" s="169" t="str">
        <f>IF(op!E83=0,"",op!E83)</f>
        <v/>
      </c>
      <c r="F195" s="169" t="str">
        <f>IF(op!F83=0,"",op!F83)</f>
        <v/>
      </c>
      <c r="G195" s="170" t="str">
        <f>IF(op!G83=0,"",op!G83+1)</f>
        <v/>
      </c>
      <c r="H195" s="566" t="str">
        <f>IF(op!H83="","",op!H83)</f>
        <v/>
      </c>
      <c r="I195" s="170" t="str">
        <f>IF(op!I83=0,"",op!I83)</f>
        <v/>
      </c>
      <c r="J195" s="567" t="str">
        <f>IF(E195="","",IF(op!J83&gt;LOOKUP(I195,schaal2011,regels2011),J83-1,IF(op!J83=LOOKUP(I195,schaal2011,regels2011),op!J83,J83+1)))</f>
        <v/>
      </c>
      <c r="K195" s="568" t="str">
        <f>IF(op!K83="","",op!K83)</f>
        <v/>
      </c>
      <c r="L195" s="569" t="str">
        <f>IF(op!L83="","",op!L83)</f>
        <v/>
      </c>
      <c r="M195" s="570" t="str">
        <f t="shared" si="52"/>
        <v/>
      </c>
      <c r="N195" s="155"/>
      <c r="O195" s="571" t="str">
        <f>IF(I195="","",VLOOKUP(I195,tab!$A$119:$V$159,J195+3,FALSE))</f>
        <v/>
      </c>
      <c r="P195" s="572">
        <f t="shared" si="53"/>
        <v>0</v>
      </c>
      <c r="Q195" s="589">
        <f t="shared" si="60"/>
        <v>0.6</v>
      </c>
      <c r="R195" s="573">
        <f t="shared" si="61"/>
        <v>0</v>
      </c>
      <c r="S195" s="332">
        <f>IF(L195="",0,O195*12*L195*(1+tab!$D$108)*tab!$E$110)</f>
        <v>0</v>
      </c>
      <c r="T195" s="580">
        <f t="shared" si="62"/>
        <v>0</v>
      </c>
      <c r="U195" s="243">
        <f t="shared" si="54"/>
        <v>0</v>
      </c>
      <c r="V195" s="332">
        <f t="shared" si="55"/>
        <v>0</v>
      </c>
      <c r="W195" s="136"/>
      <c r="X195" s="97"/>
      <c r="Z195" s="647" t="e">
        <f t="shared" si="56"/>
        <v>#VALUE!</v>
      </c>
      <c r="AA195" s="647" t="e">
        <f t="shared" si="57"/>
        <v>#VALUE!</v>
      </c>
      <c r="AB195" s="350">
        <f t="shared" si="58"/>
        <v>30</v>
      </c>
      <c r="AC195" s="67">
        <f t="shared" si="50"/>
        <v>30</v>
      </c>
      <c r="AD195" s="84">
        <f t="shared" si="59"/>
        <v>0</v>
      </c>
      <c r="AJ195" s="405"/>
    </row>
    <row r="196" spans="2:36" ht="12.75" customHeight="1">
      <c r="B196" s="92"/>
      <c r="C196" s="131"/>
      <c r="D196" s="169" t="str">
        <f>IF(op!D84=0,"",op!D84)</f>
        <v/>
      </c>
      <c r="E196" s="169" t="str">
        <f>IF(op!E84=0,"",op!E84)</f>
        <v/>
      </c>
      <c r="F196" s="169" t="str">
        <f>IF(op!F84=0,"",op!F84)</f>
        <v/>
      </c>
      <c r="G196" s="170" t="str">
        <f>IF(op!G84=0,"",op!G84+1)</f>
        <v/>
      </c>
      <c r="H196" s="566" t="str">
        <f>IF(op!H84="","",op!H84)</f>
        <v/>
      </c>
      <c r="I196" s="170" t="str">
        <f>IF(op!I84=0,"",op!I84)</f>
        <v/>
      </c>
      <c r="J196" s="567" t="str">
        <f>IF(E196="","",IF(op!J84&gt;LOOKUP(I196,schaal2011,regels2011),J84-1,IF(op!J84=LOOKUP(I196,schaal2011,regels2011),op!J84,J84+1)))</f>
        <v/>
      </c>
      <c r="K196" s="568" t="str">
        <f>IF(op!K84="","",op!K84)</f>
        <v/>
      </c>
      <c r="L196" s="569" t="str">
        <f>IF(op!L84="","",op!L84)</f>
        <v/>
      </c>
      <c r="M196" s="570" t="str">
        <f t="shared" si="52"/>
        <v/>
      </c>
      <c r="N196" s="155"/>
      <c r="O196" s="571" t="str">
        <f>IF(I196="","",VLOOKUP(I196,tab!$A$119:$V$159,J196+3,FALSE))</f>
        <v/>
      </c>
      <c r="P196" s="572">
        <f t="shared" si="53"/>
        <v>0</v>
      </c>
      <c r="Q196" s="589">
        <f t="shared" si="60"/>
        <v>0.6</v>
      </c>
      <c r="R196" s="573">
        <f t="shared" si="61"/>
        <v>0</v>
      </c>
      <c r="S196" s="332">
        <f>IF(L196="",0,O196*12*L196*(1+tab!$D$108)*tab!$E$110)</f>
        <v>0</v>
      </c>
      <c r="T196" s="580">
        <f t="shared" si="62"/>
        <v>0</v>
      </c>
      <c r="U196" s="243">
        <f t="shared" si="54"/>
        <v>0</v>
      </c>
      <c r="V196" s="332">
        <f t="shared" si="55"/>
        <v>0</v>
      </c>
      <c r="W196" s="136"/>
      <c r="X196" s="97"/>
      <c r="Z196" s="647" t="e">
        <f t="shared" si="56"/>
        <v>#VALUE!</v>
      </c>
      <c r="AA196" s="647" t="e">
        <f t="shared" si="57"/>
        <v>#VALUE!</v>
      </c>
      <c r="AB196" s="350">
        <f t="shared" si="58"/>
        <v>30</v>
      </c>
      <c r="AC196" s="67">
        <f t="shared" si="50"/>
        <v>30</v>
      </c>
      <c r="AD196" s="84">
        <f t="shared" si="59"/>
        <v>0</v>
      </c>
      <c r="AJ196" s="405"/>
    </row>
    <row r="197" spans="2:36" ht="12.75" customHeight="1">
      <c r="B197" s="92"/>
      <c r="C197" s="131"/>
      <c r="D197" s="169" t="str">
        <f>IF(op!D85=0,"",op!D85)</f>
        <v/>
      </c>
      <c r="E197" s="169" t="str">
        <f>IF(op!E85=0,"",op!E85)</f>
        <v/>
      </c>
      <c r="F197" s="169" t="str">
        <f>IF(op!F85=0,"",op!F85)</f>
        <v/>
      </c>
      <c r="G197" s="170" t="str">
        <f>IF(op!G85=0,"",op!G85+1)</f>
        <v/>
      </c>
      <c r="H197" s="566" t="str">
        <f>IF(op!H85="","",op!H85)</f>
        <v/>
      </c>
      <c r="I197" s="170" t="str">
        <f>IF(op!I85=0,"",op!I85)</f>
        <v/>
      </c>
      <c r="J197" s="567" t="str">
        <f>IF(E197="","",IF(op!J85&gt;LOOKUP(I197,schaal2011,regels2011),J85-1,IF(op!J85=LOOKUP(I197,schaal2011,regels2011),op!J85,J85+1)))</f>
        <v/>
      </c>
      <c r="K197" s="568" t="str">
        <f>IF(op!K85="","",op!K85)</f>
        <v/>
      </c>
      <c r="L197" s="569" t="str">
        <f>IF(op!L85="","",op!L85)</f>
        <v/>
      </c>
      <c r="M197" s="570" t="str">
        <f t="shared" si="52"/>
        <v/>
      </c>
      <c r="N197" s="155"/>
      <c r="O197" s="571" t="str">
        <f>IF(I197="","",VLOOKUP(I197,tab!$A$119:$V$159,J197+3,FALSE))</f>
        <v/>
      </c>
      <c r="P197" s="572">
        <f t="shared" si="53"/>
        <v>0</v>
      </c>
      <c r="Q197" s="589">
        <f t="shared" si="60"/>
        <v>0.6</v>
      </c>
      <c r="R197" s="573">
        <f t="shared" si="61"/>
        <v>0</v>
      </c>
      <c r="S197" s="332">
        <f>IF(L197="",0,O197*12*L197*(1+tab!$D$108)*tab!$E$110)</f>
        <v>0</v>
      </c>
      <c r="T197" s="580">
        <f t="shared" si="62"/>
        <v>0</v>
      </c>
      <c r="U197" s="243">
        <f t="shared" si="54"/>
        <v>0</v>
      </c>
      <c r="V197" s="332">
        <f t="shared" si="55"/>
        <v>0</v>
      </c>
      <c r="W197" s="136"/>
      <c r="X197" s="97"/>
      <c r="Z197" s="647" t="e">
        <f t="shared" si="56"/>
        <v>#VALUE!</v>
      </c>
      <c r="AA197" s="647" t="e">
        <f t="shared" si="57"/>
        <v>#VALUE!</v>
      </c>
      <c r="AB197" s="350">
        <f t="shared" si="58"/>
        <v>30</v>
      </c>
      <c r="AC197" s="67">
        <f t="shared" si="50"/>
        <v>30</v>
      </c>
      <c r="AD197" s="84">
        <f t="shared" si="59"/>
        <v>0</v>
      </c>
      <c r="AJ197" s="405"/>
    </row>
    <row r="198" spans="2:36" ht="12.75" customHeight="1">
      <c r="B198" s="92"/>
      <c r="C198" s="131"/>
      <c r="D198" s="169" t="str">
        <f>IF(op!D86=0,"",op!D86)</f>
        <v/>
      </c>
      <c r="E198" s="169" t="str">
        <f>IF(op!E86=0,"",op!E86)</f>
        <v/>
      </c>
      <c r="F198" s="169" t="str">
        <f>IF(op!F86=0,"",op!F86)</f>
        <v/>
      </c>
      <c r="G198" s="170" t="str">
        <f>IF(op!G86=0,"",op!G86+1)</f>
        <v/>
      </c>
      <c r="H198" s="566" t="str">
        <f>IF(op!H86="","",op!H86)</f>
        <v/>
      </c>
      <c r="I198" s="170" t="str">
        <f>IF(op!I86=0,"",op!I86)</f>
        <v/>
      </c>
      <c r="J198" s="567" t="str">
        <f>IF(E198="","",IF(op!J86&gt;LOOKUP(I198,schaal2011,regels2011),J86-1,IF(op!J86=LOOKUP(I198,schaal2011,regels2011),op!J86,J86+1)))</f>
        <v/>
      </c>
      <c r="K198" s="568" t="str">
        <f>IF(op!K86="","",op!K86)</f>
        <v/>
      </c>
      <c r="L198" s="569" t="str">
        <f>IF(op!L86="","",op!L86)</f>
        <v/>
      </c>
      <c r="M198" s="570" t="str">
        <f t="shared" si="52"/>
        <v/>
      </c>
      <c r="N198" s="155"/>
      <c r="O198" s="571" t="str">
        <f>IF(I198="","",VLOOKUP(I198,tab!$A$119:$V$159,J198+3,FALSE))</f>
        <v/>
      </c>
      <c r="P198" s="572">
        <f t="shared" si="53"/>
        <v>0</v>
      </c>
      <c r="Q198" s="589">
        <f t="shared" si="60"/>
        <v>0.6</v>
      </c>
      <c r="R198" s="573">
        <f t="shared" si="61"/>
        <v>0</v>
      </c>
      <c r="S198" s="332">
        <f>IF(L198="",0,O198*12*L198*(1+tab!$D$108)*tab!$E$110)</f>
        <v>0</v>
      </c>
      <c r="T198" s="580">
        <f t="shared" si="62"/>
        <v>0</v>
      </c>
      <c r="U198" s="243">
        <f t="shared" si="54"/>
        <v>0</v>
      </c>
      <c r="V198" s="332">
        <f t="shared" si="55"/>
        <v>0</v>
      </c>
      <c r="W198" s="136"/>
      <c r="X198" s="97"/>
      <c r="Z198" s="647" t="e">
        <f t="shared" si="56"/>
        <v>#VALUE!</v>
      </c>
      <c r="AA198" s="647" t="e">
        <f t="shared" si="57"/>
        <v>#VALUE!</v>
      </c>
      <c r="AB198" s="350">
        <f t="shared" si="58"/>
        <v>30</v>
      </c>
      <c r="AC198" s="67">
        <f t="shared" si="50"/>
        <v>30</v>
      </c>
      <c r="AD198" s="84">
        <f t="shared" si="59"/>
        <v>0</v>
      </c>
      <c r="AJ198" s="405"/>
    </row>
    <row r="199" spans="2:36" ht="12.75" customHeight="1">
      <c r="B199" s="92"/>
      <c r="C199" s="131"/>
      <c r="D199" s="169" t="str">
        <f>IF(op!D87=0,"",op!D87)</f>
        <v/>
      </c>
      <c r="E199" s="169" t="str">
        <f>IF(op!E87=0,"",op!E87)</f>
        <v/>
      </c>
      <c r="F199" s="169" t="str">
        <f>IF(op!F87=0,"",op!F87)</f>
        <v/>
      </c>
      <c r="G199" s="170" t="str">
        <f>IF(op!G87=0,"",op!G87+1)</f>
        <v/>
      </c>
      <c r="H199" s="566" t="str">
        <f>IF(op!H87="","",op!H87)</f>
        <v/>
      </c>
      <c r="I199" s="170" t="str">
        <f>IF(op!I87=0,"",op!I87)</f>
        <v/>
      </c>
      <c r="J199" s="567" t="str">
        <f>IF(E199="","",IF(op!J87&gt;LOOKUP(I199,schaal2011,regels2011),J87-1,IF(op!J87=LOOKUP(I199,schaal2011,regels2011),op!J87,J87+1)))</f>
        <v/>
      </c>
      <c r="K199" s="568" t="str">
        <f>IF(op!K87="","",op!K87)</f>
        <v/>
      </c>
      <c r="L199" s="569" t="str">
        <f>IF(op!L87="","",op!L87)</f>
        <v/>
      </c>
      <c r="M199" s="570" t="str">
        <f t="shared" si="52"/>
        <v/>
      </c>
      <c r="N199" s="155"/>
      <c r="O199" s="571" t="str">
        <f>IF(I199="","",VLOOKUP(I199,tab!$A$119:$V$159,J199+3,FALSE))</f>
        <v/>
      </c>
      <c r="P199" s="572">
        <f t="shared" si="53"/>
        <v>0</v>
      </c>
      <c r="Q199" s="589">
        <f t="shared" si="60"/>
        <v>0.6</v>
      </c>
      <c r="R199" s="573">
        <f t="shared" si="61"/>
        <v>0</v>
      </c>
      <c r="S199" s="332">
        <f>IF(L199="",0,O199*12*L199*(1+tab!$D$108)*tab!$E$110)</f>
        <v>0</v>
      </c>
      <c r="T199" s="580">
        <f t="shared" si="62"/>
        <v>0</v>
      </c>
      <c r="U199" s="243">
        <f t="shared" si="54"/>
        <v>0</v>
      </c>
      <c r="V199" s="332">
        <f t="shared" si="55"/>
        <v>0</v>
      </c>
      <c r="W199" s="136"/>
      <c r="X199" s="97"/>
      <c r="Z199" s="647" t="e">
        <f t="shared" si="56"/>
        <v>#VALUE!</v>
      </c>
      <c r="AA199" s="647" t="e">
        <f t="shared" si="57"/>
        <v>#VALUE!</v>
      </c>
      <c r="AB199" s="350">
        <f t="shared" si="58"/>
        <v>30</v>
      </c>
      <c r="AC199" s="67">
        <f t="shared" si="50"/>
        <v>30</v>
      </c>
      <c r="AD199" s="84">
        <f t="shared" si="59"/>
        <v>0</v>
      </c>
      <c r="AJ199" s="405"/>
    </row>
    <row r="200" spans="2:36" ht="12.75" customHeight="1">
      <c r="B200" s="92"/>
      <c r="C200" s="131"/>
      <c r="D200" s="169" t="str">
        <f>IF(op!D88=0,"",op!D88)</f>
        <v/>
      </c>
      <c r="E200" s="169" t="str">
        <f>IF(op!E88=0,"",op!E88)</f>
        <v/>
      </c>
      <c r="F200" s="169" t="str">
        <f>IF(op!F88=0,"",op!F88)</f>
        <v/>
      </c>
      <c r="G200" s="170" t="str">
        <f>IF(op!G88=0,"",op!G88+1)</f>
        <v/>
      </c>
      <c r="H200" s="566" t="str">
        <f>IF(op!H88="","",op!H88)</f>
        <v/>
      </c>
      <c r="I200" s="170" t="str">
        <f>IF(op!I88=0,"",op!I88)</f>
        <v/>
      </c>
      <c r="J200" s="567" t="str">
        <f>IF(E200="","",IF(op!J88&gt;LOOKUP(I200,schaal2011,regels2011),J88-1,IF(op!J88=LOOKUP(I200,schaal2011,regels2011),op!J88,J88+1)))</f>
        <v/>
      </c>
      <c r="K200" s="568" t="str">
        <f>IF(op!K88="","",op!K88)</f>
        <v/>
      </c>
      <c r="L200" s="569" t="str">
        <f>IF(op!L88="","",op!L88)</f>
        <v/>
      </c>
      <c r="M200" s="570" t="str">
        <f t="shared" si="52"/>
        <v/>
      </c>
      <c r="N200" s="155"/>
      <c r="O200" s="571" t="str">
        <f>IF(I200="","",VLOOKUP(I200,tab!$A$119:$V$159,J200+3,FALSE))</f>
        <v/>
      </c>
      <c r="P200" s="572">
        <f t="shared" si="53"/>
        <v>0</v>
      </c>
      <c r="Q200" s="589">
        <f t="shared" si="60"/>
        <v>0.6</v>
      </c>
      <c r="R200" s="573">
        <f t="shared" si="61"/>
        <v>0</v>
      </c>
      <c r="S200" s="332">
        <f>IF(L200="",0,O200*12*L200*(1+tab!$D$108)*tab!$E$110)</f>
        <v>0</v>
      </c>
      <c r="T200" s="580">
        <f t="shared" si="62"/>
        <v>0</v>
      </c>
      <c r="U200" s="243">
        <f t="shared" si="54"/>
        <v>0</v>
      </c>
      <c r="V200" s="332">
        <f t="shared" si="55"/>
        <v>0</v>
      </c>
      <c r="W200" s="136"/>
      <c r="X200" s="97"/>
      <c r="Z200" s="647" t="e">
        <f t="shared" si="56"/>
        <v>#VALUE!</v>
      </c>
      <c r="AA200" s="647" t="e">
        <f t="shared" si="57"/>
        <v>#VALUE!</v>
      </c>
      <c r="AB200" s="350">
        <f t="shared" si="58"/>
        <v>30</v>
      </c>
      <c r="AC200" s="67">
        <f t="shared" si="50"/>
        <v>30</v>
      </c>
      <c r="AD200" s="84">
        <f t="shared" si="59"/>
        <v>0</v>
      </c>
      <c r="AJ200" s="405"/>
    </row>
    <row r="201" spans="2:36" ht="12.75" customHeight="1">
      <c r="B201" s="92"/>
      <c r="C201" s="131"/>
      <c r="D201" s="169" t="str">
        <f>IF(op!D89=0,"",op!D89)</f>
        <v/>
      </c>
      <c r="E201" s="169" t="str">
        <f>IF(op!E89=0,"",op!E89)</f>
        <v/>
      </c>
      <c r="F201" s="169" t="str">
        <f>IF(op!F89=0,"",op!F89)</f>
        <v/>
      </c>
      <c r="G201" s="170" t="str">
        <f>IF(op!G89=0,"",op!G89+1)</f>
        <v/>
      </c>
      <c r="H201" s="566" t="str">
        <f>IF(op!H89="","",op!H89)</f>
        <v/>
      </c>
      <c r="I201" s="170" t="str">
        <f>IF(op!I89=0,"",op!I89)</f>
        <v/>
      </c>
      <c r="J201" s="567" t="str">
        <f>IF(E201="","",IF(op!J89&gt;LOOKUP(I201,schaal2011,regels2011),J89-1,IF(op!J89=LOOKUP(I201,schaal2011,regels2011),op!J89,J89+1)))</f>
        <v/>
      </c>
      <c r="K201" s="568" t="str">
        <f>IF(op!K89="","",op!K89)</f>
        <v/>
      </c>
      <c r="L201" s="569" t="str">
        <f>IF(op!L89="","",op!L89)</f>
        <v/>
      </c>
      <c r="M201" s="570" t="str">
        <f t="shared" si="52"/>
        <v/>
      </c>
      <c r="N201" s="155"/>
      <c r="O201" s="571" t="str">
        <f>IF(I201="","",VLOOKUP(I201,tab!$A$119:$V$159,J201+3,FALSE))</f>
        <v/>
      </c>
      <c r="P201" s="572">
        <f t="shared" si="53"/>
        <v>0</v>
      </c>
      <c r="Q201" s="589">
        <f t="shared" si="60"/>
        <v>0.6</v>
      </c>
      <c r="R201" s="573">
        <f t="shared" si="61"/>
        <v>0</v>
      </c>
      <c r="S201" s="332">
        <f>IF(L201="",0,O201*12*L201*(1+tab!$D$108)*tab!$E$110)</f>
        <v>0</v>
      </c>
      <c r="T201" s="580">
        <f t="shared" si="62"/>
        <v>0</v>
      </c>
      <c r="U201" s="243">
        <f t="shared" si="54"/>
        <v>0</v>
      </c>
      <c r="V201" s="332">
        <f t="shared" si="55"/>
        <v>0</v>
      </c>
      <c r="W201" s="136"/>
      <c r="X201" s="97"/>
      <c r="Z201" s="647" t="e">
        <f t="shared" si="56"/>
        <v>#VALUE!</v>
      </c>
      <c r="AA201" s="647" t="e">
        <f t="shared" si="57"/>
        <v>#VALUE!</v>
      </c>
      <c r="AB201" s="350">
        <f t="shared" si="58"/>
        <v>30</v>
      </c>
      <c r="AC201" s="67">
        <f t="shared" si="50"/>
        <v>30</v>
      </c>
      <c r="AD201" s="84">
        <f t="shared" si="59"/>
        <v>0</v>
      </c>
      <c r="AJ201" s="405"/>
    </row>
    <row r="202" spans="2:36" ht="12.75" customHeight="1">
      <c r="B202" s="92"/>
      <c r="C202" s="131"/>
      <c r="D202" s="169" t="str">
        <f>IF(op!D90=0,"",op!D90)</f>
        <v/>
      </c>
      <c r="E202" s="169" t="str">
        <f>IF(op!E90=0,"",op!E90)</f>
        <v/>
      </c>
      <c r="F202" s="169" t="str">
        <f>IF(op!F90=0,"",op!F90)</f>
        <v/>
      </c>
      <c r="G202" s="170" t="str">
        <f>IF(op!G90=0,"",op!G90+1)</f>
        <v/>
      </c>
      <c r="H202" s="566" t="str">
        <f>IF(op!H90="","",op!H90)</f>
        <v/>
      </c>
      <c r="I202" s="170" t="str">
        <f>IF(op!I90=0,"",op!I90)</f>
        <v/>
      </c>
      <c r="J202" s="567" t="str">
        <f>IF(E202="","",IF(op!J90&gt;LOOKUP(I202,schaal2011,regels2011),J90-1,IF(op!J90=LOOKUP(I202,schaal2011,regels2011),op!J90,J90+1)))</f>
        <v/>
      </c>
      <c r="K202" s="568" t="str">
        <f>IF(op!K90="","",op!K90)</f>
        <v/>
      </c>
      <c r="L202" s="569" t="str">
        <f>IF(op!L90="","",op!L90)</f>
        <v/>
      </c>
      <c r="M202" s="570" t="str">
        <f t="shared" si="52"/>
        <v/>
      </c>
      <c r="N202" s="155"/>
      <c r="O202" s="571" t="str">
        <f>IF(I202="","",VLOOKUP(I202,tab!$A$119:$V$159,J202+3,FALSE))</f>
        <v/>
      </c>
      <c r="P202" s="572">
        <f t="shared" si="53"/>
        <v>0</v>
      </c>
      <c r="Q202" s="589">
        <f t="shared" si="60"/>
        <v>0.6</v>
      </c>
      <c r="R202" s="573">
        <f t="shared" si="61"/>
        <v>0</v>
      </c>
      <c r="S202" s="332">
        <f>IF(L202="",0,O202*12*L202*(1+tab!$D$108)*tab!$E$110)</f>
        <v>0</v>
      </c>
      <c r="T202" s="580">
        <f t="shared" si="62"/>
        <v>0</v>
      </c>
      <c r="U202" s="243">
        <f t="shared" si="54"/>
        <v>0</v>
      </c>
      <c r="V202" s="332">
        <f t="shared" si="55"/>
        <v>0</v>
      </c>
      <c r="W202" s="136"/>
      <c r="X202" s="97"/>
      <c r="Z202" s="647" t="e">
        <f t="shared" si="56"/>
        <v>#VALUE!</v>
      </c>
      <c r="AA202" s="647" t="e">
        <f t="shared" si="57"/>
        <v>#VALUE!</v>
      </c>
      <c r="AB202" s="350">
        <f t="shared" si="58"/>
        <v>30</v>
      </c>
      <c r="AC202" s="67">
        <f t="shared" si="50"/>
        <v>30</v>
      </c>
      <c r="AD202" s="84">
        <f t="shared" si="59"/>
        <v>0</v>
      </c>
      <c r="AJ202" s="405"/>
    </row>
    <row r="203" spans="2:36" ht="12.75" customHeight="1">
      <c r="B203" s="92"/>
      <c r="C203" s="131"/>
      <c r="D203" s="169" t="str">
        <f>IF(op!D91=0,"",op!D91)</f>
        <v/>
      </c>
      <c r="E203" s="169" t="str">
        <f>IF(op!E91=0,"",op!E91)</f>
        <v/>
      </c>
      <c r="F203" s="169" t="str">
        <f>IF(op!F91=0,"",op!F91)</f>
        <v/>
      </c>
      <c r="G203" s="170" t="str">
        <f>IF(op!G91=0,"",op!G91+1)</f>
        <v/>
      </c>
      <c r="H203" s="566" t="str">
        <f>IF(op!H91="","",op!H91)</f>
        <v/>
      </c>
      <c r="I203" s="170" t="str">
        <f>IF(op!I91=0,"",op!I91)</f>
        <v/>
      </c>
      <c r="J203" s="567" t="str">
        <f>IF(E203="","",IF(op!J91&gt;LOOKUP(I203,schaal2011,regels2011),J91-1,IF(op!J91=LOOKUP(I203,schaal2011,regels2011),op!J91,J91+1)))</f>
        <v/>
      </c>
      <c r="K203" s="568" t="str">
        <f>IF(op!K91="","",op!K91)</f>
        <v/>
      </c>
      <c r="L203" s="569" t="str">
        <f>IF(op!L91="","",op!L91)</f>
        <v/>
      </c>
      <c r="M203" s="570" t="str">
        <f t="shared" si="52"/>
        <v/>
      </c>
      <c r="N203" s="155"/>
      <c r="O203" s="571" t="str">
        <f>IF(I203="","",VLOOKUP(I203,tab!$A$119:$V$159,J203+3,FALSE))</f>
        <v/>
      </c>
      <c r="P203" s="572">
        <f t="shared" si="53"/>
        <v>0</v>
      </c>
      <c r="Q203" s="589">
        <f t="shared" si="60"/>
        <v>0.6</v>
      </c>
      <c r="R203" s="573">
        <f t="shared" si="61"/>
        <v>0</v>
      </c>
      <c r="S203" s="332">
        <f>IF(L203="",0,O203*12*L203*(1+tab!$D$108)*tab!$E$110)</f>
        <v>0</v>
      </c>
      <c r="T203" s="580">
        <f t="shared" si="62"/>
        <v>0</v>
      </c>
      <c r="U203" s="243">
        <f t="shared" si="54"/>
        <v>0</v>
      </c>
      <c r="V203" s="332">
        <f t="shared" si="55"/>
        <v>0</v>
      </c>
      <c r="W203" s="136"/>
      <c r="X203" s="97"/>
      <c r="Z203" s="647" t="e">
        <f t="shared" si="56"/>
        <v>#VALUE!</v>
      </c>
      <c r="AA203" s="647" t="e">
        <f t="shared" si="57"/>
        <v>#VALUE!</v>
      </c>
      <c r="AB203" s="350">
        <f t="shared" si="58"/>
        <v>30</v>
      </c>
      <c r="AC203" s="67">
        <f t="shared" si="50"/>
        <v>30</v>
      </c>
      <c r="AD203" s="84">
        <f t="shared" si="59"/>
        <v>0</v>
      </c>
      <c r="AJ203" s="405"/>
    </row>
    <row r="204" spans="2:36" ht="12.75" customHeight="1">
      <c r="B204" s="92"/>
      <c r="C204" s="131"/>
      <c r="D204" s="169" t="str">
        <f>IF(op!D92=0,"",op!D92)</f>
        <v/>
      </c>
      <c r="E204" s="169" t="str">
        <f>IF(op!E92=0,"",op!E92)</f>
        <v/>
      </c>
      <c r="F204" s="169" t="str">
        <f>IF(op!F92=0,"",op!F92)</f>
        <v/>
      </c>
      <c r="G204" s="170" t="str">
        <f>IF(op!G92=0,"",op!G92+1)</f>
        <v/>
      </c>
      <c r="H204" s="566" t="str">
        <f>IF(op!H92="","",op!H92)</f>
        <v/>
      </c>
      <c r="I204" s="170" t="str">
        <f>IF(op!I92=0,"",op!I92)</f>
        <v/>
      </c>
      <c r="J204" s="567" t="str">
        <f>IF(E204="","",IF(op!J92&gt;LOOKUP(I204,schaal2011,regels2011),J92-1,IF(op!J92=LOOKUP(I204,schaal2011,regels2011),op!J92,J92+1)))</f>
        <v/>
      </c>
      <c r="K204" s="568" t="str">
        <f>IF(op!K92="","",op!K92)</f>
        <v/>
      </c>
      <c r="L204" s="569" t="str">
        <f>IF(op!L92="","",op!L92)</f>
        <v/>
      </c>
      <c r="M204" s="570" t="str">
        <f t="shared" si="52"/>
        <v/>
      </c>
      <c r="N204" s="155"/>
      <c r="O204" s="571" t="str">
        <f>IF(I204="","",VLOOKUP(I204,tab!$A$119:$V$159,J204+3,FALSE))</f>
        <v/>
      </c>
      <c r="P204" s="572">
        <f t="shared" si="53"/>
        <v>0</v>
      </c>
      <c r="Q204" s="589">
        <f t="shared" si="60"/>
        <v>0.6</v>
      </c>
      <c r="R204" s="573">
        <f t="shared" si="61"/>
        <v>0</v>
      </c>
      <c r="S204" s="332">
        <f>IF(L204="",0,O204*12*L204*(1+tab!$D$108)*tab!$E$110)</f>
        <v>0</v>
      </c>
      <c r="T204" s="580">
        <f t="shared" si="62"/>
        <v>0</v>
      </c>
      <c r="U204" s="243">
        <f t="shared" si="54"/>
        <v>0</v>
      </c>
      <c r="V204" s="332">
        <f t="shared" si="55"/>
        <v>0</v>
      </c>
      <c r="W204" s="136"/>
      <c r="X204" s="97"/>
      <c r="Z204" s="647" t="e">
        <f t="shared" si="56"/>
        <v>#VALUE!</v>
      </c>
      <c r="AA204" s="647" t="e">
        <f t="shared" si="57"/>
        <v>#VALUE!</v>
      </c>
      <c r="AB204" s="350">
        <f t="shared" si="58"/>
        <v>30</v>
      </c>
      <c r="AC204" s="67">
        <f t="shared" si="50"/>
        <v>30</v>
      </c>
      <c r="AD204" s="84">
        <f t="shared" si="59"/>
        <v>0</v>
      </c>
      <c r="AJ204" s="405"/>
    </row>
    <row r="205" spans="2:36" ht="12.75" customHeight="1">
      <c r="B205" s="92"/>
      <c r="C205" s="131"/>
      <c r="D205" s="169" t="str">
        <f>IF(op!D93=0,"",op!D93)</f>
        <v/>
      </c>
      <c r="E205" s="169" t="str">
        <f>IF(op!E93=0,"",op!E93)</f>
        <v/>
      </c>
      <c r="F205" s="169" t="str">
        <f>IF(op!F93=0,"",op!F93)</f>
        <v/>
      </c>
      <c r="G205" s="170" t="str">
        <f>IF(op!G93=0,"",op!G93+1)</f>
        <v/>
      </c>
      <c r="H205" s="566" t="str">
        <f>IF(op!H93="","",op!H93)</f>
        <v/>
      </c>
      <c r="I205" s="170" t="str">
        <f>IF(op!I93=0,"",op!I93)</f>
        <v/>
      </c>
      <c r="J205" s="567" t="str">
        <f>IF(E205="","",IF(op!J93&gt;LOOKUP(I205,schaal2011,regels2011),J93-1,IF(op!J93=LOOKUP(I205,schaal2011,regels2011),op!J93,J93+1)))</f>
        <v/>
      </c>
      <c r="K205" s="568" t="str">
        <f>IF(op!K93="","",op!K93)</f>
        <v/>
      </c>
      <c r="L205" s="569" t="str">
        <f>IF(op!L93="","",op!L93)</f>
        <v/>
      </c>
      <c r="M205" s="570" t="str">
        <f t="shared" si="52"/>
        <v/>
      </c>
      <c r="N205" s="155"/>
      <c r="O205" s="571" t="str">
        <f>IF(I205="","",VLOOKUP(I205,tab!$A$119:$V$159,J205+3,FALSE))</f>
        <v/>
      </c>
      <c r="P205" s="572">
        <f t="shared" si="53"/>
        <v>0</v>
      </c>
      <c r="Q205" s="589">
        <f t="shared" si="60"/>
        <v>0.6</v>
      </c>
      <c r="R205" s="573">
        <f t="shared" si="61"/>
        <v>0</v>
      </c>
      <c r="S205" s="332">
        <f>IF(L205="",0,O205*12*L205*(1+tab!$D$108)*tab!$E$110)</f>
        <v>0</v>
      </c>
      <c r="T205" s="580">
        <f t="shared" si="62"/>
        <v>0</v>
      </c>
      <c r="U205" s="243">
        <f t="shared" si="54"/>
        <v>0</v>
      </c>
      <c r="V205" s="332">
        <f t="shared" si="55"/>
        <v>0</v>
      </c>
      <c r="W205" s="136"/>
      <c r="X205" s="97"/>
      <c r="Z205" s="647" t="e">
        <f t="shared" si="56"/>
        <v>#VALUE!</v>
      </c>
      <c r="AA205" s="647" t="e">
        <f t="shared" si="57"/>
        <v>#VALUE!</v>
      </c>
      <c r="AB205" s="350">
        <f t="shared" si="58"/>
        <v>30</v>
      </c>
      <c r="AC205" s="67">
        <f t="shared" si="50"/>
        <v>30</v>
      </c>
      <c r="AD205" s="84">
        <f t="shared" si="59"/>
        <v>0</v>
      </c>
      <c r="AJ205" s="405"/>
    </row>
    <row r="206" spans="2:36" ht="12.75" customHeight="1">
      <c r="B206" s="92"/>
      <c r="C206" s="131"/>
      <c r="D206" s="169" t="str">
        <f>IF(op!D94=0,"",op!D94)</f>
        <v/>
      </c>
      <c r="E206" s="169" t="str">
        <f>IF(op!E94=0,"",op!E94)</f>
        <v/>
      </c>
      <c r="F206" s="169" t="str">
        <f>IF(op!F94=0,"",op!F94)</f>
        <v/>
      </c>
      <c r="G206" s="170" t="str">
        <f>IF(op!G94=0,"",op!G94+1)</f>
        <v/>
      </c>
      <c r="H206" s="566" t="str">
        <f>IF(op!H94="","",op!H94)</f>
        <v/>
      </c>
      <c r="I206" s="170" t="str">
        <f>IF(op!I94=0,"",op!I94)</f>
        <v/>
      </c>
      <c r="J206" s="567" t="str">
        <f>IF(E206="","",IF(op!J94&gt;LOOKUP(I206,schaal2011,regels2011),J94-1,IF(op!J94=LOOKUP(I206,schaal2011,regels2011),op!J94,J94+1)))</f>
        <v/>
      </c>
      <c r="K206" s="568" t="str">
        <f>IF(op!K94="","",op!K94)</f>
        <v/>
      </c>
      <c r="L206" s="569" t="str">
        <f>IF(op!L94="","",op!L94)</f>
        <v/>
      </c>
      <c r="M206" s="570" t="str">
        <f t="shared" si="52"/>
        <v/>
      </c>
      <c r="N206" s="155"/>
      <c r="O206" s="571" t="str">
        <f>IF(I206="","",VLOOKUP(I206,tab!$A$119:$V$159,J206+3,FALSE))</f>
        <v/>
      </c>
      <c r="P206" s="572">
        <f t="shared" si="53"/>
        <v>0</v>
      </c>
      <c r="Q206" s="589">
        <f t="shared" si="60"/>
        <v>0.6</v>
      </c>
      <c r="R206" s="573">
        <f t="shared" si="61"/>
        <v>0</v>
      </c>
      <c r="S206" s="332">
        <f>IF(L206="",0,O206*12*L206*(1+tab!$D$108)*tab!$E$110)</f>
        <v>0</v>
      </c>
      <c r="T206" s="580">
        <f t="shared" si="62"/>
        <v>0</v>
      </c>
      <c r="U206" s="243">
        <f t="shared" si="54"/>
        <v>0</v>
      </c>
      <c r="V206" s="332">
        <f t="shared" si="55"/>
        <v>0</v>
      </c>
      <c r="W206" s="136"/>
      <c r="X206" s="97"/>
      <c r="Z206" s="647" t="e">
        <f t="shared" si="56"/>
        <v>#VALUE!</v>
      </c>
      <c r="AA206" s="647" t="e">
        <f t="shared" si="57"/>
        <v>#VALUE!</v>
      </c>
      <c r="AB206" s="350">
        <f t="shared" si="58"/>
        <v>30</v>
      </c>
      <c r="AC206" s="67">
        <f t="shared" si="50"/>
        <v>30</v>
      </c>
      <c r="AD206" s="84">
        <f t="shared" si="59"/>
        <v>0</v>
      </c>
      <c r="AJ206" s="405"/>
    </row>
    <row r="207" spans="2:36" ht="12.75" customHeight="1">
      <c r="B207" s="92"/>
      <c r="C207" s="131"/>
      <c r="D207" s="169" t="str">
        <f>IF(op!D95=0,"",op!D95)</f>
        <v/>
      </c>
      <c r="E207" s="169" t="str">
        <f>IF(op!E95=0,"",op!E95)</f>
        <v/>
      </c>
      <c r="F207" s="169" t="str">
        <f>IF(op!F95=0,"",op!F95)</f>
        <v/>
      </c>
      <c r="G207" s="170" t="str">
        <f>IF(op!G95=0,"",op!G95+1)</f>
        <v/>
      </c>
      <c r="H207" s="566" t="str">
        <f>IF(op!H95="","",op!H95)</f>
        <v/>
      </c>
      <c r="I207" s="170" t="str">
        <f>IF(op!I95=0,"",op!I95)</f>
        <v/>
      </c>
      <c r="J207" s="567" t="str">
        <f>IF(E207="","",IF(op!J95&gt;LOOKUP(I207,schaal2011,regels2011),J95-1,IF(op!J95=LOOKUP(I207,schaal2011,regels2011),op!J95,J95+1)))</f>
        <v/>
      </c>
      <c r="K207" s="568" t="str">
        <f>IF(op!K95="","",op!K95)</f>
        <v/>
      </c>
      <c r="L207" s="569" t="str">
        <f>IF(op!L95="","",op!L95)</f>
        <v/>
      </c>
      <c r="M207" s="570" t="str">
        <f t="shared" si="52"/>
        <v/>
      </c>
      <c r="N207" s="155"/>
      <c r="O207" s="571" t="str">
        <f>IF(I207="","",VLOOKUP(I207,tab!$A$119:$V$159,J207+3,FALSE))</f>
        <v/>
      </c>
      <c r="P207" s="572">
        <f t="shared" si="53"/>
        <v>0</v>
      </c>
      <c r="Q207" s="589">
        <f t="shared" si="60"/>
        <v>0.6</v>
      </c>
      <c r="R207" s="573">
        <f t="shared" si="61"/>
        <v>0</v>
      </c>
      <c r="S207" s="332">
        <f>IF(L207="",0,O207*12*L207*(1+tab!$D$108)*tab!$E$110)</f>
        <v>0</v>
      </c>
      <c r="T207" s="580">
        <f t="shared" si="62"/>
        <v>0</v>
      </c>
      <c r="U207" s="243">
        <f t="shared" si="54"/>
        <v>0</v>
      </c>
      <c r="V207" s="332">
        <f t="shared" si="55"/>
        <v>0</v>
      </c>
      <c r="W207" s="136"/>
      <c r="X207" s="97"/>
      <c r="Z207" s="647" t="e">
        <f t="shared" si="56"/>
        <v>#VALUE!</v>
      </c>
      <c r="AA207" s="647" t="e">
        <f t="shared" si="57"/>
        <v>#VALUE!</v>
      </c>
      <c r="AB207" s="350">
        <f t="shared" si="58"/>
        <v>30</v>
      </c>
      <c r="AC207" s="67">
        <f t="shared" si="50"/>
        <v>30</v>
      </c>
      <c r="AD207" s="84">
        <f t="shared" si="59"/>
        <v>0</v>
      </c>
      <c r="AJ207" s="405"/>
    </row>
    <row r="208" spans="2:36" ht="12.75" customHeight="1">
      <c r="B208" s="92"/>
      <c r="C208" s="131"/>
      <c r="D208" s="169" t="str">
        <f>IF(op!D96=0,"",op!D96)</f>
        <v/>
      </c>
      <c r="E208" s="169" t="str">
        <f>IF(op!E96=0,"",op!E96)</f>
        <v/>
      </c>
      <c r="F208" s="169" t="str">
        <f>IF(op!F96=0,"",op!F96)</f>
        <v/>
      </c>
      <c r="G208" s="170" t="str">
        <f>IF(op!G96=0,"",op!G96+1)</f>
        <v/>
      </c>
      <c r="H208" s="566" t="str">
        <f>IF(op!H96="","",op!H96)</f>
        <v/>
      </c>
      <c r="I208" s="170" t="str">
        <f>IF(op!I96=0,"",op!I96)</f>
        <v/>
      </c>
      <c r="J208" s="567" t="str">
        <f>IF(E208="","",IF(op!J96&gt;LOOKUP(I208,schaal2011,regels2011),J96-1,IF(op!J96=LOOKUP(I208,schaal2011,regels2011),op!J96,J96+1)))</f>
        <v/>
      </c>
      <c r="K208" s="568" t="str">
        <f>IF(op!K96="","",op!K96)</f>
        <v/>
      </c>
      <c r="L208" s="569" t="str">
        <f>IF(op!L96="","",op!L96)</f>
        <v/>
      </c>
      <c r="M208" s="570" t="str">
        <f t="shared" si="52"/>
        <v/>
      </c>
      <c r="N208" s="155"/>
      <c r="O208" s="571" t="str">
        <f>IF(I208="","",VLOOKUP(I208,tab!$A$119:$V$159,J208+3,FALSE))</f>
        <v/>
      </c>
      <c r="P208" s="572">
        <f t="shared" si="53"/>
        <v>0</v>
      </c>
      <c r="Q208" s="589">
        <f t="shared" si="60"/>
        <v>0.6</v>
      </c>
      <c r="R208" s="573">
        <f t="shared" si="61"/>
        <v>0</v>
      </c>
      <c r="S208" s="332">
        <f>IF(L208="",0,O208*12*L208*(1+tab!$D$108)*tab!$E$110)</f>
        <v>0</v>
      </c>
      <c r="T208" s="580">
        <f t="shared" si="62"/>
        <v>0</v>
      </c>
      <c r="U208" s="243">
        <f t="shared" si="54"/>
        <v>0</v>
      </c>
      <c r="V208" s="332">
        <f t="shared" si="55"/>
        <v>0</v>
      </c>
      <c r="W208" s="136"/>
      <c r="X208" s="97"/>
      <c r="Z208" s="647" t="e">
        <f t="shared" si="56"/>
        <v>#VALUE!</v>
      </c>
      <c r="AA208" s="647" t="e">
        <f t="shared" si="57"/>
        <v>#VALUE!</v>
      </c>
      <c r="AB208" s="350">
        <f t="shared" si="58"/>
        <v>30</v>
      </c>
      <c r="AC208" s="67">
        <f t="shared" si="50"/>
        <v>30</v>
      </c>
      <c r="AD208" s="84">
        <f t="shared" si="59"/>
        <v>0</v>
      </c>
      <c r="AJ208" s="405"/>
    </row>
    <row r="209" spans="2:36" ht="12.75" customHeight="1">
      <c r="B209" s="92"/>
      <c r="C209" s="131"/>
      <c r="D209" s="169" t="str">
        <f>IF(op!D97=0,"",op!D97)</f>
        <v/>
      </c>
      <c r="E209" s="169" t="str">
        <f>IF(op!E97=0,"",op!E97)</f>
        <v/>
      </c>
      <c r="F209" s="169" t="str">
        <f>IF(op!F97=0,"",op!F97)</f>
        <v/>
      </c>
      <c r="G209" s="170" t="str">
        <f>IF(op!G97=0,"",op!G97+1)</f>
        <v/>
      </c>
      <c r="H209" s="566" t="str">
        <f>IF(op!H97="","",op!H97)</f>
        <v/>
      </c>
      <c r="I209" s="170" t="str">
        <f>IF(op!I97=0,"",op!I97)</f>
        <v/>
      </c>
      <c r="J209" s="567" t="str">
        <f>IF(E209="","",IF(op!J97&gt;LOOKUP(I209,schaal2011,regels2011),J97-1,IF(op!J97=LOOKUP(I209,schaal2011,regels2011),op!J97,J97+1)))</f>
        <v/>
      </c>
      <c r="K209" s="568" t="str">
        <f>IF(op!K97="","",op!K97)</f>
        <v/>
      </c>
      <c r="L209" s="569" t="str">
        <f>IF(op!L97="","",op!L97)</f>
        <v/>
      </c>
      <c r="M209" s="570" t="str">
        <f t="shared" si="52"/>
        <v/>
      </c>
      <c r="N209" s="155"/>
      <c r="O209" s="571" t="str">
        <f>IF(I209="","",VLOOKUP(I209,tab!$A$119:$V$159,J209+3,FALSE))</f>
        <v/>
      </c>
      <c r="P209" s="572">
        <f t="shared" si="53"/>
        <v>0</v>
      </c>
      <c r="Q209" s="589">
        <f t="shared" si="60"/>
        <v>0.6</v>
      </c>
      <c r="R209" s="573">
        <f t="shared" si="61"/>
        <v>0</v>
      </c>
      <c r="S209" s="332">
        <f>IF(L209="",0,O209*12*L209*(1+tab!$D$108)*tab!$E$110)</f>
        <v>0</v>
      </c>
      <c r="T209" s="580">
        <f t="shared" si="62"/>
        <v>0</v>
      </c>
      <c r="U209" s="243">
        <f t="shared" si="54"/>
        <v>0</v>
      </c>
      <c r="V209" s="332">
        <f t="shared" si="55"/>
        <v>0</v>
      </c>
      <c r="W209" s="136"/>
      <c r="X209" s="97"/>
      <c r="Z209" s="647" t="e">
        <f t="shared" si="56"/>
        <v>#VALUE!</v>
      </c>
      <c r="AA209" s="647" t="e">
        <f t="shared" si="57"/>
        <v>#VALUE!</v>
      </c>
      <c r="AB209" s="350">
        <f t="shared" si="58"/>
        <v>30</v>
      </c>
      <c r="AC209" s="67">
        <f t="shared" si="50"/>
        <v>30</v>
      </c>
      <c r="AD209" s="84">
        <f t="shared" si="59"/>
        <v>0</v>
      </c>
      <c r="AJ209" s="405"/>
    </row>
    <row r="210" spans="2:36" ht="12.75" customHeight="1">
      <c r="B210" s="92"/>
      <c r="C210" s="131"/>
      <c r="D210" s="169" t="str">
        <f>IF(op!D98=0,"",op!D98)</f>
        <v/>
      </c>
      <c r="E210" s="169" t="str">
        <f>IF(op!E98=0,"",op!E98)</f>
        <v/>
      </c>
      <c r="F210" s="169" t="str">
        <f>IF(op!F98=0,"",op!F98)</f>
        <v/>
      </c>
      <c r="G210" s="170" t="str">
        <f>IF(op!G98=0,"",op!G98+1)</f>
        <v/>
      </c>
      <c r="H210" s="566" t="str">
        <f>IF(op!H98="","",op!H98)</f>
        <v/>
      </c>
      <c r="I210" s="170" t="str">
        <f>IF(op!I98=0,"",op!I98)</f>
        <v/>
      </c>
      <c r="J210" s="567" t="str">
        <f>IF(E210="","",IF(op!J98&gt;LOOKUP(I210,schaal2011,regels2011),J98-1,IF(op!J98=LOOKUP(I210,schaal2011,regels2011),op!J98,J98+1)))</f>
        <v/>
      </c>
      <c r="K210" s="568" t="str">
        <f>IF(op!K98="","",op!K98)</f>
        <v/>
      </c>
      <c r="L210" s="569" t="str">
        <f>IF(op!L98="","",op!L98)</f>
        <v/>
      </c>
      <c r="M210" s="570" t="str">
        <f t="shared" si="52"/>
        <v/>
      </c>
      <c r="N210" s="155"/>
      <c r="O210" s="571" t="str">
        <f>IF(I210="","",VLOOKUP(I210,tab!$A$119:$V$159,J210+3,FALSE))</f>
        <v/>
      </c>
      <c r="P210" s="572">
        <f t="shared" si="53"/>
        <v>0</v>
      </c>
      <c r="Q210" s="589">
        <f t="shared" si="60"/>
        <v>0.6</v>
      </c>
      <c r="R210" s="573">
        <f t="shared" si="61"/>
        <v>0</v>
      </c>
      <c r="S210" s="332">
        <f>IF(L210="",0,O210*12*L210*(1+tab!$D$108)*tab!$E$110)</f>
        <v>0</v>
      </c>
      <c r="T210" s="580">
        <f t="shared" si="62"/>
        <v>0</v>
      </c>
      <c r="U210" s="243">
        <f t="shared" si="54"/>
        <v>0</v>
      </c>
      <c r="V210" s="332">
        <f t="shared" si="55"/>
        <v>0</v>
      </c>
      <c r="W210" s="136"/>
      <c r="X210" s="97"/>
      <c r="Z210" s="647" t="e">
        <f t="shared" si="56"/>
        <v>#VALUE!</v>
      </c>
      <c r="AA210" s="647" t="e">
        <f t="shared" si="57"/>
        <v>#VALUE!</v>
      </c>
      <c r="AB210" s="350">
        <f t="shared" si="58"/>
        <v>30</v>
      </c>
      <c r="AC210" s="67">
        <f t="shared" si="50"/>
        <v>30</v>
      </c>
      <c r="AD210" s="84">
        <f t="shared" si="59"/>
        <v>0</v>
      </c>
      <c r="AJ210" s="405"/>
    </row>
    <row r="211" spans="2:36" ht="12.75" customHeight="1">
      <c r="B211" s="92"/>
      <c r="C211" s="131"/>
      <c r="D211" s="169" t="str">
        <f>IF(op!D99=0,"",op!D99)</f>
        <v/>
      </c>
      <c r="E211" s="169" t="str">
        <f>IF(op!E99=0,"",op!E99)</f>
        <v/>
      </c>
      <c r="F211" s="169" t="str">
        <f>IF(op!F99=0,"",op!F99)</f>
        <v/>
      </c>
      <c r="G211" s="170" t="str">
        <f>IF(op!G99=0,"",op!G99+1)</f>
        <v/>
      </c>
      <c r="H211" s="566" t="str">
        <f>IF(op!H99="","",op!H99)</f>
        <v/>
      </c>
      <c r="I211" s="170" t="str">
        <f>IF(op!I99=0,"",op!I99)</f>
        <v/>
      </c>
      <c r="J211" s="567" t="str">
        <f>IF(E211="","",IF(op!J99&gt;LOOKUP(I211,schaal2011,regels2011),J99-1,IF(op!J99=LOOKUP(I211,schaal2011,regels2011),op!J99,J99+1)))</f>
        <v/>
      </c>
      <c r="K211" s="568" t="str">
        <f>IF(op!K99="","",op!K99)</f>
        <v/>
      </c>
      <c r="L211" s="569" t="str">
        <f>IF(op!L99="","",op!L99)</f>
        <v/>
      </c>
      <c r="M211" s="570" t="str">
        <f t="shared" si="52"/>
        <v/>
      </c>
      <c r="N211" s="155"/>
      <c r="O211" s="571" t="str">
        <f>IF(I211="","",VLOOKUP(I211,tab!$A$119:$V$159,J211+3,FALSE))</f>
        <v/>
      </c>
      <c r="P211" s="572">
        <f t="shared" si="53"/>
        <v>0</v>
      </c>
      <c r="Q211" s="589">
        <f t="shared" si="60"/>
        <v>0.6</v>
      </c>
      <c r="R211" s="573">
        <f t="shared" si="61"/>
        <v>0</v>
      </c>
      <c r="S211" s="332">
        <f>IF(L211="",0,O211*12*L211*(1+tab!$D$108)*tab!$E$110)</f>
        <v>0</v>
      </c>
      <c r="T211" s="580">
        <f t="shared" si="62"/>
        <v>0</v>
      </c>
      <c r="U211" s="243">
        <f t="shared" si="54"/>
        <v>0</v>
      </c>
      <c r="V211" s="332">
        <f t="shared" si="55"/>
        <v>0</v>
      </c>
      <c r="W211" s="136"/>
      <c r="X211" s="97"/>
      <c r="Z211" s="647" t="e">
        <f t="shared" si="56"/>
        <v>#VALUE!</v>
      </c>
      <c r="AA211" s="647" t="e">
        <f t="shared" si="57"/>
        <v>#VALUE!</v>
      </c>
      <c r="AB211" s="350">
        <f t="shared" si="58"/>
        <v>30</v>
      </c>
      <c r="AC211" s="67">
        <f t="shared" si="50"/>
        <v>30</v>
      </c>
      <c r="AD211" s="84">
        <f t="shared" si="59"/>
        <v>0</v>
      </c>
      <c r="AJ211" s="405"/>
    </row>
    <row r="212" spans="2:36" ht="12.75" customHeight="1">
      <c r="B212" s="92"/>
      <c r="C212" s="131"/>
      <c r="D212" s="169" t="str">
        <f>IF(op!D100=0,"",op!D100)</f>
        <v/>
      </c>
      <c r="E212" s="169" t="str">
        <f>IF(op!E100=0,"",op!E100)</f>
        <v/>
      </c>
      <c r="F212" s="169" t="str">
        <f>IF(op!F100=0,"",op!F100)</f>
        <v/>
      </c>
      <c r="G212" s="170" t="str">
        <f>IF(op!G100=0,"",op!G100+1)</f>
        <v/>
      </c>
      <c r="H212" s="566" t="str">
        <f>IF(op!H100="","",op!H100)</f>
        <v/>
      </c>
      <c r="I212" s="170" t="str">
        <f>IF(op!I100=0,"",op!I100)</f>
        <v/>
      </c>
      <c r="J212" s="567" t="str">
        <f>IF(E212="","",IF(op!J100&gt;LOOKUP(I212,schaal2011,regels2011),J100-1,IF(op!J100=LOOKUP(I212,schaal2011,regels2011),op!J100,J100+1)))</f>
        <v/>
      </c>
      <c r="K212" s="568" t="str">
        <f>IF(op!K100="","",op!K100)</f>
        <v/>
      </c>
      <c r="L212" s="569" t="str">
        <f>IF(op!L100="","",op!L100)</f>
        <v/>
      </c>
      <c r="M212" s="570" t="str">
        <f t="shared" si="52"/>
        <v/>
      </c>
      <c r="N212" s="155"/>
      <c r="O212" s="571" t="str">
        <f>IF(I212="","",VLOOKUP(I212,tab!$A$119:$V$159,J212+3,FALSE))</f>
        <v/>
      </c>
      <c r="P212" s="572">
        <f t="shared" si="53"/>
        <v>0</v>
      </c>
      <c r="Q212" s="589">
        <f t="shared" si="60"/>
        <v>0.6</v>
      </c>
      <c r="R212" s="573">
        <f t="shared" si="61"/>
        <v>0</v>
      </c>
      <c r="S212" s="332">
        <f>IF(L212="",0,O212*12*L212*(1+tab!$D$108)*tab!$E$110)</f>
        <v>0</v>
      </c>
      <c r="T212" s="580">
        <f t="shared" si="62"/>
        <v>0</v>
      </c>
      <c r="U212" s="243">
        <f t="shared" si="54"/>
        <v>0</v>
      </c>
      <c r="V212" s="332">
        <f t="shared" si="55"/>
        <v>0</v>
      </c>
      <c r="W212" s="136"/>
      <c r="X212" s="97"/>
      <c r="Z212" s="647" t="e">
        <f t="shared" si="56"/>
        <v>#VALUE!</v>
      </c>
      <c r="AA212" s="647" t="e">
        <f t="shared" si="57"/>
        <v>#VALUE!</v>
      </c>
      <c r="AB212" s="350">
        <f t="shared" si="58"/>
        <v>30</v>
      </c>
      <c r="AC212" s="67">
        <f t="shared" si="50"/>
        <v>30</v>
      </c>
      <c r="AD212" s="84">
        <f t="shared" si="59"/>
        <v>0</v>
      </c>
      <c r="AJ212" s="405"/>
    </row>
    <row r="213" spans="2:36" ht="12.75" customHeight="1">
      <c r="B213" s="92"/>
      <c r="C213" s="131"/>
      <c r="D213" s="169" t="str">
        <f>IF(op!D101=0,"",op!D101)</f>
        <v/>
      </c>
      <c r="E213" s="169" t="str">
        <f>IF(op!E101=0,"",op!E101)</f>
        <v/>
      </c>
      <c r="F213" s="169" t="str">
        <f>IF(op!F101=0,"",op!F101)</f>
        <v/>
      </c>
      <c r="G213" s="170" t="str">
        <f>IF(op!G101=0,"",op!G101+1)</f>
        <v/>
      </c>
      <c r="H213" s="566" t="str">
        <f>IF(op!H101="","",op!H101)</f>
        <v/>
      </c>
      <c r="I213" s="170" t="str">
        <f>IF(op!I101=0,"",op!I101)</f>
        <v/>
      </c>
      <c r="J213" s="567" t="str">
        <f>IF(E213="","",IF(op!J101&gt;LOOKUP(I213,schaal2011,regels2011),J101-1,IF(op!J101=LOOKUP(I213,schaal2011,regels2011),op!J101,J101+1)))</f>
        <v/>
      </c>
      <c r="K213" s="568" t="str">
        <f>IF(op!K101="","",op!K101)</f>
        <v/>
      </c>
      <c r="L213" s="569" t="str">
        <f>IF(op!L101="","",op!L101)</f>
        <v/>
      </c>
      <c r="M213" s="570" t="str">
        <f t="shared" si="52"/>
        <v/>
      </c>
      <c r="N213" s="155"/>
      <c r="O213" s="571" t="str">
        <f>IF(I213="","",VLOOKUP(I213,tab!$A$119:$V$159,J213+3,FALSE))</f>
        <v/>
      </c>
      <c r="P213" s="572">
        <f t="shared" si="53"/>
        <v>0</v>
      </c>
      <c r="Q213" s="589">
        <f t="shared" si="60"/>
        <v>0.6</v>
      </c>
      <c r="R213" s="573">
        <f t="shared" si="61"/>
        <v>0</v>
      </c>
      <c r="S213" s="332">
        <f>IF(L213="",0,O213*12*L213*(1+tab!$D$108)*tab!$E$110)</f>
        <v>0</v>
      </c>
      <c r="T213" s="580">
        <f t="shared" si="62"/>
        <v>0</v>
      </c>
      <c r="U213" s="243">
        <f t="shared" si="54"/>
        <v>0</v>
      </c>
      <c r="V213" s="332">
        <f t="shared" si="55"/>
        <v>0</v>
      </c>
      <c r="W213" s="136"/>
      <c r="X213" s="97"/>
      <c r="Z213" s="647" t="e">
        <f t="shared" si="56"/>
        <v>#VALUE!</v>
      </c>
      <c r="AA213" s="647" t="e">
        <f t="shared" si="57"/>
        <v>#VALUE!</v>
      </c>
      <c r="AB213" s="350">
        <f t="shared" si="58"/>
        <v>30</v>
      </c>
      <c r="AC213" s="67">
        <f t="shared" si="50"/>
        <v>30</v>
      </c>
      <c r="AD213" s="84">
        <f t="shared" si="59"/>
        <v>0</v>
      </c>
      <c r="AJ213" s="405"/>
    </row>
    <row r="214" spans="2:36" ht="12.75" customHeight="1">
      <c r="B214" s="92"/>
      <c r="C214" s="131"/>
      <c r="D214" s="169" t="str">
        <f>IF(op!D102=0,"",op!D102)</f>
        <v/>
      </c>
      <c r="E214" s="169" t="str">
        <f>IF(op!E102=0,"",op!E102)</f>
        <v/>
      </c>
      <c r="F214" s="169" t="str">
        <f>IF(op!F102=0,"",op!F102)</f>
        <v/>
      </c>
      <c r="G214" s="170" t="str">
        <f>IF(op!G102=0,"",op!G102+1)</f>
        <v/>
      </c>
      <c r="H214" s="566" t="str">
        <f>IF(op!H102="","",op!H102)</f>
        <v/>
      </c>
      <c r="I214" s="170" t="str">
        <f>IF(op!I102=0,"",op!I102)</f>
        <v/>
      </c>
      <c r="J214" s="567" t="str">
        <f>IF(E214="","",IF(op!J102&gt;LOOKUP(I214,schaal2011,regels2011),J102-1,IF(op!J102=LOOKUP(I214,schaal2011,regels2011),op!J102,J102+1)))</f>
        <v/>
      </c>
      <c r="K214" s="568" t="str">
        <f>IF(op!K102="","",op!K102)</f>
        <v/>
      </c>
      <c r="L214" s="569" t="str">
        <f>IF(op!L102="","",op!L102)</f>
        <v/>
      </c>
      <c r="M214" s="570" t="str">
        <f t="shared" si="52"/>
        <v/>
      </c>
      <c r="N214" s="155"/>
      <c r="O214" s="571" t="str">
        <f>IF(I214="","",VLOOKUP(I214,tab!$A$119:$V$159,J214+3,FALSE))</f>
        <v/>
      </c>
      <c r="P214" s="572">
        <f t="shared" si="53"/>
        <v>0</v>
      </c>
      <c r="Q214" s="589">
        <f t="shared" si="60"/>
        <v>0.6</v>
      </c>
      <c r="R214" s="573">
        <f t="shared" si="61"/>
        <v>0</v>
      </c>
      <c r="S214" s="332">
        <f>IF(L214="",0,O214*12*L214*(1+tab!$D$108)*tab!$E$110)</f>
        <v>0</v>
      </c>
      <c r="T214" s="580">
        <f t="shared" si="62"/>
        <v>0</v>
      </c>
      <c r="U214" s="243">
        <f t="shared" si="54"/>
        <v>0</v>
      </c>
      <c r="V214" s="332">
        <f t="shared" si="55"/>
        <v>0</v>
      </c>
      <c r="W214" s="136"/>
      <c r="X214" s="97"/>
      <c r="Z214" s="647" t="e">
        <f t="shared" si="56"/>
        <v>#VALUE!</v>
      </c>
      <c r="AA214" s="647" t="e">
        <f t="shared" si="57"/>
        <v>#VALUE!</v>
      </c>
      <c r="AB214" s="350">
        <f t="shared" si="58"/>
        <v>30</v>
      </c>
      <c r="AC214" s="67">
        <f t="shared" si="50"/>
        <v>30</v>
      </c>
      <c r="AD214" s="84">
        <f t="shared" si="59"/>
        <v>0</v>
      </c>
      <c r="AJ214" s="405"/>
    </row>
    <row r="215" spans="2:36" ht="12.75" customHeight="1">
      <c r="B215" s="92"/>
      <c r="C215" s="131"/>
      <c r="D215" s="169" t="str">
        <f>IF(op!D103=0,"",op!D103)</f>
        <v/>
      </c>
      <c r="E215" s="169" t="str">
        <f>IF(op!E103=0,"",op!E103)</f>
        <v/>
      </c>
      <c r="F215" s="169" t="str">
        <f>IF(op!F103=0,"",op!F103)</f>
        <v/>
      </c>
      <c r="G215" s="170" t="str">
        <f>IF(op!G103=0,"",op!G103+1)</f>
        <v/>
      </c>
      <c r="H215" s="566" t="str">
        <f>IF(op!H103="","",op!H103)</f>
        <v/>
      </c>
      <c r="I215" s="170" t="str">
        <f>IF(op!I103=0,"",op!I103)</f>
        <v/>
      </c>
      <c r="J215" s="567" t="str">
        <f>IF(E215="","",IF(op!J103&gt;LOOKUP(I215,schaal2011,regels2011),J103-1,IF(op!J103=LOOKUP(I215,schaal2011,regels2011),op!J103,J103+1)))</f>
        <v/>
      </c>
      <c r="K215" s="568" t="str">
        <f>IF(op!K103="","",op!K103)</f>
        <v/>
      </c>
      <c r="L215" s="569" t="str">
        <f>IF(op!L103="","",op!L103)</f>
        <v/>
      </c>
      <c r="M215" s="570" t="str">
        <f t="shared" si="52"/>
        <v/>
      </c>
      <c r="N215" s="155"/>
      <c r="O215" s="571" t="str">
        <f>IF(I215="","",VLOOKUP(I215,tab!$A$119:$V$159,J215+3,FALSE))</f>
        <v/>
      </c>
      <c r="P215" s="572">
        <f t="shared" si="53"/>
        <v>0</v>
      </c>
      <c r="Q215" s="589">
        <f t="shared" si="60"/>
        <v>0.6</v>
      </c>
      <c r="R215" s="573">
        <f t="shared" si="61"/>
        <v>0</v>
      </c>
      <c r="S215" s="332">
        <f>IF(L215="",0,O215*12*L215*(1+tab!$D$108)*tab!$E$110)</f>
        <v>0</v>
      </c>
      <c r="T215" s="580">
        <f t="shared" si="62"/>
        <v>0</v>
      </c>
      <c r="U215" s="243">
        <f t="shared" si="54"/>
        <v>0</v>
      </c>
      <c r="V215" s="332">
        <f t="shared" si="55"/>
        <v>0</v>
      </c>
      <c r="W215" s="136"/>
      <c r="X215" s="97"/>
      <c r="Z215" s="647" t="e">
        <f t="shared" si="56"/>
        <v>#VALUE!</v>
      </c>
      <c r="AA215" s="647" t="e">
        <f t="shared" si="57"/>
        <v>#VALUE!</v>
      </c>
      <c r="AB215" s="350">
        <f t="shared" si="58"/>
        <v>30</v>
      </c>
      <c r="AC215" s="67">
        <f t="shared" si="50"/>
        <v>30</v>
      </c>
      <c r="AD215" s="84">
        <f t="shared" si="59"/>
        <v>0</v>
      </c>
      <c r="AJ215" s="405"/>
    </row>
    <row r="216" spans="2:36" ht="12.75" customHeight="1">
      <c r="B216" s="92"/>
      <c r="C216" s="131"/>
      <c r="D216" s="169" t="str">
        <f>IF(op!D104=0,"",op!D104)</f>
        <v/>
      </c>
      <c r="E216" s="169" t="str">
        <f>IF(op!E104=0,"",op!E104)</f>
        <v/>
      </c>
      <c r="F216" s="169" t="str">
        <f>IF(op!F104=0,"",op!F104)</f>
        <v/>
      </c>
      <c r="G216" s="170" t="str">
        <f>IF(op!G104=0,"",op!G104+1)</f>
        <v/>
      </c>
      <c r="H216" s="566" t="str">
        <f>IF(op!H104="","",op!H104)</f>
        <v/>
      </c>
      <c r="I216" s="170" t="str">
        <f>IF(op!I104=0,"",op!I104)</f>
        <v/>
      </c>
      <c r="J216" s="567" t="str">
        <f>IF(E216="","",IF(op!J104&gt;LOOKUP(I216,schaal2011,regels2011),J104-1,IF(op!J104=LOOKUP(I216,schaal2011,regels2011),op!J104,J104+1)))</f>
        <v/>
      </c>
      <c r="K216" s="568" t="str">
        <f>IF(op!K104="","",op!K104)</f>
        <v/>
      </c>
      <c r="L216" s="569" t="str">
        <f>IF(op!L104="","",op!L104)</f>
        <v/>
      </c>
      <c r="M216" s="570" t="str">
        <f t="shared" si="52"/>
        <v/>
      </c>
      <c r="N216" s="155"/>
      <c r="O216" s="571" t="str">
        <f>IF(I216="","",VLOOKUP(I216,tab!$A$119:$V$159,J216+3,FALSE))</f>
        <v/>
      </c>
      <c r="P216" s="572">
        <f t="shared" si="53"/>
        <v>0</v>
      </c>
      <c r="Q216" s="589">
        <f t="shared" si="60"/>
        <v>0.6</v>
      </c>
      <c r="R216" s="573">
        <f t="shared" si="61"/>
        <v>0</v>
      </c>
      <c r="S216" s="332">
        <f>IF(L216="",0,O216*12*L216*(1+tab!$D$108)*tab!$E$110)</f>
        <v>0</v>
      </c>
      <c r="T216" s="580">
        <f t="shared" si="62"/>
        <v>0</v>
      </c>
      <c r="U216" s="243">
        <f t="shared" si="54"/>
        <v>0</v>
      </c>
      <c r="V216" s="332">
        <f t="shared" si="55"/>
        <v>0</v>
      </c>
      <c r="W216" s="136"/>
      <c r="X216" s="97"/>
      <c r="Z216" s="647" t="e">
        <f t="shared" si="56"/>
        <v>#VALUE!</v>
      </c>
      <c r="AA216" s="647" t="e">
        <f t="shared" si="57"/>
        <v>#VALUE!</v>
      </c>
      <c r="AB216" s="350">
        <f t="shared" si="58"/>
        <v>30</v>
      </c>
      <c r="AC216" s="67">
        <f t="shared" si="50"/>
        <v>30</v>
      </c>
      <c r="AD216" s="84">
        <f t="shared" si="59"/>
        <v>0</v>
      </c>
      <c r="AJ216" s="405"/>
    </row>
    <row r="217" spans="2:36" ht="12.75" customHeight="1">
      <c r="B217" s="92"/>
      <c r="C217" s="131"/>
      <c r="D217" s="169" t="str">
        <f>IF(op!D105=0,"",op!D105)</f>
        <v/>
      </c>
      <c r="E217" s="169" t="str">
        <f>IF(op!E105=0,"",op!E105)</f>
        <v/>
      </c>
      <c r="F217" s="169" t="str">
        <f>IF(op!F105=0,"",op!F105)</f>
        <v/>
      </c>
      <c r="G217" s="170" t="str">
        <f>IF(op!G105=0,"",op!G105+1)</f>
        <v/>
      </c>
      <c r="H217" s="566" t="str">
        <f>IF(op!H105="","",op!H105)</f>
        <v/>
      </c>
      <c r="I217" s="170" t="str">
        <f>IF(op!I105=0,"",op!I105)</f>
        <v/>
      </c>
      <c r="J217" s="567" t="str">
        <f>IF(E217="","",IF(op!J105&gt;LOOKUP(I217,schaal2011,regels2011),J105-1,IF(op!J105=LOOKUP(I217,schaal2011,regels2011),op!J105,J105+1)))</f>
        <v/>
      </c>
      <c r="K217" s="568" t="str">
        <f>IF(op!K105="","",op!K105)</f>
        <v/>
      </c>
      <c r="L217" s="569" t="str">
        <f>IF(op!L105="","",op!L105)</f>
        <v/>
      </c>
      <c r="M217" s="570" t="str">
        <f t="shared" si="52"/>
        <v/>
      </c>
      <c r="N217" s="155"/>
      <c r="O217" s="571" t="str">
        <f>IF(I217="","",VLOOKUP(I217,tab!$A$119:$V$159,J217+3,FALSE))</f>
        <v/>
      </c>
      <c r="P217" s="572">
        <f t="shared" si="53"/>
        <v>0</v>
      </c>
      <c r="Q217" s="589">
        <f t="shared" si="60"/>
        <v>0.6</v>
      </c>
      <c r="R217" s="573">
        <f t="shared" si="61"/>
        <v>0</v>
      </c>
      <c r="S217" s="332">
        <f>IF(L217="",0,O217*12*L217*(1+tab!$D$108)*tab!$E$110)</f>
        <v>0</v>
      </c>
      <c r="T217" s="580">
        <f t="shared" si="62"/>
        <v>0</v>
      </c>
      <c r="U217" s="243">
        <f t="shared" si="54"/>
        <v>0</v>
      </c>
      <c r="V217" s="332">
        <f t="shared" si="55"/>
        <v>0</v>
      </c>
      <c r="W217" s="136"/>
      <c r="X217" s="97"/>
      <c r="Z217" s="647" t="e">
        <f t="shared" si="56"/>
        <v>#VALUE!</v>
      </c>
      <c r="AA217" s="647" t="e">
        <f t="shared" si="57"/>
        <v>#VALUE!</v>
      </c>
      <c r="AB217" s="350">
        <f t="shared" si="58"/>
        <v>30</v>
      </c>
      <c r="AC217" s="67">
        <f t="shared" si="50"/>
        <v>30</v>
      </c>
      <c r="AD217" s="84">
        <f t="shared" si="59"/>
        <v>0</v>
      </c>
      <c r="AJ217" s="405"/>
    </row>
    <row r="218" spans="2:36" ht="12.75" customHeight="1">
      <c r="B218" s="92"/>
      <c r="C218" s="131"/>
      <c r="D218" s="169" t="str">
        <f>IF(op!D106=0,"",op!D106)</f>
        <v/>
      </c>
      <c r="E218" s="169" t="str">
        <f>IF(op!E106=0,"",op!E106)</f>
        <v/>
      </c>
      <c r="F218" s="169" t="str">
        <f>IF(op!F106=0,"",op!F106)</f>
        <v/>
      </c>
      <c r="G218" s="170" t="str">
        <f>IF(op!G106=0,"",op!G106+1)</f>
        <v/>
      </c>
      <c r="H218" s="566" t="str">
        <f>IF(op!H106="","",op!H106)</f>
        <v/>
      </c>
      <c r="I218" s="170" t="str">
        <f>IF(op!I106=0,"",op!I106)</f>
        <v/>
      </c>
      <c r="J218" s="567" t="str">
        <f>IF(E218="","",IF(op!J106&gt;LOOKUP(I218,schaal2011,regels2011),J106-1,IF(op!J106=LOOKUP(I218,schaal2011,regels2011),op!J106,J106+1)))</f>
        <v/>
      </c>
      <c r="K218" s="568" t="str">
        <f>IF(op!K106="","",op!K106)</f>
        <v/>
      </c>
      <c r="L218" s="569" t="str">
        <f>IF(op!L106="","",op!L106)</f>
        <v/>
      </c>
      <c r="M218" s="570" t="str">
        <f t="shared" si="52"/>
        <v/>
      </c>
      <c r="N218" s="155"/>
      <c r="O218" s="571" t="str">
        <f>IF(I218="","",VLOOKUP(I218,tab!$A$119:$V$159,J218+3,FALSE))</f>
        <v/>
      </c>
      <c r="P218" s="572">
        <f t="shared" si="53"/>
        <v>0</v>
      </c>
      <c r="Q218" s="589">
        <f t="shared" si="60"/>
        <v>0.6</v>
      </c>
      <c r="R218" s="573">
        <f t="shared" si="61"/>
        <v>0</v>
      </c>
      <c r="S218" s="332">
        <f>IF(L218="",0,O218*12*L218*(1+tab!$D$108)*tab!$E$110)</f>
        <v>0</v>
      </c>
      <c r="T218" s="580">
        <f t="shared" si="62"/>
        <v>0</v>
      </c>
      <c r="U218" s="243">
        <f t="shared" si="54"/>
        <v>0</v>
      </c>
      <c r="V218" s="332">
        <f t="shared" si="55"/>
        <v>0</v>
      </c>
      <c r="W218" s="136"/>
      <c r="X218" s="97"/>
      <c r="Z218" s="647" t="e">
        <f t="shared" si="56"/>
        <v>#VALUE!</v>
      </c>
      <c r="AA218" s="647" t="e">
        <f t="shared" si="57"/>
        <v>#VALUE!</v>
      </c>
      <c r="AB218" s="350">
        <f t="shared" si="58"/>
        <v>30</v>
      </c>
      <c r="AC218" s="67">
        <f t="shared" si="50"/>
        <v>30</v>
      </c>
      <c r="AD218" s="84">
        <f t="shared" si="59"/>
        <v>0</v>
      </c>
      <c r="AJ218" s="405"/>
    </row>
    <row r="219" spans="2:36" ht="12.75" customHeight="1">
      <c r="B219" s="92"/>
      <c r="C219" s="131"/>
      <c r="D219" s="169" t="str">
        <f>IF(op!D107=0,"",op!D107)</f>
        <v/>
      </c>
      <c r="E219" s="169" t="str">
        <f>IF(op!E107=0,"",op!E107)</f>
        <v/>
      </c>
      <c r="F219" s="169" t="str">
        <f>IF(op!F107=0,"",op!F107)</f>
        <v/>
      </c>
      <c r="G219" s="170" t="str">
        <f>IF(op!G107=0,"",op!G107+1)</f>
        <v/>
      </c>
      <c r="H219" s="566" t="str">
        <f>IF(op!H107="","",op!H107)</f>
        <v/>
      </c>
      <c r="I219" s="170" t="str">
        <f>IF(op!I107=0,"",op!I107)</f>
        <v/>
      </c>
      <c r="J219" s="567" t="str">
        <f>IF(E219="","",IF(op!J107&gt;LOOKUP(I219,schaal2011,regels2011),J107-1,IF(op!J107=LOOKUP(I219,schaal2011,regels2011),op!J107,J107+1)))</f>
        <v/>
      </c>
      <c r="K219" s="568" t="str">
        <f>IF(op!K107="","",op!K107)</f>
        <v/>
      </c>
      <c r="L219" s="569" t="str">
        <f>IF(op!L107="","",op!L107)</f>
        <v/>
      </c>
      <c r="M219" s="570" t="str">
        <f t="shared" si="52"/>
        <v/>
      </c>
      <c r="N219" s="155"/>
      <c r="O219" s="571" t="str">
        <f>IF(I219="","",VLOOKUP(I219,tab!$A$119:$V$159,J219+3,FALSE))</f>
        <v/>
      </c>
      <c r="P219" s="572">
        <f t="shared" si="53"/>
        <v>0</v>
      </c>
      <c r="Q219" s="589">
        <f t="shared" si="60"/>
        <v>0.6</v>
      </c>
      <c r="R219" s="573">
        <f t="shared" si="61"/>
        <v>0</v>
      </c>
      <c r="S219" s="332">
        <f>IF(L219="",0,O219*12*L219*(1+tab!$D$108)*tab!$E$110)</f>
        <v>0</v>
      </c>
      <c r="T219" s="580">
        <f t="shared" si="62"/>
        <v>0</v>
      </c>
      <c r="U219" s="243">
        <f t="shared" si="54"/>
        <v>0</v>
      </c>
      <c r="V219" s="332">
        <f t="shared" si="55"/>
        <v>0</v>
      </c>
      <c r="W219" s="136"/>
      <c r="X219" s="97"/>
      <c r="Z219" s="647" t="e">
        <f t="shared" si="56"/>
        <v>#VALUE!</v>
      </c>
      <c r="AA219" s="647" t="e">
        <f t="shared" si="57"/>
        <v>#VALUE!</v>
      </c>
      <c r="AB219" s="350">
        <f t="shared" si="58"/>
        <v>30</v>
      </c>
      <c r="AC219" s="67">
        <f t="shared" si="50"/>
        <v>30</v>
      </c>
      <c r="AD219" s="84">
        <f t="shared" si="59"/>
        <v>0</v>
      </c>
      <c r="AJ219" s="405"/>
    </row>
    <row r="220" spans="2:36" ht="12.75" customHeight="1">
      <c r="B220" s="92"/>
      <c r="C220" s="131"/>
      <c r="D220" s="169" t="str">
        <f>IF(op!D108=0,"",op!D108)</f>
        <v/>
      </c>
      <c r="E220" s="169" t="str">
        <f>IF(op!E108=0,"",op!E108)</f>
        <v/>
      </c>
      <c r="F220" s="169" t="str">
        <f>IF(op!F108=0,"",op!F108)</f>
        <v/>
      </c>
      <c r="G220" s="170" t="str">
        <f>IF(op!G108=0,"",op!G108+1)</f>
        <v/>
      </c>
      <c r="H220" s="566" t="str">
        <f>IF(op!H108="","",op!H108)</f>
        <v/>
      </c>
      <c r="I220" s="170" t="str">
        <f>IF(op!I108=0,"",op!I108)</f>
        <v/>
      </c>
      <c r="J220" s="567" t="str">
        <f>IF(E220="","",IF(op!J108&gt;LOOKUP(I220,schaal2011,regels2011),J108-1,IF(op!J108=LOOKUP(I220,schaal2011,regels2011),op!J108,J108+1)))</f>
        <v/>
      </c>
      <c r="K220" s="568" t="str">
        <f>IF(op!K108="","",op!K108)</f>
        <v/>
      </c>
      <c r="L220" s="569" t="str">
        <f>IF(op!L108="","",op!L108)</f>
        <v/>
      </c>
      <c r="M220" s="570" t="str">
        <f t="shared" si="52"/>
        <v/>
      </c>
      <c r="N220" s="155"/>
      <c r="O220" s="571" t="str">
        <f>IF(I220="","",VLOOKUP(I220,tab!$A$119:$V$159,J220+3,FALSE))</f>
        <v/>
      </c>
      <c r="P220" s="572">
        <f t="shared" si="53"/>
        <v>0</v>
      </c>
      <c r="Q220" s="589">
        <f t="shared" si="60"/>
        <v>0.6</v>
      </c>
      <c r="R220" s="573">
        <f t="shared" si="61"/>
        <v>0</v>
      </c>
      <c r="S220" s="332">
        <f>IF(L220="",0,O220*12*L220*(1+tab!$D$108)*tab!$E$110)</f>
        <v>0</v>
      </c>
      <c r="T220" s="580">
        <f t="shared" si="62"/>
        <v>0</v>
      </c>
      <c r="U220" s="243">
        <f t="shared" si="54"/>
        <v>0</v>
      </c>
      <c r="V220" s="332">
        <f t="shared" si="55"/>
        <v>0</v>
      </c>
      <c r="W220" s="136"/>
      <c r="X220" s="97"/>
      <c r="Z220" s="647" t="e">
        <f t="shared" si="56"/>
        <v>#VALUE!</v>
      </c>
      <c r="AA220" s="647" t="e">
        <f t="shared" si="57"/>
        <v>#VALUE!</v>
      </c>
      <c r="AB220" s="350">
        <f t="shared" si="58"/>
        <v>30</v>
      </c>
      <c r="AC220" s="67">
        <f t="shared" si="50"/>
        <v>30</v>
      </c>
      <c r="AD220" s="84">
        <f t="shared" si="59"/>
        <v>0</v>
      </c>
      <c r="AJ220" s="405"/>
    </row>
    <row r="221" spans="2:36" ht="12.75" customHeight="1">
      <c r="B221" s="92"/>
      <c r="C221" s="131"/>
      <c r="D221" s="169" t="str">
        <f>IF(op!D109=0,"",op!D109)</f>
        <v/>
      </c>
      <c r="E221" s="169" t="str">
        <f>IF(op!E109=0,"",op!E109)</f>
        <v/>
      </c>
      <c r="F221" s="169" t="str">
        <f>IF(op!F109=0,"",op!F109)</f>
        <v/>
      </c>
      <c r="G221" s="170" t="str">
        <f>IF(op!G109=0,"",op!G109+1)</f>
        <v/>
      </c>
      <c r="H221" s="566" t="str">
        <f>IF(op!H109="","",op!H109)</f>
        <v/>
      </c>
      <c r="I221" s="170" t="str">
        <f>IF(op!I109=0,"",op!I109)</f>
        <v/>
      </c>
      <c r="J221" s="567" t="str">
        <f>IF(E221="","",IF(op!J109&gt;LOOKUP(I221,schaal2011,regels2011),J109-1,IF(op!J109=LOOKUP(I221,schaal2011,regels2011),op!J109,J109+1)))</f>
        <v/>
      </c>
      <c r="K221" s="568" t="str">
        <f>IF(op!K109="","",op!K109)</f>
        <v/>
      </c>
      <c r="L221" s="569" t="str">
        <f>IF(op!L109="","",op!L109)</f>
        <v/>
      </c>
      <c r="M221" s="570" t="str">
        <f t="shared" si="52"/>
        <v/>
      </c>
      <c r="N221" s="155"/>
      <c r="O221" s="571" t="str">
        <f>IF(I221="","",VLOOKUP(I221,tab!$A$119:$V$159,J221+3,FALSE))</f>
        <v/>
      </c>
      <c r="P221" s="572">
        <f t="shared" si="53"/>
        <v>0</v>
      </c>
      <c r="Q221" s="589">
        <f t="shared" si="60"/>
        <v>0.6</v>
      </c>
      <c r="R221" s="573">
        <f t="shared" si="61"/>
        <v>0</v>
      </c>
      <c r="S221" s="332">
        <f>IF(L221="",0,O221*12*L221*(1+tab!$D$108)*tab!$E$110)</f>
        <v>0</v>
      </c>
      <c r="T221" s="580">
        <f t="shared" si="62"/>
        <v>0</v>
      </c>
      <c r="U221" s="243">
        <f t="shared" si="54"/>
        <v>0</v>
      </c>
      <c r="V221" s="332">
        <f t="shared" si="55"/>
        <v>0</v>
      </c>
      <c r="W221" s="136"/>
      <c r="X221" s="97"/>
      <c r="Z221" s="647" t="e">
        <f t="shared" si="56"/>
        <v>#VALUE!</v>
      </c>
      <c r="AA221" s="647" t="e">
        <f t="shared" si="57"/>
        <v>#VALUE!</v>
      </c>
      <c r="AB221" s="350">
        <f t="shared" si="58"/>
        <v>30</v>
      </c>
      <c r="AC221" s="67">
        <f t="shared" si="50"/>
        <v>30</v>
      </c>
      <c r="AD221" s="84">
        <f t="shared" si="59"/>
        <v>0</v>
      </c>
      <c r="AJ221" s="405"/>
    </row>
    <row r="222" spans="2:36" ht="12.75" customHeight="1">
      <c r="B222" s="92"/>
      <c r="C222" s="131"/>
      <c r="D222" s="169" t="str">
        <f>IF(op!D110=0,"",op!D110)</f>
        <v/>
      </c>
      <c r="E222" s="169" t="str">
        <f>IF(op!E110=0,"",op!E110)</f>
        <v/>
      </c>
      <c r="F222" s="169" t="str">
        <f>IF(op!F110=0,"",op!F110)</f>
        <v/>
      </c>
      <c r="G222" s="170" t="str">
        <f>IF(op!G110=0,"",op!G110+1)</f>
        <v/>
      </c>
      <c r="H222" s="566" t="str">
        <f>IF(op!H110="","",op!H110)</f>
        <v/>
      </c>
      <c r="I222" s="170" t="str">
        <f>IF(op!I110=0,"",op!I110)</f>
        <v/>
      </c>
      <c r="J222" s="567" t="str">
        <f>IF(E222="","",IF(op!J110&gt;LOOKUP(I222,schaal2011,regels2011),J110-1,IF(op!J110=LOOKUP(I222,schaal2011,regels2011),op!J110,J110+1)))</f>
        <v/>
      </c>
      <c r="K222" s="568" t="str">
        <f>IF(op!K110="","",op!K110)</f>
        <v/>
      </c>
      <c r="L222" s="569" t="str">
        <f>IF(op!L65="","",op!L65)</f>
        <v/>
      </c>
      <c r="M222" s="570" t="str">
        <f t="shared" ref="M222:M227" si="63">(IF(L222="",(K222),(K222)-L222))</f>
        <v/>
      </c>
      <c r="N222" s="155"/>
      <c r="O222" s="571" t="str">
        <f>IF(I222="","",VLOOKUP(I222,tab!$A$119:$V$159,J222+3,FALSE))</f>
        <v/>
      </c>
      <c r="P222" s="572">
        <f t="shared" si="53"/>
        <v>0</v>
      </c>
      <c r="Q222" s="589">
        <f t="shared" si="60"/>
        <v>0.6</v>
      </c>
      <c r="R222" s="573">
        <f t="shared" si="61"/>
        <v>0</v>
      </c>
      <c r="S222" s="332">
        <f>IF(L222="",0,O222*12*L222*(1+tab!$D$108)*tab!$E$110)</f>
        <v>0</v>
      </c>
      <c r="T222" s="580">
        <f t="shared" si="62"/>
        <v>0</v>
      </c>
      <c r="U222" s="243">
        <f t="shared" si="54"/>
        <v>0</v>
      </c>
      <c r="V222" s="332">
        <f t="shared" si="55"/>
        <v>0</v>
      </c>
      <c r="W222" s="136"/>
      <c r="X222" s="97"/>
      <c r="Z222" s="647" t="e">
        <f t="shared" si="56"/>
        <v>#VALUE!</v>
      </c>
      <c r="AA222" s="647" t="e">
        <f t="shared" si="57"/>
        <v>#VALUE!</v>
      </c>
      <c r="AB222" s="350">
        <f t="shared" si="58"/>
        <v>30</v>
      </c>
      <c r="AC222" s="67">
        <f t="shared" si="50"/>
        <v>30</v>
      </c>
      <c r="AD222" s="84">
        <f t="shared" si="59"/>
        <v>0</v>
      </c>
      <c r="AJ222" s="405"/>
    </row>
    <row r="223" spans="2:36" ht="12.75" customHeight="1">
      <c r="B223" s="92"/>
      <c r="C223" s="131"/>
      <c r="D223" s="169" t="str">
        <f>IF(op!D111=0,"",op!D111)</f>
        <v/>
      </c>
      <c r="E223" s="169" t="str">
        <f>IF(op!E111=0,"",op!E111)</f>
        <v/>
      </c>
      <c r="F223" s="169" t="str">
        <f>IF(op!F111=0,"",op!F111)</f>
        <v/>
      </c>
      <c r="G223" s="170" t="str">
        <f>IF(op!G111=0,"",op!G111+1)</f>
        <v/>
      </c>
      <c r="H223" s="566" t="str">
        <f>IF(op!H111="","",op!H111)</f>
        <v/>
      </c>
      <c r="I223" s="170" t="str">
        <f>IF(op!I111=0,"",op!I111)</f>
        <v/>
      </c>
      <c r="J223" s="567" t="str">
        <f>IF(E223="","",IF(op!J111&gt;LOOKUP(I223,schaal2011,regels2011),J111-1,IF(op!J111=LOOKUP(I223,schaal2011,regels2011),op!J111,J111+1)))</f>
        <v/>
      </c>
      <c r="K223" s="568" t="str">
        <f>IF(op!K111="","",op!K111)</f>
        <v/>
      </c>
      <c r="L223" s="569" t="str">
        <f>IF(op!L111="","",op!L111)</f>
        <v/>
      </c>
      <c r="M223" s="570" t="str">
        <f t="shared" si="63"/>
        <v/>
      </c>
      <c r="N223" s="155"/>
      <c r="O223" s="571" t="str">
        <f>IF(I223="","",VLOOKUP(I223,tab!$A$119:$V$159,J223+3,FALSE))</f>
        <v/>
      </c>
      <c r="P223" s="572">
        <f t="shared" si="53"/>
        <v>0</v>
      </c>
      <c r="Q223" s="589">
        <f t="shared" si="60"/>
        <v>0.6</v>
      </c>
      <c r="R223" s="573">
        <f t="shared" si="61"/>
        <v>0</v>
      </c>
      <c r="S223" s="332">
        <f>IF(L223="",0,O223*12*L223*(1+tab!$D$108)*tab!$E$110)</f>
        <v>0</v>
      </c>
      <c r="T223" s="580">
        <f t="shared" si="62"/>
        <v>0</v>
      </c>
      <c r="U223" s="243">
        <f t="shared" si="54"/>
        <v>0</v>
      </c>
      <c r="V223" s="332">
        <f t="shared" si="55"/>
        <v>0</v>
      </c>
      <c r="W223" s="136"/>
      <c r="X223" s="97"/>
      <c r="Z223" s="647" t="e">
        <f t="shared" si="56"/>
        <v>#VALUE!</v>
      </c>
      <c r="AA223" s="647" t="e">
        <f t="shared" si="57"/>
        <v>#VALUE!</v>
      </c>
      <c r="AB223" s="350">
        <f t="shared" si="58"/>
        <v>30</v>
      </c>
      <c r="AC223" s="67">
        <f t="shared" si="50"/>
        <v>30</v>
      </c>
      <c r="AD223" s="84">
        <f t="shared" si="59"/>
        <v>0</v>
      </c>
      <c r="AJ223" s="405"/>
    </row>
    <row r="224" spans="2:36" ht="12.75" customHeight="1">
      <c r="B224" s="92"/>
      <c r="C224" s="131"/>
      <c r="D224" s="169" t="str">
        <f>IF(op!D112=0,"",op!D112)</f>
        <v/>
      </c>
      <c r="E224" s="169" t="str">
        <f>IF(op!E112=0,"",op!E112)</f>
        <v/>
      </c>
      <c r="F224" s="169" t="str">
        <f>IF(op!F112=0,"",op!F112)</f>
        <v/>
      </c>
      <c r="G224" s="170" t="str">
        <f>IF(op!G112=0,"",op!G112+1)</f>
        <v/>
      </c>
      <c r="H224" s="566" t="str">
        <f>IF(op!H112="","",op!H112)</f>
        <v/>
      </c>
      <c r="I224" s="170" t="str">
        <f>IF(op!I112=0,"",op!I112)</f>
        <v/>
      </c>
      <c r="J224" s="567" t="str">
        <f>IF(E224="","",IF(op!J112&gt;LOOKUP(I224,schaal2011,regels2011),J112-1,IF(op!J112=LOOKUP(I224,schaal2011,regels2011),op!J112,J112+1)))</f>
        <v/>
      </c>
      <c r="K224" s="568" t="str">
        <f>IF(op!K112="","",op!K112)</f>
        <v/>
      </c>
      <c r="L224" s="569" t="str">
        <f>IF(op!L112="","",op!L112)</f>
        <v/>
      </c>
      <c r="M224" s="570" t="str">
        <f t="shared" si="63"/>
        <v/>
      </c>
      <c r="N224" s="155"/>
      <c r="O224" s="571" t="str">
        <f>IF(I224="","",VLOOKUP(I224,tab!$A$119:$V$159,J224+3,FALSE))</f>
        <v/>
      </c>
      <c r="P224" s="572">
        <f>IF(E224="",0,(O224*M224*12))</f>
        <v>0</v>
      </c>
      <c r="Q224" s="589">
        <f t="shared" si="60"/>
        <v>0.6</v>
      </c>
      <c r="R224" s="573">
        <f t="shared" si="61"/>
        <v>0</v>
      </c>
      <c r="S224" s="332">
        <f>IF(L224="",0,O224*12*L224*(1+tab!$D$108)*tab!$E$110)</f>
        <v>0</v>
      </c>
      <c r="T224" s="580">
        <f t="shared" si="62"/>
        <v>0</v>
      </c>
      <c r="U224" s="243">
        <f t="shared" si="54"/>
        <v>0</v>
      </c>
      <c r="V224" s="332">
        <f>IF(U224=25,(O224*1.08*(K224)/2),IF(U224=40,(O224*1.08*(K224)),IF(U224=0,0)))</f>
        <v>0</v>
      </c>
      <c r="W224" s="136"/>
      <c r="X224" s="97"/>
      <c r="Z224" s="647" t="e">
        <f t="shared" si="56"/>
        <v>#VALUE!</v>
      </c>
      <c r="AA224" s="647" t="e">
        <f>YEAR($E$121)-YEAR(H224)-Z224</f>
        <v>#VALUE!</v>
      </c>
      <c r="AB224" s="350">
        <f>IF((H224=""),30,AA224)</f>
        <v>30</v>
      </c>
      <c r="AC224" s="67">
        <f t="shared" si="50"/>
        <v>30</v>
      </c>
      <c r="AD224" s="84">
        <f>(AC224*(SUM(K224:K224)))</f>
        <v>0</v>
      </c>
      <c r="AJ224" s="405"/>
    </row>
    <row r="225" spans="1:41" ht="12.75" customHeight="1">
      <c r="B225" s="92"/>
      <c r="C225" s="131"/>
      <c r="D225" s="169" t="str">
        <f>IF(op!D113=0,"",op!D113)</f>
        <v/>
      </c>
      <c r="E225" s="169" t="str">
        <f>IF(op!E113=0,"",op!E113)</f>
        <v/>
      </c>
      <c r="F225" s="169" t="str">
        <f>IF(op!F113=0,"",op!F113)</f>
        <v/>
      </c>
      <c r="G225" s="170" t="str">
        <f>IF(op!G113=0,"",op!G113+1)</f>
        <v/>
      </c>
      <c r="H225" s="566" t="str">
        <f>IF(op!H113="","",op!H113)</f>
        <v/>
      </c>
      <c r="I225" s="170" t="str">
        <f>IF(op!I113=0,"",op!I113)</f>
        <v/>
      </c>
      <c r="J225" s="567" t="str">
        <f>IF(E225="","",IF(op!J113&gt;LOOKUP(I225,schaal2011,regels2011),J113-1,IF(op!J113=LOOKUP(I225,schaal2011,regels2011),op!J113,J113+1)))</f>
        <v/>
      </c>
      <c r="K225" s="568" t="str">
        <f>IF(op!K113="","",op!K113)</f>
        <v/>
      </c>
      <c r="L225" s="569" t="str">
        <f>IF(op!L113="","",op!L113)</f>
        <v/>
      </c>
      <c r="M225" s="570" t="str">
        <f t="shared" si="63"/>
        <v/>
      </c>
      <c r="N225" s="155"/>
      <c r="O225" s="571" t="str">
        <f>IF(I225="","",VLOOKUP(I225,tab!$A$119:$V$159,J225+3,FALSE))</f>
        <v/>
      </c>
      <c r="P225" s="572">
        <f>IF(E225="",0,(O225*M225*12))</f>
        <v>0</v>
      </c>
      <c r="Q225" s="589">
        <f t="shared" si="60"/>
        <v>0.6</v>
      </c>
      <c r="R225" s="573">
        <f t="shared" si="61"/>
        <v>0</v>
      </c>
      <c r="S225" s="332">
        <f>IF(L225="",0,O225*12*L225*(1+tab!$D$108)*tab!$E$110)</f>
        <v>0</v>
      </c>
      <c r="T225" s="580">
        <f t="shared" si="62"/>
        <v>0</v>
      </c>
      <c r="U225" s="243">
        <f t="shared" si="54"/>
        <v>0</v>
      </c>
      <c r="V225" s="332">
        <f>IF(U225=25,(O225*1.08*(K225)/2),IF(U225=40,(O225*1.08*(K225)),IF(U225=0,0)))</f>
        <v>0</v>
      </c>
      <c r="W225" s="136"/>
      <c r="X225" s="97"/>
      <c r="Z225" s="647" t="e">
        <f t="shared" si="56"/>
        <v>#VALUE!</v>
      </c>
      <c r="AA225" s="647" t="e">
        <f>YEAR($E$121)-YEAR(H225)-Z225</f>
        <v>#VALUE!</v>
      </c>
      <c r="AB225" s="350">
        <f>IF((H225=""),30,AA225)</f>
        <v>30</v>
      </c>
      <c r="AC225" s="67">
        <f t="shared" si="50"/>
        <v>30</v>
      </c>
      <c r="AD225" s="84">
        <f>(AC225*(SUM(K225:K225)))</f>
        <v>0</v>
      </c>
      <c r="AJ225" s="405"/>
    </row>
    <row r="226" spans="1:41" ht="12.75" customHeight="1">
      <c r="B226" s="92"/>
      <c r="C226" s="131"/>
      <c r="D226" s="169" t="str">
        <f>IF(op!D114=0,"",op!D114)</f>
        <v/>
      </c>
      <c r="E226" s="169" t="str">
        <f>IF(op!E114=0,"",op!E114)</f>
        <v/>
      </c>
      <c r="F226" s="169" t="str">
        <f>IF(op!F114=0,"",op!F114)</f>
        <v/>
      </c>
      <c r="G226" s="170" t="str">
        <f>IF(op!G114=0,"",op!G114+1)</f>
        <v/>
      </c>
      <c r="H226" s="566" t="str">
        <f>IF(op!H114="","",op!H114)</f>
        <v/>
      </c>
      <c r="I226" s="170" t="str">
        <f>IF(op!I114=0,"",op!I114)</f>
        <v/>
      </c>
      <c r="J226" s="567" t="str">
        <f>IF(E226="","",IF(op!J114&gt;LOOKUP(I226,schaal2011,regels2011),J114-1,IF(op!J114=LOOKUP(I226,schaal2011,regels2011),op!J114,J114+1)))</f>
        <v/>
      </c>
      <c r="K226" s="568" t="str">
        <f>IF(op!K114="","",op!K114)</f>
        <v/>
      </c>
      <c r="L226" s="569" t="str">
        <f>IF(op!L114="","",op!L114)</f>
        <v/>
      </c>
      <c r="M226" s="570" t="str">
        <f t="shared" si="63"/>
        <v/>
      </c>
      <c r="N226" s="155"/>
      <c r="O226" s="571" t="str">
        <f>IF(I226="","",VLOOKUP(I226,tab!$A$119:$V$159,J226+3,FALSE))</f>
        <v/>
      </c>
      <c r="P226" s="572">
        <f>IF(E226="",0,(O226*M226*12))</f>
        <v>0</v>
      </c>
      <c r="Q226" s="589">
        <f t="shared" si="60"/>
        <v>0.6</v>
      </c>
      <c r="R226" s="573">
        <f t="shared" si="61"/>
        <v>0</v>
      </c>
      <c r="S226" s="332">
        <f>IF(L226="",0,O226*12*L226*(1+tab!$D$108)*tab!$E$110)</f>
        <v>0</v>
      </c>
      <c r="T226" s="580">
        <f t="shared" si="62"/>
        <v>0</v>
      </c>
      <c r="U226" s="243">
        <f t="shared" si="54"/>
        <v>0</v>
      </c>
      <c r="V226" s="332">
        <f>IF(U226=25,(O226*1.08*(K226)/2),IF(U226=40,(O226*1.08*(K226)),IF(U226=0,0)))</f>
        <v>0</v>
      </c>
      <c r="W226" s="136"/>
      <c r="X226" s="97"/>
      <c r="Z226" s="647" t="e">
        <f t="shared" si="56"/>
        <v>#VALUE!</v>
      </c>
      <c r="AA226" s="647" t="e">
        <f>YEAR($E$121)-YEAR(H226)-Z226</f>
        <v>#VALUE!</v>
      </c>
      <c r="AB226" s="350">
        <f>IF((H226=""),30,AA226)</f>
        <v>30</v>
      </c>
      <c r="AC226" s="67">
        <f t="shared" si="50"/>
        <v>30</v>
      </c>
      <c r="AD226" s="84">
        <f>(AC226*(SUM(K226:K226)))</f>
        <v>0</v>
      </c>
      <c r="AJ226" s="405"/>
    </row>
    <row r="227" spans="1:41">
      <c r="B227" s="92"/>
      <c r="C227" s="131"/>
      <c r="D227" s="169" t="str">
        <f>IF(op!D115=0,"",op!D115)</f>
        <v/>
      </c>
      <c r="E227" s="169" t="str">
        <f>IF(op!E115=0,"",op!E115)</f>
        <v/>
      </c>
      <c r="F227" s="169" t="str">
        <f>IF(op!F115=0,"",op!F115)</f>
        <v/>
      </c>
      <c r="G227" s="170" t="str">
        <f>IF(op!G115=0,"",op!G115+1)</f>
        <v/>
      </c>
      <c r="H227" s="566" t="str">
        <f>IF(op!H115="","",op!H115)</f>
        <v/>
      </c>
      <c r="I227" s="170" t="str">
        <f>IF(op!I115=0,"",op!I115)</f>
        <v/>
      </c>
      <c r="J227" s="567" t="str">
        <f>IF(E227="","",IF(op!J115&gt;LOOKUP(I227,schaal2011,regels2011),J115-1,IF(op!J115=LOOKUP(I227,schaal2011,regels2011),op!J115,J115+1)))</f>
        <v/>
      </c>
      <c r="K227" s="568" t="str">
        <f>IF(op!K115="","",op!K115)</f>
        <v/>
      </c>
      <c r="L227" s="569" t="str">
        <f>IF(op!L115="","",op!L115)</f>
        <v/>
      </c>
      <c r="M227" s="570" t="str">
        <f t="shared" si="63"/>
        <v/>
      </c>
      <c r="N227" s="155"/>
      <c r="O227" s="571" t="str">
        <f>IF(I227="","",VLOOKUP(I227,tab!$A$119:$V$159,J227+3,FALSE))</f>
        <v/>
      </c>
      <c r="P227" s="572">
        <f>IF(E227="",0,(O227*M227*12))</f>
        <v>0</v>
      </c>
      <c r="Q227" s="589">
        <f t="shared" si="60"/>
        <v>0.6</v>
      </c>
      <c r="R227" s="573">
        <f t="shared" si="61"/>
        <v>0</v>
      </c>
      <c r="S227" s="332">
        <f>IF(L227="",0,O227*12*L227*(1+tab!$D$108)*tab!$E$110)</f>
        <v>0</v>
      </c>
      <c r="T227" s="580">
        <f t="shared" si="62"/>
        <v>0</v>
      </c>
      <c r="U227" s="243">
        <f t="shared" si="54"/>
        <v>0</v>
      </c>
      <c r="V227" s="332">
        <f>IF(U227=25,(O227*1.08*(K227)/2),IF(U227=40,(O227*1.08*(K227)),IF(U227=0,0)))</f>
        <v>0</v>
      </c>
      <c r="W227" s="136"/>
      <c r="X227" s="97"/>
      <c r="Z227" s="647" t="e">
        <f t="shared" si="56"/>
        <v>#VALUE!</v>
      </c>
      <c r="AA227" s="647" t="e">
        <f>YEAR($E$121)-YEAR(H227)-Z227</f>
        <v>#VALUE!</v>
      </c>
      <c r="AB227" s="350">
        <f>IF((H227=""),30,AA227)</f>
        <v>30</v>
      </c>
      <c r="AC227" s="67">
        <f t="shared" si="50"/>
        <v>30</v>
      </c>
      <c r="AD227" s="84">
        <f>(AC227*(SUM(K227:K227)))</f>
        <v>0</v>
      </c>
      <c r="AJ227" s="405"/>
    </row>
    <row r="228" spans="1:41">
      <c r="B228" s="92"/>
      <c r="C228" s="131"/>
      <c r="D228" s="319"/>
      <c r="E228" s="139"/>
      <c r="F228" s="319"/>
      <c r="G228" s="319"/>
      <c r="H228" s="556"/>
      <c r="I228" s="139"/>
      <c r="J228" s="625"/>
      <c r="K228" s="575">
        <f>SUM(K128:K227)</f>
        <v>1</v>
      </c>
      <c r="L228" s="575">
        <f>SUM(L128:L227)</f>
        <v>0</v>
      </c>
      <c r="M228" s="575">
        <f>SUM(M128:M227)</f>
        <v>1</v>
      </c>
      <c r="N228" s="319"/>
      <c r="O228" s="309">
        <f t="shared" ref="O228:V228" si="64">SUM(O128:O227)</f>
        <v>3597</v>
      </c>
      <c r="P228" s="309">
        <f t="shared" si="64"/>
        <v>43164</v>
      </c>
      <c r="Q228" s="297"/>
      <c r="R228" s="344">
        <f t="shared" si="64"/>
        <v>25898.399999999998</v>
      </c>
      <c r="S228" s="344">
        <f t="shared" si="64"/>
        <v>0</v>
      </c>
      <c r="T228" s="309">
        <f t="shared" si="64"/>
        <v>69062.399999999994</v>
      </c>
      <c r="U228" s="574">
        <f t="shared" si="64"/>
        <v>0</v>
      </c>
      <c r="V228" s="344">
        <f t="shared" si="64"/>
        <v>0</v>
      </c>
      <c r="W228" s="136"/>
      <c r="X228" s="97"/>
      <c r="Z228" s="86"/>
      <c r="AA228" s="86"/>
      <c r="AJ228" s="405"/>
    </row>
    <row r="229" spans="1:41">
      <c r="B229" s="92"/>
      <c r="C229" s="141"/>
      <c r="D229" s="557"/>
      <c r="E229" s="557"/>
      <c r="F229" s="557"/>
      <c r="G229" s="557"/>
      <c r="H229" s="558"/>
      <c r="I229" s="146"/>
      <c r="J229" s="559"/>
      <c r="K229" s="560"/>
      <c r="L229" s="559"/>
      <c r="M229" s="560"/>
      <c r="N229" s="557"/>
      <c r="O229" s="559"/>
      <c r="P229" s="299"/>
      <c r="Q229" s="299"/>
      <c r="R229" s="299"/>
      <c r="S229" s="562"/>
      <c r="T229" s="299"/>
      <c r="U229" s="563"/>
      <c r="V229" s="562"/>
      <c r="W229" s="147"/>
      <c r="X229" s="97"/>
      <c r="AJ229" s="405"/>
    </row>
    <row r="230" spans="1:41" ht="12.75" customHeight="1">
      <c r="B230" s="113"/>
      <c r="C230" s="114"/>
      <c r="D230" s="489"/>
      <c r="E230" s="489"/>
      <c r="F230" s="489"/>
      <c r="G230" s="489"/>
      <c r="H230" s="490"/>
      <c r="I230" s="118"/>
      <c r="J230" s="491"/>
      <c r="K230" s="493"/>
      <c r="L230" s="491"/>
      <c r="M230" s="493"/>
      <c r="N230" s="489"/>
      <c r="O230" s="491"/>
      <c r="P230" s="266"/>
      <c r="Q230" s="266"/>
      <c r="R230" s="266"/>
      <c r="S230" s="656"/>
      <c r="T230" s="266"/>
      <c r="U230" s="657"/>
      <c r="V230" s="656"/>
      <c r="W230" s="114"/>
      <c r="X230" s="120"/>
    </row>
    <row r="231" spans="1:41" ht="12.75" customHeight="1">
      <c r="I231" s="67"/>
      <c r="J231" s="350"/>
      <c r="M231" s="349"/>
      <c r="N231" s="83"/>
      <c r="O231" s="350"/>
      <c r="P231" s="255"/>
      <c r="Q231" s="255"/>
      <c r="R231" s="255"/>
      <c r="S231" s="399"/>
      <c r="T231" s="255"/>
      <c r="U231" s="400"/>
      <c r="V231" s="399"/>
    </row>
    <row r="232" spans="1:41" ht="12.75" customHeight="1">
      <c r="C232" s="68" t="s">
        <v>290</v>
      </c>
      <c r="E232" s="370" t="str">
        <f>dir!E63</f>
        <v>2014/15</v>
      </c>
      <c r="I232" s="67"/>
      <c r="J232" s="350"/>
      <c r="M232" s="349"/>
      <c r="N232" s="83"/>
      <c r="O232" s="350"/>
      <c r="P232" s="255"/>
      <c r="Q232" s="255"/>
      <c r="R232" s="255"/>
      <c r="S232" s="399"/>
      <c r="T232" s="255"/>
      <c r="U232" s="400"/>
      <c r="V232" s="399"/>
    </row>
    <row r="233" spans="1:41" ht="12.75" customHeight="1">
      <c r="C233" s="68" t="s">
        <v>291</v>
      </c>
      <c r="E233" s="370">
        <f>dir!E64</f>
        <v>41913</v>
      </c>
      <c r="I233" s="67"/>
      <c r="J233" s="350"/>
      <c r="M233" s="349"/>
      <c r="N233" s="83"/>
      <c r="O233" s="350"/>
      <c r="P233" s="255"/>
      <c r="Q233" s="255"/>
      <c r="R233" s="255"/>
      <c r="S233" s="399"/>
      <c r="T233" s="255"/>
      <c r="U233" s="400"/>
      <c r="V233" s="399"/>
    </row>
    <row r="234" spans="1:41" ht="12.75" customHeight="1">
      <c r="D234" s="86"/>
      <c r="E234" s="86"/>
      <c r="F234" s="86"/>
      <c r="G234" s="86"/>
      <c r="H234" s="648"/>
      <c r="I234" s="649"/>
      <c r="J234" s="649"/>
      <c r="K234" s="650"/>
      <c r="L234" s="650"/>
      <c r="M234" s="349"/>
      <c r="N234" s="83"/>
      <c r="O234" s="350"/>
      <c r="P234" s="651"/>
      <c r="Q234" s="651"/>
      <c r="R234" s="651"/>
      <c r="S234" s="651"/>
      <c r="T234" s="651"/>
      <c r="U234" s="652"/>
      <c r="V234" s="651"/>
      <c r="Z234" s="86"/>
      <c r="AA234" s="86"/>
    </row>
    <row r="235" spans="1:41" ht="12.75" customHeight="1">
      <c r="C235" s="124"/>
      <c r="D235" s="514"/>
      <c r="E235" s="515"/>
      <c r="F235" s="516"/>
      <c r="G235" s="129"/>
      <c r="H235" s="517"/>
      <c r="I235" s="518"/>
      <c r="J235" s="518"/>
      <c r="K235" s="519"/>
      <c r="L235" s="518"/>
      <c r="M235" s="520"/>
      <c r="N235" s="127"/>
      <c r="O235" s="521"/>
      <c r="P235" s="127"/>
      <c r="Q235" s="127"/>
      <c r="R235" s="127"/>
      <c r="S235" s="522"/>
      <c r="T235" s="302"/>
      <c r="U235" s="523"/>
      <c r="V235" s="522"/>
      <c r="W235" s="130"/>
      <c r="AE235" s="348"/>
      <c r="AF235" s="348"/>
      <c r="AG235" s="348"/>
      <c r="AH235" s="348"/>
      <c r="AI235" s="349"/>
      <c r="AJ235" s="350"/>
      <c r="AK235" s="351"/>
      <c r="AL235" s="368"/>
      <c r="AM235" s="349"/>
    </row>
    <row r="236" spans="1:41" ht="12.75" customHeight="1">
      <c r="C236" s="659"/>
      <c r="D236" s="1176" t="s">
        <v>292</v>
      </c>
      <c r="E236" s="1177"/>
      <c r="F236" s="1177"/>
      <c r="G236" s="1177"/>
      <c r="H236" s="1177"/>
      <c r="I236" s="1178"/>
      <c r="J236" s="1178"/>
      <c r="K236" s="1178"/>
      <c r="L236" s="1178"/>
      <c r="M236" s="1178"/>
      <c r="N236" s="525"/>
      <c r="O236" s="1176" t="s">
        <v>293</v>
      </c>
      <c r="P236" s="1178"/>
      <c r="Q236" s="1178"/>
      <c r="R236" s="1178"/>
      <c r="S236" s="1178"/>
      <c r="T236" s="1178"/>
      <c r="U236" s="526"/>
      <c r="V236" s="242"/>
      <c r="W236" s="660"/>
      <c r="X236" s="393"/>
      <c r="Y236" s="393"/>
      <c r="Z236" s="67"/>
      <c r="AA236" s="67"/>
      <c r="AD236" s="67"/>
      <c r="AL236" s="68"/>
      <c r="AM236" s="68"/>
      <c r="AN236" s="393"/>
      <c r="AO236" s="393"/>
    </row>
    <row r="237" spans="1:41" ht="12.75" customHeight="1">
      <c r="C237" s="665"/>
      <c r="D237" s="528" t="s">
        <v>541</v>
      </c>
      <c r="E237" s="528" t="s">
        <v>294</v>
      </c>
      <c r="F237" s="528" t="s">
        <v>295</v>
      </c>
      <c r="G237" s="529" t="s">
        <v>296</v>
      </c>
      <c r="H237" s="530" t="s">
        <v>297</v>
      </c>
      <c r="I237" s="529" t="s">
        <v>302</v>
      </c>
      <c r="J237" s="529" t="s">
        <v>303</v>
      </c>
      <c r="K237" s="531" t="s">
        <v>305</v>
      </c>
      <c r="L237" s="532" t="s">
        <v>306</v>
      </c>
      <c r="M237" s="531" t="s">
        <v>307</v>
      </c>
      <c r="N237" s="528"/>
      <c r="O237" s="535" t="s">
        <v>304</v>
      </c>
      <c r="P237" s="535" t="s">
        <v>738</v>
      </c>
      <c r="Q237" s="587" t="s">
        <v>739</v>
      </c>
      <c r="R237" s="510"/>
      <c r="S237" s="536" t="s">
        <v>306</v>
      </c>
      <c r="T237" s="576" t="s">
        <v>308</v>
      </c>
      <c r="U237" s="537" t="s">
        <v>309</v>
      </c>
      <c r="V237" s="242" t="s">
        <v>740</v>
      </c>
      <c r="W237" s="666"/>
      <c r="X237" s="394"/>
      <c r="Y237" s="394"/>
      <c r="Z237" s="82" t="s">
        <v>298</v>
      </c>
      <c r="AA237" s="82" t="s">
        <v>299</v>
      </c>
      <c r="AB237" s="82" t="s">
        <v>300</v>
      </c>
      <c r="AC237" s="646" t="s">
        <v>301</v>
      </c>
      <c r="AD237" s="391" t="s">
        <v>178</v>
      </c>
      <c r="AL237" s="68"/>
      <c r="AM237" s="68"/>
      <c r="AN237" s="393"/>
      <c r="AO237" s="394"/>
    </row>
    <row r="238" spans="1:41" s="403" customFormat="1" ht="12.75" customHeight="1">
      <c r="A238" s="402"/>
      <c r="B238" s="402"/>
      <c r="C238" s="669"/>
      <c r="D238" s="540"/>
      <c r="E238" s="528"/>
      <c r="F238" s="532"/>
      <c r="G238" s="529" t="s">
        <v>312</v>
      </c>
      <c r="H238" s="530" t="s">
        <v>313</v>
      </c>
      <c r="I238" s="529"/>
      <c r="J238" s="529"/>
      <c r="K238" s="531" t="s">
        <v>316</v>
      </c>
      <c r="L238" s="532" t="s">
        <v>317</v>
      </c>
      <c r="M238" s="531" t="s">
        <v>318</v>
      </c>
      <c r="N238" s="528"/>
      <c r="O238" s="535" t="s">
        <v>315</v>
      </c>
      <c r="P238" s="535" t="s">
        <v>741</v>
      </c>
      <c r="Q238" s="577">
        <f>Q126</f>
        <v>0.6</v>
      </c>
      <c r="R238" s="510" t="s">
        <v>742</v>
      </c>
      <c r="S238" s="536" t="s">
        <v>310</v>
      </c>
      <c r="T238" s="576" t="s">
        <v>391</v>
      </c>
      <c r="U238" s="537"/>
      <c r="V238" s="536" t="s">
        <v>310</v>
      </c>
      <c r="W238" s="670"/>
      <c r="Z238" s="384" t="s">
        <v>314</v>
      </c>
      <c r="AA238" s="384" t="s">
        <v>314</v>
      </c>
      <c r="AB238" s="383"/>
      <c r="AC238" s="385" t="s">
        <v>178</v>
      </c>
      <c r="AD238" s="388"/>
      <c r="AO238" s="404"/>
    </row>
    <row r="239" spans="1:41" ht="12.75" customHeight="1">
      <c r="C239" s="131"/>
      <c r="D239" s="155"/>
      <c r="E239" s="155"/>
      <c r="F239" s="155"/>
      <c r="G239" s="155"/>
      <c r="H239" s="543"/>
      <c r="I239" s="544"/>
      <c r="J239" s="544"/>
      <c r="K239" s="545"/>
      <c r="L239" s="542"/>
      <c r="M239" s="545"/>
      <c r="N239" s="155"/>
      <c r="O239" s="546"/>
      <c r="P239" s="547"/>
      <c r="Q239" s="547"/>
      <c r="R239" s="547"/>
      <c r="S239" s="548"/>
      <c r="T239" s="547"/>
      <c r="U239" s="549"/>
      <c r="V239" s="548"/>
      <c r="W239" s="136"/>
      <c r="AD239" s="391"/>
      <c r="AL239" s="68"/>
      <c r="AM239" s="68"/>
      <c r="AO239" s="395"/>
    </row>
    <row r="240" spans="1:41" ht="12.75" customHeight="1">
      <c r="C240" s="131"/>
      <c r="D240" s="169" t="str">
        <f>IF(op!D128="","",op!D128)</f>
        <v/>
      </c>
      <c r="E240" s="169" t="str">
        <f>IF(op!E128=0,"",op!E128)</f>
        <v>nn</v>
      </c>
      <c r="F240" s="169" t="str">
        <f>IF(op!F128=0,"",op!F128)</f>
        <v>nn</v>
      </c>
      <c r="G240" s="170" t="str">
        <f>IF(op!G128="","",op!G128+1)</f>
        <v/>
      </c>
      <c r="H240" s="566">
        <f>IF(op!H128="","",op!H128)</f>
        <v>18264</v>
      </c>
      <c r="I240" s="170" t="str">
        <f>IF(op!I128=0,"-",op!I128)</f>
        <v>LB</v>
      </c>
      <c r="J240" s="567">
        <f>IF(E240="","",IF(op!J128&gt;LOOKUP(I240,schaal2011,regels2011),J128-1,IF(op!J128=LOOKUP(I240,schaal2011,regels2011),op!J128,J128+1)))</f>
        <v>15</v>
      </c>
      <c r="K240" s="568">
        <f>IF(op!K128="","",op!K128)</f>
        <v>1</v>
      </c>
      <c r="L240" s="569" t="str">
        <f>IF(op!L128="","",op!L128)</f>
        <v/>
      </c>
      <c r="M240" s="570">
        <f t="shared" ref="M240:M271" si="65">(IF(L240="",(K240),(K240)-L240))</f>
        <v>1</v>
      </c>
      <c r="N240" s="155"/>
      <c r="O240" s="571">
        <f>IF(I240="","",VLOOKUP(I240,tab!$A$119:$V$159,J240+3,FALSE))</f>
        <v>3597</v>
      </c>
      <c r="P240" s="572">
        <f t="shared" ref="P240:P271" si="66">IF(E240="",0,(O240*M240*12))</f>
        <v>43164</v>
      </c>
      <c r="Q240" s="589">
        <f>$Q$238</f>
        <v>0.6</v>
      </c>
      <c r="R240" s="573">
        <f>IF(E240=0,"",(P240)*Q240)</f>
        <v>25898.399999999998</v>
      </c>
      <c r="S240" s="332">
        <f>IF(L240="",0,O240*12*L240*(1+tab!$D$108)*tab!$E$110)</f>
        <v>0</v>
      </c>
      <c r="T240" s="580">
        <f>IF(E240=0,0,(P240+R240+S240))</f>
        <v>69062.399999999994</v>
      </c>
      <c r="U240" s="243">
        <f t="shared" ref="U240:U303" si="67">IF(G240&lt;25,0,IF(G240=25,25,IF(G240&lt;40,0,IF(G240=40,40,IF(G240&gt;=40,0)))))</f>
        <v>0</v>
      </c>
      <c r="V240" s="332">
        <f t="shared" ref="V240:V271" si="68">IF(U240=25,(O240*1.08*(K240)/2),IF(U240=40,(O240*1.08*(K240)),IF(U240=0,0)))</f>
        <v>0</v>
      </c>
      <c r="W240" s="553"/>
      <c r="Z240" s="647" t="b">
        <f t="shared" ref="Z240:Z271" si="69">DATE(YEAR($E$233),MONTH(H240),DAY(H240))&gt;$E$233</f>
        <v>0</v>
      </c>
      <c r="AA240" s="647">
        <f t="shared" ref="AA240:AA271" si="70">YEAR($E$233)-YEAR(H240)-Z240</f>
        <v>64</v>
      </c>
      <c r="AB240" s="67">
        <f t="shared" ref="AB240:AB271" si="71">IF((H240=""),30,AA240)</f>
        <v>64</v>
      </c>
      <c r="AC240" s="67">
        <f t="shared" ref="AC240:AC271" si="72">IF((AB240)&gt;50,50,(AB240))</f>
        <v>50</v>
      </c>
      <c r="AD240" s="84">
        <f t="shared" ref="AD240:AD271" si="73">(AC240*(SUM(K240:K240)))</f>
        <v>50</v>
      </c>
      <c r="AJ240" s="405"/>
    </row>
    <row r="241" spans="3:36" ht="12.75" customHeight="1">
      <c r="C241" s="131"/>
      <c r="D241" s="169" t="str">
        <f>IF(op!D129="","",op!D129)</f>
        <v/>
      </c>
      <c r="E241" s="169" t="str">
        <f>IF(op!E129=0,"",op!E129)</f>
        <v/>
      </c>
      <c r="F241" s="169" t="str">
        <f>IF(op!F129=0,"",op!F129)</f>
        <v/>
      </c>
      <c r="G241" s="170" t="str">
        <f>IF(op!G129="","",op!G129+1)</f>
        <v/>
      </c>
      <c r="H241" s="566" t="str">
        <f>IF(op!H129="","",op!H129)</f>
        <v/>
      </c>
      <c r="I241" s="170" t="str">
        <f>IF(op!I129=0,"-",op!I129)</f>
        <v/>
      </c>
      <c r="J241" s="567" t="str">
        <f>IF(E241="","",IF(op!J129&gt;LOOKUP(I241,schaal2011,regels2011),J129-1,IF(op!J129=LOOKUP(I241,schaal2011,regels2011),op!J129,J129+1)))</f>
        <v/>
      </c>
      <c r="K241" s="568" t="str">
        <f>IF(op!K129="","",op!K129)</f>
        <v/>
      </c>
      <c r="L241" s="569" t="str">
        <f>IF(op!L129="","",op!L129)</f>
        <v/>
      </c>
      <c r="M241" s="570" t="str">
        <f t="shared" si="65"/>
        <v/>
      </c>
      <c r="N241" s="155"/>
      <c r="O241" s="571" t="str">
        <f>IF(I241="","",VLOOKUP(I241,tab!$A$119:$V$159,J241+3,FALSE))</f>
        <v/>
      </c>
      <c r="P241" s="572">
        <f t="shared" si="66"/>
        <v>0</v>
      </c>
      <c r="Q241" s="589">
        <f t="shared" ref="Q241:Q304" si="74">$Q$238</f>
        <v>0.6</v>
      </c>
      <c r="R241" s="573">
        <f t="shared" ref="R241:R304" si="75">IF(E241=0,"",(P241)*Q241)</f>
        <v>0</v>
      </c>
      <c r="S241" s="332">
        <f>IF(L241="",0,O241*12*L241*(1+tab!$D$108)*tab!$E$110)</f>
        <v>0</v>
      </c>
      <c r="T241" s="580">
        <f t="shared" ref="T241:T304" si="76">IF(E241=0,0,(P241+R241+S241))</f>
        <v>0</v>
      </c>
      <c r="U241" s="243">
        <f t="shared" si="67"/>
        <v>0</v>
      </c>
      <c r="V241" s="332">
        <f t="shared" si="68"/>
        <v>0</v>
      </c>
      <c r="W241" s="553"/>
      <c r="Z241" s="647" t="e">
        <f t="shared" si="69"/>
        <v>#VALUE!</v>
      </c>
      <c r="AA241" s="647" t="e">
        <f t="shared" si="70"/>
        <v>#VALUE!</v>
      </c>
      <c r="AB241" s="67">
        <f t="shared" si="71"/>
        <v>30</v>
      </c>
      <c r="AC241" s="67">
        <f t="shared" si="72"/>
        <v>30</v>
      </c>
      <c r="AD241" s="84">
        <f t="shared" si="73"/>
        <v>0</v>
      </c>
      <c r="AJ241" s="405"/>
    </row>
    <row r="242" spans="3:36" ht="12.75" customHeight="1">
      <c r="C242" s="131"/>
      <c r="D242" s="169" t="str">
        <f>IF(op!D130="","",op!D130)</f>
        <v/>
      </c>
      <c r="E242" s="169" t="str">
        <f>IF(op!E130=0,"",op!E130)</f>
        <v/>
      </c>
      <c r="F242" s="169" t="str">
        <f>IF(op!F130=0,"",op!F130)</f>
        <v/>
      </c>
      <c r="G242" s="170" t="str">
        <f>IF(op!G130="","",op!G130+1)</f>
        <v/>
      </c>
      <c r="H242" s="566" t="str">
        <f>IF(op!H130="","",op!H130)</f>
        <v/>
      </c>
      <c r="I242" s="170" t="str">
        <f>IF(op!I130=0,"-",op!I130)</f>
        <v/>
      </c>
      <c r="J242" s="567" t="str">
        <f>IF(E242="","",IF(op!J130&gt;LOOKUP(I242,schaal2011,regels2011),J130-1,IF(op!J130=LOOKUP(I242,schaal2011,regels2011),op!J130,J130+1)))</f>
        <v/>
      </c>
      <c r="K242" s="568" t="str">
        <f>IF(op!K130="","",op!K130)</f>
        <v/>
      </c>
      <c r="L242" s="569" t="str">
        <f>IF(op!L130="","",op!L130)</f>
        <v/>
      </c>
      <c r="M242" s="570" t="str">
        <f t="shared" si="65"/>
        <v/>
      </c>
      <c r="N242" s="155"/>
      <c r="O242" s="571" t="str">
        <f>IF(I242="","",VLOOKUP(I242,tab!$A$119:$V$159,J242+3,FALSE))</f>
        <v/>
      </c>
      <c r="P242" s="572">
        <f t="shared" si="66"/>
        <v>0</v>
      </c>
      <c r="Q242" s="589">
        <f t="shared" si="74"/>
        <v>0.6</v>
      </c>
      <c r="R242" s="573">
        <f t="shared" si="75"/>
        <v>0</v>
      </c>
      <c r="S242" s="332">
        <f>IF(L242="",0,O242*12*L242*(1+tab!$D$108)*tab!$E$110)</f>
        <v>0</v>
      </c>
      <c r="T242" s="580">
        <f t="shared" si="76"/>
        <v>0</v>
      </c>
      <c r="U242" s="243">
        <f t="shared" si="67"/>
        <v>0</v>
      </c>
      <c r="V242" s="332">
        <f t="shared" si="68"/>
        <v>0</v>
      </c>
      <c r="W242" s="554"/>
      <c r="Z242" s="647" t="e">
        <f t="shared" si="69"/>
        <v>#VALUE!</v>
      </c>
      <c r="AA242" s="647" t="e">
        <f t="shared" si="70"/>
        <v>#VALUE!</v>
      </c>
      <c r="AB242" s="67">
        <f t="shared" si="71"/>
        <v>30</v>
      </c>
      <c r="AC242" s="67">
        <f t="shared" si="72"/>
        <v>30</v>
      </c>
      <c r="AD242" s="84">
        <f t="shared" si="73"/>
        <v>0</v>
      </c>
      <c r="AJ242" s="405"/>
    </row>
    <row r="243" spans="3:36" ht="12.75" customHeight="1">
      <c r="C243" s="131"/>
      <c r="D243" s="169" t="str">
        <f>IF(op!D131="","",op!D131)</f>
        <v/>
      </c>
      <c r="E243" s="169" t="str">
        <f>IF(op!E131=0,"",op!E131)</f>
        <v/>
      </c>
      <c r="F243" s="169" t="str">
        <f>IF(op!F131=0,"",op!F131)</f>
        <v/>
      </c>
      <c r="G243" s="170" t="str">
        <f>IF(op!G131="","",op!G131+1)</f>
        <v/>
      </c>
      <c r="H243" s="566" t="str">
        <f>IF(op!H131="","",op!H131)</f>
        <v/>
      </c>
      <c r="I243" s="170" t="str">
        <f>IF(op!I131=0,"-",op!I131)</f>
        <v/>
      </c>
      <c r="J243" s="567" t="str">
        <f>IF(E243="","",IF(op!J131&gt;LOOKUP(I243,schaal2011,regels2011),J131-1,IF(op!J131=LOOKUP(I243,schaal2011,regels2011),op!J131,J131+1)))</f>
        <v/>
      </c>
      <c r="K243" s="568" t="str">
        <f>IF(op!K131="","",op!K131)</f>
        <v/>
      </c>
      <c r="L243" s="569" t="str">
        <f>IF(op!L131="","",op!L131)</f>
        <v/>
      </c>
      <c r="M243" s="570" t="str">
        <f t="shared" si="65"/>
        <v/>
      </c>
      <c r="N243" s="155"/>
      <c r="O243" s="571" t="str">
        <f>IF(I243="","",VLOOKUP(I243,tab!$A$119:$V$159,J243+3,FALSE))</f>
        <v/>
      </c>
      <c r="P243" s="572">
        <f t="shared" si="66"/>
        <v>0</v>
      </c>
      <c r="Q243" s="589">
        <f t="shared" si="74"/>
        <v>0.6</v>
      </c>
      <c r="R243" s="573">
        <f t="shared" si="75"/>
        <v>0</v>
      </c>
      <c r="S243" s="332">
        <f>IF(L243="",0,O243*12*L243*(1+tab!$D$108)*tab!$E$110)</f>
        <v>0</v>
      </c>
      <c r="T243" s="580">
        <f t="shared" si="76"/>
        <v>0</v>
      </c>
      <c r="U243" s="243">
        <f t="shared" si="67"/>
        <v>0</v>
      </c>
      <c r="V243" s="332">
        <f t="shared" si="68"/>
        <v>0</v>
      </c>
      <c r="W243" s="554"/>
      <c r="Z243" s="647" t="e">
        <f t="shared" si="69"/>
        <v>#VALUE!</v>
      </c>
      <c r="AA243" s="647" t="e">
        <f t="shared" si="70"/>
        <v>#VALUE!</v>
      </c>
      <c r="AB243" s="67">
        <f t="shared" si="71"/>
        <v>30</v>
      </c>
      <c r="AC243" s="67">
        <f t="shared" si="72"/>
        <v>30</v>
      </c>
      <c r="AD243" s="84">
        <f t="shared" si="73"/>
        <v>0</v>
      </c>
      <c r="AJ243" s="405"/>
    </row>
    <row r="244" spans="3:36" ht="12.75" customHeight="1">
      <c r="C244" s="131"/>
      <c r="D244" s="169" t="str">
        <f>IF(op!D132="","",op!D132)</f>
        <v/>
      </c>
      <c r="E244" s="169" t="str">
        <f>IF(op!E132=0,"",op!E132)</f>
        <v/>
      </c>
      <c r="F244" s="169" t="str">
        <f>IF(op!F132=0,"",op!F132)</f>
        <v/>
      </c>
      <c r="G244" s="170" t="str">
        <f>IF(op!G132="","",op!G132+1)</f>
        <v/>
      </c>
      <c r="H244" s="566" t="str">
        <f>IF(op!H132="","",op!H132)</f>
        <v/>
      </c>
      <c r="I244" s="170" t="str">
        <f>IF(op!I132=0,"-",op!I132)</f>
        <v/>
      </c>
      <c r="J244" s="567" t="str">
        <f>IF(E244="","",IF(op!J132&gt;LOOKUP(I244,schaal2011,regels2011),J132-1,IF(op!J132=LOOKUP(I244,schaal2011,regels2011),op!J132,J132+1)))</f>
        <v/>
      </c>
      <c r="K244" s="568" t="str">
        <f>IF(op!K132="","",op!K132)</f>
        <v/>
      </c>
      <c r="L244" s="569" t="str">
        <f>IF(op!L132="","",op!L132)</f>
        <v/>
      </c>
      <c r="M244" s="570" t="str">
        <f t="shared" si="65"/>
        <v/>
      </c>
      <c r="N244" s="155"/>
      <c r="O244" s="571" t="str">
        <f>IF(I244="","",VLOOKUP(I244,tab!$A$119:$V$159,J244+3,FALSE))</f>
        <v/>
      </c>
      <c r="P244" s="572">
        <f t="shared" si="66"/>
        <v>0</v>
      </c>
      <c r="Q244" s="589">
        <f t="shared" si="74"/>
        <v>0.6</v>
      </c>
      <c r="R244" s="573">
        <f t="shared" si="75"/>
        <v>0</v>
      </c>
      <c r="S244" s="332">
        <f>IF(L244="",0,O244*12*L244*(1+tab!$D$108)*tab!$E$110)</f>
        <v>0</v>
      </c>
      <c r="T244" s="580">
        <f t="shared" si="76"/>
        <v>0</v>
      </c>
      <c r="U244" s="243">
        <f t="shared" si="67"/>
        <v>0</v>
      </c>
      <c r="V244" s="332">
        <f t="shared" si="68"/>
        <v>0</v>
      </c>
      <c r="W244" s="553"/>
      <c r="Z244" s="647" t="e">
        <f t="shared" si="69"/>
        <v>#VALUE!</v>
      </c>
      <c r="AA244" s="647" t="e">
        <f t="shared" si="70"/>
        <v>#VALUE!</v>
      </c>
      <c r="AB244" s="67">
        <f t="shared" si="71"/>
        <v>30</v>
      </c>
      <c r="AC244" s="67">
        <f t="shared" si="72"/>
        <v>30</v>
      </c>
      <c r="AD244" s="84">
        <f t="shared" si="73"/>
        <v>0</v>
      </c>
      <c r="AJ244" s="405"/>
    </row>
    <row r="245" spans="3:36" ht="12.75" customHeight="1">
      <c r="C245" s="131"/>
      <c r="D245" s="169" t="str">
        <f>IF(op!D133="","",op!D133)</f>
        <v/>
      </c>
      <c r="E245" s="169" t="str">
        <f>IF(op!E133=0,"",op!E133)</f>
        <v/>
      </c>
      <c r="F245" s="169" t="str">
        <f>IF(op!F133=0,"",op!F133)</f>
        <v/>
      </c>
      <c r="G245" s="170" t="str">
        <f>IF(op!G133="","",op!G133+1)</f>
        <v/>
      </c>
      <c r="H245" s="566" t="str">
        <f>IF(op!H133="","",op!H133)</f>
        <v/>
      </c>
      <c r="I245" s="170" t="str">
        <f>IF(op!I133=0,"-",op!I133)</f>
        <v/>
      </c>
      <c r="J245" s="567" t="str">
        <f>IF(E245="","",IF(op!J133&gt;LOOKUP(I245,schaal2011,regels2011),J133-1,IF(op!J133=LOOKUP(I245,schaal2011,regels2011),op!J133,J133+1)))</f>
        <v/>
      </c>
      <c r="K245" s="568" t="str">
        <f>IF(op!K133="","",op!K133)</f>
        <v/>
      </c>
      <c r="L245" s="569" t="str">
        <f>IF(op!L133="","",op!L133)</f>
        <v/>
      </c>
      <c r="M245" s="570" t="str">
        <f t="shared" si="65"/>
        <v/>
      </c>
      <c r="N245" s="155"/>
      <c r="O245" s="571" t="str">
        <f>IF(I245="","",VLOOKUP(I245,tab!$A$119:$V$159,J245+3,FALSE))</f>
        <v/>
      </c>
      <c r="P245" s="572">
        <f t="shared" si="66"/>
        <v>0</v>
      </c>
      <c r="Q245" s="589">
        <f t="shared" si="74"/>
        <v>0.6</v>
      </c>
      <c r="R245" s="573">
        <f t="shared" si="75"/>
        <v>0</v>
      </c>
      <c r="S245" s="332">
        <f>IF(L245="",0,O245*12*L245*(1+tab!$D$108)*tab!$E$110)</f>
        <v>0</v>
      </c>
      <c r="T245" s="580">
        <f t="shared" si="76"/>
        <v>0</v>
      </c>
      <c r="U245" s="243">
        <f t="shared" si="67"/>
        <v>0</v>
      </c>
      <c r="V245" s="332">
        <f t="shared" si="68"/>
        <v>0</v>
      </c>
      <c r="W245" s="553"/>
      <c r="Z245" s="647" t="e">
        <f t="shared" si="69"/>
        <v>#VALUE!</v>
      </c>
      <c r="AA245" s="647" t="e">
        <f t="shared" si="70"/>
        <v>#VALUE!</v>
      </c>
      <c r="AB245" s="67">
        <f t="shared" si="71"/>
        <v>30</v>
      </c>
      <c r="AC245" s="67">
        <f t="shared" si="72"/>
        <v>30</v>
      </c>
      <c r="AD245" s="84">
        <f t="shared" si="73"/>
        <v>0</v>
      </c>
      <c r="AJ245" s="405"/>
    </row>
    <row r="246" spans="3:36" ht="12.75" customHeight="1">
      <c r="C246" s="131"/>
      <c r="D246" s="169" t="str">
        <f>IF(op!D134="","",op!D134)</f>
        <v/>
      </c>
      <c r="E246" s="169" t="str">
        <f>IF(op!E134=0,"",op!E134)</f>
        <v/>
      </c>
      <c r="F246" s="169" t="str">
        <f>IF(op!F134=0,"",op!F134)</f>
        <v/>
      </c>
      <c r="G246" s="170" t="str">
        <f>IF(op!G134="","",op!G134+1)</f>
        <v/>
      </c>
      <c r="H246" s="566" t="str">
        <f>IF(op!H134="","",op!H134)</f>
        <v/>
      </c>
      <c r="I246" s="170" t="str">
        <f>IF(op!I134=0,"-",op!I134)</f>
        <v/>
      </c>
      <c r="J246" s="567" t="str">
        <f>IF(E246="","",IF(op!J134&gt;LOOKUP(I246,schaal2011,regels2011),J134-1,IF(op!J134=LOOKUP(I246,schaal2011,regels2011),op!J134,J134+1)))</f>
        <v/>
      </c>
      <c r="K246" s="568" t="str">
        <f>IF(op!K134="","",op!K134)</f>
        <v/>
      </c>
      <c r="L246" s="569" t="str">
        <f>IF(op!L134="","",op!L134)</f>
        <v/>
      </c>
      <c r="M246" s="570" t="str">
        <f t="shared" si="65"/>
        <v/>
      </c>
      <c r="N246" s="155"/>
      <c r="O246" s="571" t="str">
        <f>IF(I246="","",VLOOKUP(I246,tab!$A$119:$V$159,J246+3,FALSE))</f>
        <v/>
      </c>
      <c r="P246" s="572">
        <f t="shared" si="66"/>
        <v>0</v>
      </c>
      <c r="Q246" s="589">
        <f t="shared" si="74"/>
        <v>0.6</v>
      </c>
      <c r="R246" s="573">
        <f t="shared" si="75"/>
        <v>0</v>
      </c>
      <c r="S246" s="332">
        <f>IF(L246="",0,O246*12*L246*(1+tab!$D$108)*tab!$E$110)</f>
        <v>0</v>
      </c>
      <c r="T246" s="580">
        <f t="shared" si="76"/>
        <v>0</v>
      </c>
      <c r="U246" s="243">
        <f t="shared" si="67"/>
        <v>0</v>
      </c>
      <c r="V246" s="332">
        <f t="shared" si="68"/>
        <v>0</v>
      </c>
      <c r="W246" s="136"/>
      <c r="Z246" s="647" t="e">
        <f t="shared" si="69"/>
        <v>#VALUE!</v>
      </c>
      <c r="AA246" s="647" t="e">
        <f t="shared" si="70"/>
        <v>#VALUE!</v>
      </c>
      <c r="AB246" s="67">
        <f t="shared" si="71"/>
        <v>30</v>
      </c>
      <c r="AC246" s="67">
        <f t="shared" si="72"/>
        <v>30</v>
      </c>
      <c r="AD246" s="84">
        <f t="shared" si="73"/>
        <v>0</v>
      </c>
      <c r="AJ246" s="405"/>
    </row>
    <row r="247" spans="3:36" ht="12.75" customHeight="1">
      <c r="C247" s="131"/>
      <c r="D247" s="169" t="str">
        <f>IF(op!D135="","",op!D135)</f>
        <v/>
      </c>
      <c r="E247" s="169" t="str">
        <f>IF(op!E135=0,"",op!E135)</f>
        <v/>
      </c>
      <c r="F247" s="169" t="str">
        <f>IF(op!F135=0,"",op!F135)</f>
        <v/>
      </c>
      <c r="G247" s="170" t="str">
        <f>IF(op!G135="","",op!G135+1)</f>
        <v/>
      </c>
      <c r="H247" s="566" t="str">
        <f>IF(op!H135="","",op!H135)</f>
        <v/>
      </c>
      <c r="I247" s="170" t="str">
        <f>IF(op!I135=0,"-",op!I135)</f>
        <v/>
      </c>
      <c r="J247" s="567" t="str">
        <f>IF(E247="","",IF(op!J135&gt;LOOKUP(I247,schaal2011,regels2011),J135-1,IF(op!J135=LOOKUP(I247,schaal2011,regels2011),op!J135,J135+1)))</f>
        <v/>
      </c>
      <c r="K247" s="568" t="str">
        <f>IF(op!K135="","",op!K135)</f>
        <v/>
      </c>
      <c r="L247" s="569" t="str">
        <f>IF(op!L135="","",op!L135)</f>
        <v/>
      </c>
      <c r="M247" s="570" t="str">
        <f t="shared" si="65"/>
        <v/>
      </c>
      <c r="N247" s="155"/>
      <c r="O247" s="571" t="str">
        <f>IF(I247="","",VLOOKUP(I247,tab!$A$119:$V$159,J247+3,FALSE))</f>
        <v/>
      </c>
      <c r="P247" s="572">
        <f t="shared" si="66"/>
        <v>0</v>
      </c>
      <c r="Q247" s="589">
        <f t="shared" si="74"/>
        <v>0.6</v>
      </c>
      <c r="R247" s="573">
        <f t="shared" si="75"/>
        <v>0</v>
      </c>
      <c r="S247" s="332">
        <f>IF(L247="",0,O247*12*L247*(1+tab!$D$108)*tab!$E$110)</f>
        <v>0</v>
      </c>
      <c r="T247" s="580">
        <f t="shared" si="76"/>
        <v>0</v>
      </c>
      <c r="U247" s="243">
        <f t="shared" si="67"/>
        <v>0</v>
      </c>
      <c r="V247" s="332">
        <f t="shared" si="68"/>
        <v>0</v>
      </c>
      <c r="W247" s="136"/>
      <c r="Z247" s="647" t="e">
        <f t="shared" si="69"/>
        <v>#VALUE!</v>
      </c>
      <c r="AA247" s="647" t="e">
        <f t="shared" si="70"/>
        <v>#VALUE!</v>
      </c>
      <c r="AB247" s="67">
        <f t="shared" si="71"/>
        <v>30</v>
      </c>
      <c r="AC247" s="67">
        <f t="shared" si="72"/>
        <v>30</v>
      </c>
      <c r="AD247" s="84">
        <f t="shared" si="73"/>
        <v>0</v>
      </c>
      <c r="AJ247" s="405"/>
    </row>
    <row r="248" spans="3:36" ht="12.75" customHeight="1">
      <c r="C248" s="131"/>
      <c r="D248" s="169" t="str">
        <f>IF(op!D136="","",op!D136)</f>
        <v/>
      </c>
      <c r="E248" s="169" t="str">
        <f>IF(op!E136=0,"",op!E136)</f>
        <v/>
      </c>
      <c r="F248" s="169" t="str">
        <f>IF(op!F136=0,"",op!F136)</f>
        <v/>
      </c>
      <c r="G248" s="170" t="str">
        <f>IF(op!G136="","",op!G136+1)</f>
        <v/>
      </c>
      <c r="H248" s="566" t="str">
        <f>IF(op!H136="","",op!H136)</f>
        <v/>
      </c>
      <c r="I248" s="170" t="str">
        <f>IF(op!I136=0,"-",op!I136)</f>
        <v/>
      </c>
      <c r="J248" s="567" t="str">
        <f>IF(E248="","",IF(op!J136&gt;LOOKUP(I248,schaal2011,regels2011),J136-1,IF(op!J136=LOOKUP(I248,schaal2011,regels2011),op!J136,J136+1)))</f>
        <v/>
      </c>
      <c r="K248" s="568" t="str">
        <f>IF(op!K136="","",op!K136)</f>
        <v/>
      </c>
      <c r="L248" s="569" t="str">
        <f>IF(op!L136="","",op!L136)</f>
        <v/>
      </c>
      <c r="M248" s="570" t="str">
        <f t="shared" si="65"/>
        <v/>
      </c>
      <c r="N248" s="155"/>
      <c r="O248" s="571" t="str">
        <f>IF(I248="","",VLOOKUP(I248,tab!$A$119:$V$159,J248+3,FALSE))</f>
        <v/>
      </c>
      <c r="P248" s="572">
        <f t="shared" si="66"/>
        <v>0</v>
      </c>
      <c r="Q248" s="589">
        <f t="shared" si="74"/>
        <v>0.6</v>
      </c>
      <c r="R248" s="573">
        <f t="shared" si="75"/>
        <v>0</v>
      </c>
      <c r="S248" s="332">
        <f>IF(L248="",0,O248*12*L248*(1+tab!$D$108)*tab!$E$110)</f>
        <v>0</v>
      </c>
      <c r="T248" s="580">
        <f t="shared" si="76"/>
        <v>0</v>
      </c>
      <c r="U248" s="243">
        <f t="shared" si="67"/>
        <v>0</v>
      </c>
      <c r="V248" s="332">
        <f t="shared" si="68"/>
        <v>0</v>
      </c>
      <c r="W248" s="136"/>
      <c r="Z248" s="647" t="e">
        <f t="shared" si="69"/>
        <v>#VALUE!</v>
      </c>
      <c r="AA248" s="647" t="e">
        <f t="shared" si="70"/>
        <v>#VALUE!</v>
      </c>
      <c r="AB248" s="67">
        <f t="shared" si="71"/>
        <v>30</v>
      </c>
      <c r="AC248" s="67">
        <f t="shared" si="72"/>
        <v>30</v>
      </c>
      <c r="AD248" s="84">
        <f t="shared" si="73"/>
        <v>0</v>
      </c>
      <c r="AJ248" s="405"/>
    </row>
    <row r="249" spans="3:36" ht="12.75" customHeight="1">
      <c r="C249" s="131"/>
      <c r="D249" s="169" t="str">
        <f>IF(op!D137="","",op!D137)</f>
        <v/>
      </c>
      <c r="E249" s="169" t="str">
        <f>IF(op!E137=0,"",op!E137)</f>
        <v/>
      </c>
      <c r="F249" s="169" t="str">
        <f>IF(op!F137=0,"",op!F137)</f>
        <v/>
      </c>
      <c r="G249" s="170" t="str">
        <f>IF(op!G137="","",op!G137+1)</f>
        <v/>
      </c>
      <c r="H249" s="566" t="str">
        <f>IF(op!H137="","",op!H137)</f>
        <v/>
      </c>
      <c r="I249" s="170" t="str">
        <f>IF(op!I137=0,"-",op!I137)</f>
        <v/>
      </c>
      <c r="J249" s="567" t="str">
        <f>IF(E249="","",IF(op!J137&gt;LOOKUP(I249,schaal2011,regels2011),J137-1,IF(op!J137=LOOKUP(I249,schaal2011,regels2011),op!J137,J137+1)))</f>
        <v/>
      </c>
      <c r="K249" s="568" t="str">
        <f>IF(op!K137="","",op!K137)</f>
        <v/>
      </c>
      <c r="L249" s="569" t="str">
        <f>IF(op!L137="","",op!L137)</f>
        <v/>
      </c>
      <c r="M249" s="570" t="str">
        <f t="shared" si="65"/>
        <v/>
      </c>
      <c r="N249" s="155"/>
      <c r="O249" s="571" t="str">
        <f>IF(I249="","",VLOOKUP(I249,tab!$A$119:$V$159,J249+3,FALSE))</f>
        <v/>
      </c>
      <c r="P249" s="572">
        <f t="shared" si="66"/>
        <v>0</v>
      </c>
      <c r="Q249" s="589">
        <f t="shared" si="74"/>
        <v>0.6</v>
      </c>
      <c r="R249" s="573">
        <f t="shared" si="75"/>
        <v>0</v>
      </c>
      <c r="S249" s="332">
        <f>IF(L249="",0,O249*12*L249*(1+tab!$D$108)*tab!$E$110)</f>
        <v>0</v>
      </c>
      <c r="T249" s="580">
        <f t="shared" si="76"/>
        <v>0</v>
      </c>
      <c r="U249" s="243">
        <f t="shared" si="67"/>
        <v>0</v>
      </c>
      <c r="V249" s="332">
        <f t="shared" si="68"/>
        <v>0</v>
      </c>
      <c r="W249" s="136"/>
      <c r="Z249" s="647" t="e">
        <f t="shared" si="69"/>
        <v>#VALUE!</v>
      </c>
      <c r="AA249" s="647" t="e">
        <f t="shared" si="70"/>
        <v>#VALUE!</v>
      </c>
      <c r="AB249" s="67">
        <f t="shared" si="71"/>
        <v>30</v>
      </c>
      <c r="AC249" s="67">
        <f t="shared" si="72"/>
        <v>30</v>
      </c>
      <c r="AD249" s="84">
        <f t="shared" si="73"/>
        <v>0</v>
      </c>
      <c r="AJ249" s="405"/>
    </row>
    <row r="250" spans="3:36" ht="12.75" customHeight="1">
      <c r="C250" s="131"/>
      <c r="D250" s="169" t="str">
        <f>IF(op!D138="","",op!D138)</f>
        <v/>
      </c>
      <c r="E250" s="169" t="str">
        <f>IF(op!E138=0,"",op!E138)</f>
        <v/>
      </c>
      <c r="F250" s="169" t="str">
        <f>IF(op!F138=0,"",op!F138)</f>
        <v/>
      </c>
      <c r="G250" s="170" t="str">
        <f>IF(op!G138="","",op!G138+1)</f>
        <v/>
      </c>
      <c r="H250" s="566" t="str">
        <f>IF(op!H138="","",op!H138)</f>
        <v/>
      </c>
      <c r="I250" s="170" t="str">
        <f>IF(op!I138=0,"-",op!I138)</f>
        <v/>
      </c>
      <c r="J250" s="567" t="str">
        <f>IF(E250="","",IF(op!J138&gt;LOOKUP(I250,schaal2011,regels2011),J138-1,IF(op!J138=LOOKUP(I250,schaal2011,regels2011),op!J138,J138+1)))</f>
        <v/>
      </c>
      <c r="K250" s="568" t="str">
        <f>IF(op!K138="","",op!K138)</f>
        <v/>
      </c>
      <c r="L250" s="569" t="str">
        <f>IF(op!L138="","",op!L138)</f>
        <v/>
      </c>
      <c r="M250" s="570" t="str">
        <f t="shared" si="65"/>
        <v/>
      </c>
      <c r="N250" s="155"/>
      <c r="O250" s="571" t="str">
        <f>IF(I250="","",VLOOKUP(I250,tab!$A$119:$V$159,J250+3,FALSE))</f>
        <v/>
      </c>
      <c r="P250" s="572">
        <f t="shared" si="66"/>
        <v>0</v>
      </c>
      <c r="Q250" s="589">
        <f t="shared" si="74"/>
        <v>0.6</v>
      </c>
      <c r="R250" s="573">
        <f t="shared" si="75"/>
        <v>0</v>
      </c>
      <c r="S250" s="332">
        <f>IF(L250="",0,O250*12*L250*(1+tab!$D$108)*tab!$E$110)</f>
        <v>0</v>
      </c>
      <c r="T250" s="580">
        <f t="shared" si="76"/>
        <v>0</v>
      </c>
      <c r="U250" s="243">
        <f t="shared" si="67"/>
        <v>0</v>
      </c>
      <c r="V250" s="332">
        <f t="shared" si="68"/>
        <v>0</v>
      </c>
      <c r="W250" s="136"/>
      <c r="Z250" s="647" t="e">
        <f t="shared" si="69"/>
        <v>#VALUE!</v>
      </c>
      <c r="AA250" s="647" t="e">
        <f t="shared" si="70"/>
        <v>#VALUE!</v>
      </c>
      <c r="AB250" s="67">
        <f t="shared" si="71"/>
        <v>30</v>
      </c>
      <c r="AC250" s="67">
        <f t="shared" si="72"/>
        <v>30</v>
      </c>
      <c r="AD250" s="84">
        <f t="shared" si="73"/>
        <v>0</v>
      </c>
      <c r="AJ250" s="405"/>
    </row>
    <row r="251" spans="3:36" ht="12.75" customHeight="1">
      <c r="C251" s="131"/>
      <c r="D251" s="169" t="str">
        <f>IF(op!D139="","",op!D139)</f>
        <v/>
      </c>
      <c r="E251" s="169" t="str">
        <f>IF(op!E139=0,"",op!E139)</f>
        <v/>
      </c>
      <c r="F251" s="169" t="str">
        <f>IF(op!F139=0,"",op!F139)</f>
        <v/>
      </c>
      <c r="G251" s="170" t="str">
        <f>IF(op!G139="","",op!G139+1)</f>
        <v/>
      </c>
      <c r="H251" s="566" t="str">
        <f>IF(op!H139="","",op!H139)</f>
        <v/>
      </c>
      <c r="I251" s="170" t="str">
        <f>IF(op!I139=0,"-",op!I139)</f>
        <v/>
      </c>
      <c r="J251" s="567" t="str">
        <f>IF(E251="","",IF(op!J139&gt;LOOKUP(I251,schaal2011,regels2011),J139-1,IF(op!J139=LOOKUP(I251,schaal2011,regels2011),op!J139,J139+1)))</f>
        <v/>
      </c>
      <c r="K251" s="568" t="str">
        <f>IF(op!K139="","",op!K139)</f>
        <v/>
      </c>
      <c r="L251" s="569" t="str">
        <f>IF(op!L139="","",op!L139)</f>
        <v/>
      </c>
      <c r="M251" s="570" t="str">
        <f t="shared" si="65"/>
        <v/>
      </c>
      <c r="N251" s="155"/>
      <c r="O251" s="571" t="str">
        <f>IF(I251="","",VLOOKUP(I251,tab!$A$119:$V$159,J251+3,FALSE))</f>
        <v/>
      </c>
      <c r="P251" s="572">
        <f t="shared" si="66"/>
        <v>0</v>
      </c>
      <c r="Q251" s="589">
        <f t="shared" si="74"/>
        <v>0.6</v>
      </c>
      <c r="R251" s="573">
        <f t="shared" si="75"/>
        <v>0</v>
      </c>
      <c r="S251" s="332">
        <f>IF(L251="",0,O251*12*L251*(1+tab!$D$108)*tab!$E$110)</f>
        <v>0</v>
      </c>
      <c r="T251" s="580">
        <f t="shared" si="76"/>
        <v>0</v>
      </c>
      <c r="U251" s="243">
        <f t="shared" si="67"/>
        <v>0</v>
      </c>
      <c r="V251" s="332">
        <f t="shared" si="68"/>
        <v>0</v>
      </c>
      <c r="W251" s="136"/>
      <c r="Z251" s="647" t="e">
        <f t="shared" si="69"/>
        <v>#VALUE!</v>
      </c>
      <c r="AA251" s="647" t="e">
        <f t="shared" si="70"/>
        <v>#VALUE!</v>
      </c>
      <c r="AB251" s="67">
        <f t="shared" si="71"/>
        <v>30</v>
      </c>
      <c r="AC251" s="67">
        <f t="shared" si="72"/>
        <v>30</v>
      </c>
      <c r="AD251" s="84">
        <f t="shared" si="73"/>
        <v>0</v>
      </c>
      <c r="AJ251" s="405"/>
    </row>
    <row r="252" spans="3:36" ht="12.75" customHeight="1">
      <c r="C252" s="131"/>
      <c r="D252" s="169" t="str">
        <f>IF(op!D140="","",op!D140)</f>
        <v/>
      </c>
      <c r="E252" s="169" t="str">
        <f>IF(op!E140=0,"",op!E140)</f>
        <v/>
      </c>
      <c r="F252" s="169" t="str">
        <f>IF(op!F140=0,"",op!F140)</f>
        <v/>
      </c>
      <c r="G252" s="170" t="str">
        <f>IF(op!G140="","",op!G140+1)</f>
        <v/>
      </c>
      <c r="H252" s="566" t="str">
        <f>IF(op!H140="","",op!H140)</f>
        <v/>
      </c>
      <c r="I252" s="170" t="str">
        <f>IF(op!I140=0,"-",op!I140)</f>
        <v/>
      </c>
      <c r="J252" s="567" t="str">
        <f>IF(E252="","",IF(op!J140&gt;LOOKUP(I252,schaal2011,regels2011),J140-1,IF(op!J140=LOOKUP(I252,schaal2011,regels2011),op!J140,J140+1)))</f>
        <v/>
      </c>
      <c r="K252" s="568" t="str">
        <f>IF(op!K140="","",op!K140)</f>
        <v/>
      </c>
      <c r="L252" s="569" t="str">
        <f>IF(op!L140="","",op!L140)</f>
        <v/>
      </c>
      <c r="M252" s="570" t="str">
        <f t="shared" si="65"/>
        <v/>
      </c>
      <c r="N252" s="155"/>
      <c r="O252" s="571" t="str">
        <f>IF(I252="","",VLOOKUP(I252,tab!$A$119:$V$159,J252+3,FALSE))</f>
        <v/>
      </c>
      <c r="P252" s="572">
        <f t="shared" si="66"/>
        <v>0</v>
      </c>
      <c r="Q252" s="589">
        <f t="shared" si="74"/>
        <v>0.6</v>
      </c>
      <c r="R252" s="573">
        <f t="shared" si="75"/>
        <v>0</v>
      </c>
      <c r="S252" s="332">
        <f>IF(L252="",0,O252*12*L252*(1+tab!$D$108)*tab!$E$110)</f>
        <v>0</v>
      </c>
      <c r="T252" s="580">
        <f t="shared" si="76"/>
        <v>0</v>
      </c>
      <c r="U252" s="243">
        <f t="shared" si="67"/>
        <v>0</v>
      </c>
      <c r="V252" s="332">
        <f t="shared" si="68"/>
        <v>0</v>
      </c>
      <c r="W252" s="136"/>
      <c r="Z252" s="647" t="e">
        <f t="shared" si="69"/>
        <v>#VALUE!</v>
      </c>
      <c r="AA252" s="647" t="e">
        <f t="shared" si="70"/>
        <v>#VALUE!</v>
      </c>
      <c r="AB252" s="67">
        <f t="shared" si="71"/>
        <v>30</v>
      </c>
      <c r="AC252" s="67">
        <f t="shared" si="72"/>
        <v>30</v>
      </c>
      <c r="AD252" s="84">
        <f t="shared" si="73"/>
        <v>0</v>
      </c>
      <c r="AJ252" s="405"/>
    </row>
    <row r="253" spans="3:36" ht="12.75" customHeight="1">
      <c r="C253" s="131"/>
      <c r="D253" s="169" t="str">
        <f>IF(op!D141="","",op!D141)</f>
        <v/>
      </c>
      <c r="E253" s="169" t="str">
        <f>IF(op!E141=0,"",op!E141)</f>
        <v/>
      </c>
      <c r="F253" s="169" t="str">
        <f>IF(op!F141=0,"",op!F141)</f>
        <v/>
      </c>
      <c r="G253" s="170" t="str">
        <f>IF(op!G141="","",op!G141+1)</f>
        <v/>
      </c>
      <c r="H253" s="566" t="str">
        <f>IF(op!H141="","",op!H141)</f>
        <v/>
      </c>
      <c r="I253" s="170" t="str">
        <f>IF(op!I141=0,"-",op!I141)</f>
        <v/>
      </c>
      <c r="J253" s="567" t="str">
        <f>IF(E253="","",IF(op!J141&gt;LOOKUP(I253,schaal2011,regels2011),J141-1,IF(op!J141=LOOKUP(I253,schaal2011,regels2011),op!J141,J141+1)))</f>
        <v/>
      </c>
      <c r="K253" s="568" t="str">
        <f>IF(op!K141="","",op!K141)</f>
        <v/>
      </c>
      <c r="L253" s="569" t="str">
        <f>IF(op!L141="","",op!L141)</f>
        <v/>
      </c>
      <c r="M253" s="570" t="str">
        <f t="shared" si="65"/>
        <v/>
      </c>
      <c r="N253" s="155"/>
      <c r="O253" s="571" t="str">
        <f>IF(I253="","",VLOOKUP(I253,tab!$A$119:$V$159,J253+3,FALSE))</f>
        <v/>
      </c>
      <c r="P253" s="572">
        <f t="shared" si="66"/>
        <v>0</v>
      </c>
      <c r="Q253" s="589">
        <f t="shared" si="74"/>
        <v>0.6</v>
      </c>
      <c r="R253" s="573">
        <f t="shared" si="75"/>
        <v>0</v>
      </c>
      <c r="S253" s="332">
        <f>IF(L253="",0,O253*12*L253*(1+tab!$D$108)*tab!$E$110)</f>
        <v>0</v>
      </c>
      <c r="T253" s="580">
        <f t="shared" si="76"/>
        <v>0</v>
      </c>
      <c r="U253" s="243">
        <f t="shared" si="67"/>
        <v>0</v>
      </c>
      <c r="V253" s="332">
        <f t="shared" si="68"/>
        <v>0</v>
      </c>
      <c r="W253" s="136"/>
      <c r="Z253" s="647" t="e">
        <f t="shared" si="69"/>
        <v>#VALUE!</v>
      </c>
      <c r="AA253" s="647" t="e">
        <f t="shared" si="70"/>
        <v>#VALUE!</v>
      </c>
      <c r="AB253" s="67">
        <f t="shared" si="71"/>
        <v>30</v>
      </c>
      <c r="AC253" s="67">
        <f t="shared" si="72"/>
        <v>30</v>
      </c>
      <c r="AD253" s="84">
        <f t="shared" si="73"/>
        <v>0</v>
      </c>
      <c r="AJ253" s="405"/>
    </row>
    <row r="254" spans="3:36" ht="12.75" customHeight="1">
      <c r="C254" s="131"/>
      <c r="D254" s="169" t="str">
        <f>IF(op!D142="","",op!D142)</f>
        <v/>
      </c>
      <c r="E254" s="169" t="str">
        <f>IF(op!E142=0,"",op!E142)</f>
        <v/>
      </c>
      <c r="F254" s="169" t="str">
        <f>IF(op!F142=0,"",op!F142)</f>
        <v/>
      </c>
      <c r="G254" s="170" t="str">
        <f>IF(op!G142="","",op!G142+1)</f>
        <v/>
      </c>
      <c r="H254" s="566" t="str">
        <f>IF(op!H142="","",op!H142)</f>
        <v/>
      </c>
      <c r="I254" s="170" t="str">
        <f>IF(op!I142=0,"-",op!I142)</f>
        <v/>
      </c>
      <c r="J254" s="567" t="str">
        <f>IF(E254="","",IF(op!J142&gt;LOOKUP(I254,schaal2011,regels2011),J142-1,IF(op!J142=LOOKUP(I254,schaal2011,regels2011),op!J142,J142+1)))</f>
        <v/>
      </c>
      <c r="K254" s="568" t="str">
        <f>IF(op!K142="","",op!K142)</f>
        <v/>
      </c>
      <c r="L254" s="569" t="str">
        <f>IF(op!L142="","",op!L142)</f>
        <v/>
      </c>
      <c r="M254" s="570" t="str">
        <f t="shared" si="65"/>
        <v/>
      </c>
      <c r="N254" s="155"/>
      <c r="O254" s="571" t="str">
        <f>IF(I254="","",VLOOKUP(I254,tab!$A$119:$V$159,J254+3,FALSE))</f>
        <v/>
      </c>
      <c r="P254" s="572">
        <f t="shared" si="66"/>
        <v>0</v>
      </c>
      <c r="Q254" s="589">
        <f t="shared" si="74"/>
        <v>0.6</v>
      </c>
      <c r="R254" s="573">
        <f t="shared" si="75"/>
        <v>0</v>
      </c>
      <c r="S254" s="332">
        <f>IF(L254="",0,O254*12*L254*(1+tab!$D$108)*tab!$E$110)</f>
        <v>0</v>
      </c>
      <c r="T254" s="580">
        <f t="shared" si="76"/>
        <v>0</v>
      </c>
      <c r="U254" s="243">
        <f t="shared" si="67"/>
        <v>0</v>
      </c>
      <c r="V254" s="332">
        <f t="shared" si="68"/>
        <v>0</v>
      </c>
      <c r="W254" s="136"/>
      <c r="Z254" s="647" t="e">
        <f t="shared" si="69"/>
        <v>#VALUE!</v>
      </c>
      <c r="AA254" s="647" t="e">
        <f t="shared" si="70"/>
        <v>#VALUE!</v>
      </c>
      <c r="AB254" s="67">
        <f t="shared" si="71"/>
        <v>30</v>
      </c>
      <c r="AC254" s="67">
        <f t="shared" si="72"/>
        <v>30</v>
      </c>
      <c r="AD254" s="84">
        <f t="shared" si="73"/>
        <v>0</v>
      </c>
      <c r="AJ254" s="405"/>
    </row>
    <row r="255" spans="3:36" ht="12.75" customHeight="1">
      <c r="C255" s="131"/>
      <c r="D255" s="169" t="str">
        <f>IF(op!D143="","",op!D143)</f>
        <v/>
      </c>
      <c r="E255" s="169" t="str">
        <f>IF(op!E143=0,"",op!E143)</f>
        <v/>
      </c>
      <c r="F255" s="169" t="str">
        <f>IF(op!F143=0,"",op!F143)</f>
        <v/>
      </c>
      <c r="G255" s="170" t="str">
        <f>IF(op!G143="","",op!G143+1)</f>
        <v/>
      </c>
      <c r="H255" s="566" t="str">
        <f>IF(op!H143="","",op!H143)</f>
        <v/>
      </c>
      <c r="I255" s="170" t="str">
        <f>IF(op!I143=0,"-",op!I143)</f>
        <v/>
      </c>
      <c r="J255" s="567" t="str">
        <f>IF(E255="","",IF(op!J143&gt;LOOKUP(I255,schaal2011,regels2011),J143-1,IF(op!J143=LOOKUP(I255,schaal2011,regels2011),op!J143,J143+1)))</f>
        <v/>
      </c>
      <c r="K255" s="568" t="str">
        <f>IF(op!K143="","",op!K143)</f>
        <v/>
      </c>
      <c r="L255" s="569" t="str">
        <f>IF(op!L143="","",op!L143)</f>
        <v/>
      </c>
      <c r="M255" s="570" t="str">
        <f t="shared" si="65"/>
        <v/>
      </c>
      <c r="N255" s="155"/>
      <c r="O255" s="571" t="str">
        <f>IF(I255="","",VLOOKUP(I255,tab!$A$119:$V$159,J255+3,FALSE))</f>
        <v/>
      </c>
      <c r="P255" s="572">
        <f t="shared" si="66"/>
        <v>0</v>
      </c>
      <c r="Q255" s="589">
        <f t="shared" si="74"/>
        <v>0.6</v>
      </c>
      <c r="R255" s="573">
        <f t="shared" si="75"/>
        <v>0</v>
      </c>
      <c r="S255" s="332">
        <f>IF(L255="",0,O255*12*L255*(1+tab!$D$108)*tab!$E$110)</f>
        <v>0</v>
      </c>
      <c r="T255" s="580">
        <f t="shared" si="76"/>
        <v>0</v>
      </c>
      <c r="U255" s="243">
        <f t="shared" si="67"/>
        <v>0</v>
      </c>
      <c r="V255" s="332">
        <f t="shared" si="68"/>
        <v>0</v>
      </c>
      <c r="W255" s="136"/>
      <c r="Z255" s="647" t="e">
        <f t="shared" si="69"/>
        <v>#VALUE!</v>
      </c>
      <c r="AA255" s="647" t="e">
        <f t="shared" si="70"/>
        <v>#VALUE!</v>
      </c>
      <c r="AB255" s="67">
        <f t="shared" si="71"/>
        <v>30</v>
      </c>
      <c r="AC255" s="67">
        <f t="shared" si="72"/>
        <v>30</v>
      </c>
      <c r="AD255" s="84">
        <f t="shared" si="73"/>
        <v>0</v>
      </c>
      <c r="AJ255" s="405"/>
    </row>
    <row r="256" spans="3:36" ht="12.75" customHeight="1">
      <c r="C256" s="131"/>
      <c r="D256" s="169" t="str">
        <f>IF(op!D144="","",op!D144)</f>
        <v/>
      </c>
      <c r="E256" s="169" t="str">
        <f>IF(op!E144=0,"",op!E144)</f>
        <v/>
      </c>
      <c r="F256" s="169" t="str">
        <f>IF(op!F144=0,"",op!F144)</f>
        <v/>
      </c>
      <c r="G256" s="170" t="str">
        <f>IF(op!G144="","",op!G144+1)</f>
        <v/>
      </c>
      <c r="H256" s="566" t="str">
        <f>IF(op!H144="","",op!H144)</f>
        <v/>
      </c>
      <c r="I256" s="170" t="str">
        <f>IF(op!I144=0,"-",op!I144)</f>
        <v/>
      </c>
      <c r="J256" s="567" t="str">
        <f>IF(E256="","",IF(op!J144&gt;LOOKUP(I256,schaal2011,regels2011),J144-1,IF(op!J144=LOOKUP(I256,schaal2011,regels2011),op!J144,J144+1)))</f>
        <v/>
      </c>
      <c r="K256" s="568" t="str">
        <f>IF(op!K144="","",op!K144)</f>
        <v/>
      </c>
      <c r="L256" s="569" t="str">
        <f>IF(op!L144="","",op!L144)</f>
        <v/>
      </c>
      <c r="M256" s="570" t="str">
        <f t="shared" si="65"/>
        <v/>
      </c>
      <c r="N256" s="155"/>
      <c r="O256" s="571" t="str">
        <f>IF(I256="","",VLOOKUP(I256,tab!$A$119:$V$159,J256+3,FALSE))</f>
        <v/>
      </c>
      <c r="P256" s="572">
        <f t="shared" si="66"/>
        <v>0</v>
      </c>
      <c r="Q256" s="589">
        <f t="shared" si="74"/>
        <v>0.6</v>
      </c>
      <c r="R256" s="573">
        <f t="shared" si="75"/>
        <v>0</v>
      </c>
      <c r="S256" s="332">
        <f>IF(L256="",0,O256*12*L256*(1+tab!$D$108)*tab!$E$110)</f>
        <v>0</v>
      </c>
      <c r="T256" s="580">
        <f t="shared" si="76"/>
        <v>0</v>
      </c>
      <c r="U256" s="243">
        <f t="shared" si="67"/>
        <v>0</v>
      </c>
      <c r="V256" s="332">
        <f t="shared" si="68"/>
        <v>0</v>
      </c>
      <c r="W256" s="136"/>
      <c r="Z256" s="647" t="e">
        <f t="shared" si="69"/>
        <v>#VALUE!</v>
      </c>
      <c r="AA256" s="647" t="e">
        <f t="shared" si="70"/>
        <v>#VALUE!</v>
      </c>
      <c r="AB256" s="67">
        <f t="shared" si="71"/>
        <v>30</v>
      </c>
      <c r="AC256" s="67">
        <f t="shared" si="72"/>
        <v>30</v>
      </c>
      <c r="AD256" s="84">
        <f t="shared" si="73"/>
        <v>0</v>
      </c>
      <c r="AJ256" s="405"/>
    </row>
    <row r="257" spans="3:36" ht="12.75" customHeight="1">
      <c r="C257" s="131"/>
      <c r="D257" s="169" t="str">
        <f>IF(op!D145="","",op!D145)</f>
        <v/>
      </c>
      <c r="E257" s="169" t="str">
        <f>IF(op!E145=0,"",op!E145)</f>
        <v/>
      </c>
      <c r="F257" s="169" t="str">
        <f>IF(op!F145=0,"",op!F145)</f>
        <v/>
      </c>
      <c r="G257" s="170" t="str">
        <f>IF(op!G145="","",op!G145+1)</f>
        <v/>
      </c>
      <c r="H257" s="566" t="str">
        <f>IF(op!H145="","",op!H145)</f>
        <v/>
      </c>
      <c r="I257" s="170" t="str">
        <f>IF(op!I145=0,"-",op!I145)</f>
        <v/>
      </c>
      <c r="J257" s="567" t="str">
        <f>IF(E257="","",IF(op!J145&gt;LOOKUP(I257,schaal2011,regels2011),J145-1,IF(op!J145=LOOKUP(I257,schaal2011,regels2011),op!J145,J145+1)))</f>
        <v/>
      </c>
      <c r="K257" s="568" t="str">
        <f>IF(op!K145="","",op!K145)</f>
        <v/>
      </c>
      <c r="L257" s="569" t="str">
        <f>IF(op!L145="","",op!L145)</f>
        <v/>
      </c>
      <c r="M257" s="570" t="str">
        <f t="shared" si="65"/>
        <v/>
      </c>
      <c r="N257" s="155"/>
      <c r="O257" s="571" t="str">
        <f>IF(I257="","",VLOOKUP(I257,tab!$A$119:$V$159,J257+3,FALSE))</f>
        <v/>
      </c>
      <c r="P257" s="572">
        <f t="shared" si="66"/>
        <v>0</v>
      </c>
      <c r="Q257" s="589">
        <f t="shared" si="74"/>
        <v>0.6</v>
      </c>
      <c r="R257" s="573">
        <f t="shared" si="75"/>
        <v>0</v>
      </c>
      <c r="S257" s="332">
        <f>IF(L257="",0,O257*12*L257*(1+tab!$D$108)*tab!$E$110)</f>
        <v>0</v>
      </c>
      <c r="T257" s="580">
        <f t="shared" si="76"/>
        <v>0</v>
      </c>
      <c r="U257" s="243">
        <f t="shared" si="67"/>
        <v>0</v>
      </c>
      <c r="V257" s="332">
        <f t="shared" si="68"/>
        <v>0</v>
      </c>
      <c r="W257" s="136"/>
      <c r="Z257" s="647" t="e">
        <f t="shared" si="69"/>
        <v>#VALUE!</v>
      </c>
      <c r="AA257" s="647" t="e">
        <f t="shared" si="70"/>
        <v>#VALUE!</v>
      </c>
      <c r="AB257" s="67">
        <f t="shared" si="71"/>
        <v>30</v>
      </c>
      <c r="AC257" s="67">
        <f t="shared" si="72"/>
        <v>30</v>
      </c>
      <c r="AD257" s="84">
        <f t="shared" si="73"/>
        <v>0</v>
      </c>
      <c r="AJ257" s="405"/>
    </row>
    <row r="258" spans="3:36" ht="12.75" customHeight="1">
      <c r="C258" s="131"/>
      <c r="D258" s="169" t="str">
        <f>IF(op!D146="","",op!D146)</f>
        <v/>
      </c>
      <c r="E258" s="169" t="str">
        <f>IF(op!E146=0,"",op!E146)</f>
        <v/>
      </c>
      <c r="F258" s="169" t="str">
        <f>IF(op!F146=0,"",op!F146)</f>
        <v/>
      </c>
      <c r="G258" s="170" t="str">
        <f>IF(op!G146="","",op!G146+1)</f>
        <v/>
      </c>
      <c r="H258" s="566" t="str">
        <f>IF(op!H146="","",op!H146)</f>
        <v/>
      </c>
      <c r="I258" s="170" t="str">
        <f>IF(op!I146=0,"-",op!I146)</f>
        <v/>
      </c>
      <c r="J258" s="567" t="str">
        <f>IF(E258="","",IF(op!J146&gt;LOOKUP(I258,schaal2011,regels2011),J146-1,IF(op!J146=LOOKUP(I258,schaal2011,regels2011),op!J146,J146+1)))</f>
        <v/>
      </c>
      <c r="K258" s="568" t="str">
        <f>IF(op!K146="","",op!K146)</f>
        <v/>
      </c>
      <c r="L258" s="569" t="str">
        <f>IF(op!L146="","",op!L146)</f>
        <v/>
      </c>
      <c r="M258" s="570" t="str">
        <f t="shared" si="65"/>
        <v/>
      </c>
      <c r="N258" s="155"/>
      <c r="O258" s="571" t="str">
        <f>IF(I258="","",VLOOKUP(I258,tab!$A$119:$V$159,J258+3,FALSE))</f>
        <v/>
      </c>
      <c r="P258" s="572">
        <f t="shared" si="66"/>
        <v>0</v>
      </c>
      <c r="Q258" s="589">
        <f t="shared" si="74"/>
        <v>0.6</v>
      </c>
      <c r="R258" s="573">
        <f t="shared" si="75"/>
        <v>0</v>
      </c>
      <c r="S258" s="332">
        <f>IF(L258="",0,O258*12*L258*(1+tab!$D$108)*tab!$E$110)</f>
        <v>0</v>
      </c>
      <c r="T258" s="580">
        <f t="shared" si="76"/>
        <v>0</v>
      </c>
      <c r="U258" s="243">
        <f t="shared" si="67"/>
        <v>0</v>
      </c>
      <c r="V258" s="332">
        <f t="shared" si="68"/>
        <v>0</v>
      </c>
      <c r="W258" s="136"/>
      <c r="Z258" s="647" t="e">
        <f t="shared" si="69"/>
        <v>#VALUE!</v>
      </c>
      <c r="AA258" s="647" t="e">
        <f t="shared" si="70"/>
        <v>#VALUE!</v>
      </c>
      <c r="AB258" s="67">
        <f t="shared" si="71"/>
        <v>30</v>
      </c>
      <c r="AC258" s="67">
        <f t="shared" si="72"/>
        <v>30</v>
      </c>
      <c r="AD258" s="84">
        <f t="shared" si="73"/>
        <v>0</v>
      </c>
      <c r="AJ258" s="405"/>
    </row>
    <row r="259" spans="3:36" ht="12.75" customHeight="1">
      <c r="C259" s="131"/>
      <c r="D259" s="169" t="str">
        <f>IF(op!D147="","",op!D147)</f>
        <v/>
      </c>
      <c r="E259" s="169" t="str">
        <f>IF(op!E147=0,"",op!E147)</f>
        <v/>
      </c>
      <c r="F259" s="169" t="str">
        <f>IF(op!F147=0,"",op!F147)</f>
        <v/>
      </c>
      <c r="G259" s="170" t="str">
        <f>IF(op!G147="","",op!G147+1)</f>
        <v/>
      </c>
      <c r="H259" s="566" t="str">
        <f>IF(op!H147="","",op!H147)</f>
        <v/>
      </c>
      <c r="I259" s="170" t="str">
        <f>IF(op!I147=0,"-",op!I147)</f>
        <v/>
      </c>
      <c r="J259" s="567" t="str">
        <f>IF(E259="","",IF(op!J147&gt;LOOKUP(I259,schaal2011,regels2011),J147-1,IF(op!J147=LOOKUP(I259,schaal2011,regels2011),op!J147,J147+1)))</f>
        <v/>
      </c>
      <c r="K259" s="568" t="str">
        <f>IF(op!K147="","",op!K147)</f>
        <v/>
      </c>
      <c r="L259" s="569" t="str">
        <f>IF(op!L147="","",op!L147)</f>
        <v/>
      </c>
      <c r="M259" s="570" t="str">
        <f t="shared" si="65"/>
        <v/>
      </c>
      <c r="N259" s="155"/>
      <c r="O259" s="571" t="str">
        <f>IF(I259="","",VLOOKUP(I259,tab!$A$119:$V$159,J259+3,FALSE))</f>
        <v/>
      </c>
      <c r="P259" s="572">
        <f t="shared" si="66"/>
        <v>0</v>
      </c>
      <c r="Q259" s="589">
        <f t="shared" si="74"/>
        <v>0.6</v>
      </c>
      <c r="R259" s="573">
        <f t="shared" si="75"/>
        <v>0</v>
      </c>
      <c r="S259" s="332">
        <f>IF(L259="",0,O259*12*L259*(1+tab!$D$108)*tab!$E$110)</f>
        <v>0</v>
      </c>
      <c r="T259" s="580">
        <f t="shared" si="76"/>
        <v>0</v>
      </c>
      <c r="U259" s="243">
        <f t="shared" si="67"/>
        <v>0</v>
      </c>
      <c r="V259" s="332">
        <f t="shared" si="68"/>
        <v>0</v>
      </c>
      <c r="W259" s="136"/>
      <c r="Z259" s="647" t="e">
        <f t="shared" si="69"/>
        <v>#VALUE!</v>
      </c>
      <c r="AA259" s="647" t="e">
        <f t="shared" si="70"/>
        <v>#VALUE!</v>
      </c>
      <c r="AB259" s="67">
        <f t="shared" si="71"/>
        <v>30</v>
      </c>
      <c r="AC259" s="67">
        <f t="shared" si="72"/>
        <v>30</v>
      </c>
      <c r="AD259" s="84">
        <f t="shared" si="73"/>
        <v>0</v>
      </c>
      <c r="AJ259" s="405"/>
    </row>
    <row r="260" spans="3:36" ht="12.75" customHeight="1">
      <c r="C260" s="131"/>
      <c r="D260" s="169" t="str">
        <f>IF(op!D148="","",op!D148)</f>
        <v/>
      </c>
      <c r="E260" s="169" t="str">
        <f>IF(op!E148=0,"",op!E148)</f>
        <v/>
      </c>
      <c r="F260" s="169" t="str">
        <f>IF(op!F148=0,"",op!F148)</f>
        <v/>
      </c>
      <c r="G260" s="170" t="str">
        <f>IF(op!G148="","",op!G148+1)</f>
        <v/>
      </c>
      <c r="H260" s="566" t="str">
        <f>IF(op!H148="","",op!H148)</f>
        <v/>
      </c>
      <c r="I260" s="170" t="str">
        <f>IF(op!I148=0,"-",op!I148)</f>
        <v/>
      </c>
      <c r="J260" s="567" t="str">
        <f>IF(E260="","",IF(op!J148&gt;LOOKUP(I260,schaal2011,regels2011),J148-1,IF(op!J148=LOOKUP(I260,schaal2011,regels2011),op!J148,J148+1)))</f>
        <v/>
      </c>
      <c r="K260" s="568" t="str">
        <f>IF(op!K148="","",op!K148)</f>
        <v/>
      </c>
      <c r="L260" s="569" t="str">
        <f>IF(op!L148="","",op!L148)</f>
        <v/>
      </c>
      <c r="M260" s="570" t="str">
        <f t="shared" si="65"/>
        <v/>
      </c>
      <c r="N260" s="155"/>
      <c r="O260" s="571" t="str">
        <f>IF(I260="","",VLOOKUP(I260,tab!$A$119:$V$159,J260+3,FALSE))</f>
        <v/>
      </c>
      <c r="P260" s="572">
        <f t="shared" si="66"/>
        <v>0</v>
      </c>
      <c r="Q260" s="589">
        <f t="shared" si="74"/>
        <v>0.6</v>
      </c>
      <c r="R260" s="573">
        <f t="shared" si="75"/>
        <v>0</v>
      </c>
      <c r="S260" s="332">
        <f>IF(L260="",0,O260*12*L260*(1+tab!$D$108)*tab!$E$110)</f>
        <v>0</v>
      </c>
      <c r="T260" s="580">
        <f t="shared" si="76"/>
        <v>0</v>
      </c>
      <c r="U260" s="243">
        <f t="shared" si="67"/>
        <v>0</v>
      </c>
      <c r="V260" s="332">
        <f t="shared" si="68"/>
        <v>0</v>
      </c>
      <c r="W260" s="136"/>
      <c r="Z260" s="647" t="e">
        <f t="shared" si="69"/>
        <v>#VALUE!</v>
      </c>
      <c r="AA260" s="647" t="e">
        <f t="shared" si="70"/>
        <v>#VALUE!</v>
      </c>
      <c r="AB260" s="67">
        <f t="shared" si="71"/>
        <v>30</v>
      </c>
      <c r="AC260" s="67">
        <f t="shared" si="72"/>
        <v>30</v>
      </c>
      <c r="AD260" s="84">
        <f t="shared" si="73"/>
        <v>0</v>
      </c>
      <c r="AJ260" s="405"/>
    </row>
    <row r="261" spans="3:36" ht="12.75" customHeight="1">
      <c r="C261" s="131"/>
      <c r="D261" s="169" t="str">
        <f>IF(op!D149="","",op!D149)</f>
        <v/>
      </c>
      <c r="E261" s="169" t="str">
        <f>IF(op!E149=0,"",op!E149)</f>
        <v/>
      </c>
      <c r="F261" s="169" t="str">
        <f>IF(op!F149=0,"",op!F149)</f>
        <v/>
      </c>
      <c r="G261" s="170" t="str">
        <f>IF(op!G149="","",op!G149+1)</f>
        <v/>
      </c>
      <c r="H261" s="566" t="str">
        <f>IF(op!H149="","",op!H149)</f>
        <v/>
      </c>
      <c r="I261" s="170" t="str">
        <f>IF(op!I149=0,"-",op!I149)</f>
        <v/>
      </c>
      <c r="J261" s="567" t="str">
        <f>IF(E261="","",IF(op!J149&gt;LOOKUP(I261,schaal2011,regels2011),J149-1,IF(op!J149=LOOKUP(I261,schaal2011,regels2011),op!J149,J149+1)))</f>
        <v/>
      </c>
      <c r="K261" s="568" t="str">
        <f>IF(op!K149="","",op!K149)</f>
        <v/>
      </c>
      <c r="L261" s="569" t="str">
        <f>IF(op!L149="","",op!L149)</f>
        <v/>
      </c>
      <c r="M261" s="570" t="str">
        <f t="shared" si="65"/>
        <v/>
      </c>
      <c r="N261" s="155"/>
      <c r="O261" s="571" t="str">
        <f>IF(I261="","",VLOOKUP(I261,tab!$A$119:$V$159,J261+3,FALSE))</f>
        <v/>
      </c>
      <c r="P261" s="572">
        <f t="shared" si="66"/>
        <v>0</v>
      </c>
      <c r="Q261" s="589">
        <f t="shared" si="74"/>
        <v>0.6</v>
      </c>
      <c r="R261" s="573">
        <f t="shared" si="75"/>
        <v>0</v>
      </c>
      <c r="S261" s="332">
        <f>IF(L261="",0,O261*12*L261*(1+tab!$D$108)*tab!$E$110)</f>
        <v>0</v>
      </c>
      <c r="T261" s="580">
        <f t="shared" si="76"/>
        <v>0</v>
      </c>
      <c r="U261" s="243">
        <f t="shared" si="67"/>
        <v>0</v>
      </c>
      <c r="V261" s="332">
        <f t="shared" si="68"/>
        <v>0</v>
      </c>
      <c r="W261" s="136"/>
      <c r="Z261" s="647" t="e">
        <f t="shared" si="69"/>
        <v>#VALUE!</v>
      </c>
      <c r="AA261" s="647" t="e">
        <f t="shared" si="70"/>
        <v>#VALUE!</v>
      </c>
      <c r="AB261" s="67">
        <f t="shared" si="71"/>
        <v>30</v>
      </c>
      <c r="AC261" s="67">
        <f t="shared" si="72"/>
        <v>30</v>
      </c>
      <c r="AD261" s="84">
        <f t="shared" si="73"/>
        <v>0</v>
      </c>
      <c r="AJ261" s="405"/>
    </row>
    <row r="262" spans="3:36" ht="12.75" customHeight="1">
      <c r="C262" s="131"/>
      <c r="D262" s="169" t="str">
        <f>IF(op!D150="","",op!D150)</f>
        <v/>
      </c>
      <c r="E262" s="169" t="str">
        <f>IF(op!E150=0,"",op!E150)</f>
        <v/>
      </c>
      <c r="F262" s="169" t="str">
        <f>IF(op!F150=0,"",op!F150)</f>
        <v/>
      </c>
      <c r="G262" s="170" t="str">
        <f>IF(op!G150="","",op!G150+1)</f>
        <v/>
      </c>
      <c r="H262" s="566" t="str">
        <f>IF(op!H150="","",op!H150)</f>
        <v/>
      </c>
      <c r="I262" s="170" t="str">
        <f>IF(op!I150=0,"-",op!I150)</f>
        <v/>
      </c>
      <c r="J262" s="567" t="str">
        <f>IF(E262="","",IF(op!J150&gt;LOOKUP(I262,schaal2011,regels2011),J150-1,IF(op!J150=LOOKUP(I262,schaal2011,regels2011),op!J150,J150+1)))</f>
        <v/>
      </c>
      <c r="K262" s="568" t="str">
        <f>IF(op!K150="","",op!K150)</f>
        <v/>
      </c>
      <c r="L262" s="569" t="str">
        <f>IF(op!L150="","",op!L150)</f>
        <v/>
      </c>
      <c r="M262" s="570" t="str">
        <f t="shared" si="65"/>
        <v/>
      </c>
      <c r="N262" s="155"/>
      <c r="O262" s="571" t="str">
        <f>IF(I262="","",VLOOKUP(I262,tab!$A$119:$V$159,J262+3,FALSE))</f>
        <v/>
      </c>
      <c r="P262" s="572">
        <f t="shared" si="66"/>
        <v>0</v>
      </c>
      <c r="Q262" s="589">
        <f t="shared" si="74"/>
        <v>0.6</v>
      </c>
      <c r="R262" s="573">
        <f t="shared" si="75"/>
        <v>0</v>
      </c>
      <c r="S262" s="332">
        <f>IF(L262="",0,O262*12*L262*(1+tab!$D$108)*tab!$E$110)</f>
        <v>0</v>
      </c>
      <c r="T262" s="580">
        <f t="shared" si="76"/>
        <v>0</v>
      </c>
      <c r="U262" s="243">
        <f t="shared" si="67"/>
        <v>0</v>
      </c>
      <c r="V262" s="332">
        <f t="shared" si="68"/>
        <v>0</v>
      </c>
      <c r="W262" s="136"/>
      <c r="Z262" s="647" t="e">
        <f t="shared" si="69"/>
        <v>#VALUE!</v>
      </c>
      <c r="AA262" s="647" t="e">
        <f t="shared" si="70"/>
        <v>#VALUE!</v>
      </c>
      <c r="AB262" s="67">
        <f t="shared" si="71"/>
        <v>30</v>
      </c>
      <c r="AC262" s="67">
        <f t="shared" si="72"/>
        <v>30</v>
      </c>
      <c r="AD262" s="84">
        <f t="shared" si="73"/>
        <v>0</v>
      </c>
      <c r="AJ262" s="405"/>
    </row>
    <row r="263" spans="3:36" ht="12.75" customHeight="1">
      <c r="C263" s="131"/>
      <c r="D263" s="169" t="str">
        <f>IF(op!D151="","",op!D151)</f>
        <v/>
      </c>
      <c r="E263" s="169" t="str">
        <f>IF(op!E151=0,"",op!E151)</f>
        <v/>
      </c>
      <c r="F263" s="169" t="str">
        <f>IF(op!F151=0,"",op!F151)</f>
        <v/>
      </c>
      <c r="G263" s="170" t="str">
        <f>IF(op!G151="","",op!G151+1)</f>
        <v/>
      </c>
      <c r="H263" s="566" t="str">
        <f>IF(op!H151="","",op!H151)</f>
        <v/>
      </c>
      <c r="I263" s="170" t="str">
        <f>IF(op!I151=0,"-",op!I151)</f>
        <v/>
      </c>
      <c r="J263" s="567" t="str">
        <f>IF(E263="","",IF(op!J151&gt;LOOKUP(I263,schaal2011,regels2011),J151-1,IF(op!J151=LOOKUP(I263,schaal2011,regels2011),op!J151,J151+1)))</f>
        <v/>
      </c>
      <c r="K263" s="568" t="str">
        <f>IF(op!K151="","",op!K151)</f>
        <v/>
      </c>
      <c r="L263" s="569" t="str">
        <f>IF(op!L151="","",op!L151)</f>
        <v/>
      </c>
      <c r="M263" s="570" t="str">
        <f t="shared" si="65"/>
        <v/>
      </c>
      <c r="N263" s="155"/>
      <c r="O263" s="571" t="str">
        <f>IF(I263="","",VLOOKUP(I263,tab!$A$119:$V$159,J263+3,FALSE))</f>
        <v/>
      </c>
      <c r="P263" s="572">
        <f t="shared" si="66"/>
        <v>0</v>
      </c>
      <c r="Q263" s="589">
        <f t="shared" si="74"/>
        <v>0.6</v>
      </c>
      <c r="R263" s="573">
        <f t="shared" si="75"/>
        <v>0</v>
      </c>
      <c r="S263" s="332">
        <f>IF(L263="",0,O263*12*L263*(1+tab!$D$108)*tab!$E$110)</f>
        <v>0</v>
      </c>
      <c r="T263" s="580">
        <f t="shared" si="76"/>
        <v>0</v>
      </c>
      <c r="U263" s="243">
        <f t="shared" si="67"/>
        <v>0</v>
      </c>
      <c r="V263" s="332">
        <f t="shared" si="68"/>
        <v>0</v>
      </c>
      <c r="W263" s="136"/>
      <c r="Z263" s="647" t="e">
        <f t="shared" si="69"/>
        <v>#VALUE!</v>
      </c>
      <c r="AA263" s="647" t="e">
        <f t="shared" si="70"/>
        <v>#VALUE!</v>
      </c>
      <c r="AB263" s="67">
        <f t="shared" si="71"/>
        <v>30</v>
      </c>
      <c r="AC263" s="67">
        <f t="shared" si="72"/>
        <v>30</v>
      </c>
      <c r="AD263" s="84">
        <f t="shared" si="73"/>
        <v>0</v>
      </c>
      <c r="AJ263" s="405"/>
    </row>
    <row r="264" spans="3:36" ht="12.75" customHeight="1">
      <c r="C264" s="131"/>
      <c r="D264" s="169" t="str">
        <f>IF(op!D152="","",op!D152)</f>
        <v/>
      </c>
      <c r="E264" s="169" t="str">
        <f>IF(op!E152=0,"",op!E152)</f>
        <v/>
      </c>
      <c r="F264" s="169" t="str">
        <f>IF(op!F152=0,"",op!F152)</f>
        <v/>
      </c>
      <c r="G264" s="170" t="str">
        <f>IF(op!G152="","",op!G152+1)</f>
        <v/>
      </c>
      <c r="H264" s="566" t="str">
        <f>IF(op!H152="","",op!H152)</f>
        <v/>
      </c>
      <c r="I264" s="170" t="str">
        <f>IF(op!I152=0,"-",op!I152)</f>
        <v/>
      </c>
      <c r="J264" s="567" t="str">
        <f>IF(E264="","",IF(op!J152&gt;LOOKUP(I264,schaal2011,regels2011),J152-1,IF(op!J152=LOOKUP(I264,schaal2011,regels2011),op!J152,J152+1)))</f>
        <v/>
      </c>
      <c r="K264" s="568" t="str">
        <f>IF(op!K152="","",op!K152)</f>
        <v/>
      </c>
      <c r="L264" s="569" t="str">
        <f>IF(op!L152="","",op!L152)</f>
        <v/>
      </c>
      <c r="M264" s="570" t="str">
        <f t="shared" si="65"/>
        <v/>
      </c>
      <c r="N264" s="155"/>
      <c r="O264" s="571" t="str">
        <f>IF(I264="","",VLOOKUP(I264,tab!$A$119:$V$159,J264+3,FALSE))</f>
        <v/>
      </c>
      <c r="P264" s="572">
        <f t="shared" si="66"/>
        <v>0</v>
      </c>
      <c r="Q264" s="589">
        <f t="shared" si="74"/>
        <v>0.6</v>
      </c>
      <c r="R264" s="573">
        <f t="shared" si="75"/>
        <v>0</v>
      </c>
      <c r="S264" s="332">
        <f>IF(L264="",0,O264*12*L264*(1+tab!$D$108)*tab!$E$110)</f>
        <v>0</v>
      </c>
      <c r="T264" s="580">
        <f t="shared" si="76"/>
        <v>0</v>
      </c>
      <c r="U264" s="243">
        <f t="shared" si="67"/>
        <v>0</v>
      </c>
      <c r="V264" s="332">
        <f t="shared" si="68"/>
        <v>0</v>
      </c>
      <c r="W264" s="136"/>
      <c r="Z264" s="647" t="e">
        <f t="shared" si="69"/>
        <v>#VALUE!</v>
      </c>
      <c r="AA264" s="647" t="e">
        <f t="shared" si="70"/>
        <v>#VALUE!</v>
      </c>
      <c r="AB264" s="67">
        <f t="shared" si="71"/>
        <v>30</v>
      </c>
      <c r="AC264" s="67">
        <f t="shared" si="72"/>
        <v>30</v>
      </c>
      <c r="AD264" s="84">
        <f t="shared" si="73"/>
        <v>0</v>
      </c>
      <c r="AJ264" s="405"/>
    </row>
    <row r="265" spans="3:36" ht="12.75" customHeight="1">
      <c r="C265" s="131"/>
      <c r="D265" s="169" t="str">
        <f>IF(op!D153="","",op!D153)</f>
        <v/>
      </c>
      <c r="E265" s="169" t="str">
        <f>IF(op!E153=0,"",op!E153)</f>
        <v/>
      </c>
      <c r="F265" s="169" t="str">
        <f>IF(op!F153=0,"",op!F153)</f>
        <v/>
      </c>
      <c r="G265" s="170" t="str">
        <f>IF(op!G153="","",op!G153+1)</f>
        <v/>
      </c>
      <c r="H265" s="566" t="str">
        <f>IF(op!H153="","",op!H153)</f>
        <v/>
      </c>
      <c r="I265" s="170" t="str">
        <f>IF(op!I153=0,"-",op!I153)</f>
        <v/>
      </c>
      <c r="J265" s="567" t="str">
        <f>IF(E265="","",IF(op!J153&gt;LOOKUP(I265,schaal2011,regels2011),J153-1,IF(op!J153=LOOKUP(I265,schaal2011,regels2011),op!J153,J153+1)))</f>
        <v/>
      </c>
      <c r="K265" s="568" t="str">
        <f>IF(op!K153="","",op!K153)</f>
        <v/>
      </c>
      <c r="L265" s="569" t="str">
        <f>IF(op!L153="","",op!L153)</f>
        <v/>
      </c>
      <c r="M265" s="570" t="str">
        <f t="shared" si="65"/>
        <v/>
      </c>
      <c r="N265" s="155"/>
      <c r="O265" s="571" t="str">
        <f>IF(I265="","",VLOOKUP(I265,tab!$A$119:$V$159,J265+3,FALSE))</f>
        <v/>
      </c>
      <c r="P265" s="572">
        <f t="shared" si="66"/>
        <v>0</v>
      </c>
      <c r="Q265" s="589">
        <f t="shared" si="74"/>
        <v>0.6</v>
      </c>
      <c r="R265" s="573">
        <f t="shared" si="75"/>
        <v>0</v>
      </c>
      <c r="S265" s="332">
        <f>IF(L265="",0,O265*12*L265*(1+tab!$D$108)*tab!$E$110)</f>
        <v>0</v>
      </c>
      <c r="T265" s="580">
        <f t="shared" si="76"/>
        <v>0</v>
      </c>
      <c r="U265" s="243">
        <f t="shared" si="67"/>
        <v>0</v>
      </c>
      <c r="V265" s="332">
        <f t="shared" si="68"/>
        <v>0</v>
      </c>
      <c r="W265" s="136"/>
      <c r="Z265" s="647" t="e">
        <f t="shared" si="69"/>
        <v>#VALUE!</v>
      </c>
      <c r="AA265" s="647" t="e">
        <f t="shared" si="70"/>
        <v>#VALUE!</v>
      </c>
      <c r="AB265" s="67">
        <f t="shared" si="71"/>
        <v>30</v>
      </c>
      <c r="AC265" s="67">
        <f t="shared" si="72"/>
        <v>30</v>
      </c>
      <c r="AD265" s="84">
        <f t="shared" si="73"/>
        <v>0</v>
      </c>
      <c r="AJ265" s="405"/>
    </row>
    <row r="266" spans="3:36" ht="12.75" customHeight="1">
      <c r="C266" s="131"/>
      <c r="D266" s="169" t="str">
        <f>IF(op!D154="","",op!D154)</f>
        <v/>
      </c>
      <c r="E266" s="169" t="str">
        <f>IF(op!E154=0,"",op!E154)</f>
        <v/>
      </c>
      <c r="F266" s="169" t="str">
        <f>IF(op!F154=0,"",op!F154)</f>
        <v/>
      </c>
      <c r="G266" s="170" t="str">
        <f>IF(op!G154="","",op!G154+1)</f>
        <v/>
      </c>
      <c r="H266" s="566" t="str">
        <f>IF(op!H154="","",op!H154)</f>
        <v/>
      </c>
      <c r="I266" s="170" t="str">
        <f>IF(op!I154=0,"-",op!I154)</f>
        <v/>
      </c>
      <c r="J266" s="567" t="str">
        <f>IF(E266="","",IF(op!J154&gt;LOOKUP(I266,schaal2011,regels2011),J154-1,IF(op!J154=LOOKUP(I266,schaal2011,regels2011),op!J154,J154+1)))</f>
        <v/>
      </c>
      <c r="K266" s="568" t="str">
        <f>IF(op!K154="","",op!K154)</f>
        <v/>
      </c>
      <c r="L266" s="569" t="str">
        <f>IF(op!L154="","",op!L154)</f>
        <v/>
      </c>
      <c r="M266" s="570" t="str">
        <f t="shared" si="65"/>
        <v/>
      </c>
      <c r="N266" s="155"/>
      <c r="O266" s="571" t="str">
        <f>IF(I266="","",VLOOKUP(I266,tab!$A$119:$V$159,J266+3,FALSE))</f>
        <v/>
      </c>
      <c r="P266" s="572">
        <f t="shared" si="66"/>
        <v>0</v>
      </c>
      <c r="Q266" s="589">
        <f t="shared" si="74"/>
        <v>0.6</v>
      </c>
      <c r="R266" s="573">
        <f t="shared" si="75"/>
        <v>0</v>
      </c>
      <c r="S266" s="332">
        <f>IF(L266="",0,O266*12*L266*(1+tab!$D$108)*tab!$E$110)</f>
        <v>0</v>
      </c>
      <c r="T266" s="580">
        <f t="shared" si="76"/>
        <v>0</v>
      </c>
      <c r="U266" s="243">
        <f t="shared" si="67"/>
        <v>0</v>
      </c>
      <c r="V266" s="332">
        <f t="shared" si="68"/>
        <v>0</v>
      </c>
      <c r="W266" s="136"/>
      <c r="Z266" s="647" t="e">
        <f t="shared" si="69"/>
        <v>#VALUE!</v>
      </c>
      <c r="AA266" s="647" t="e">
        <f t="shared" si="70"/>
        <v>#VALUE!</v>
      </c>
      <c r="AB266" s="67">
        <f t="shared" si="71"/>
        <v>30</v>
      </c>
      <c r="AC266" s="67">
        <f t="shared" si="72"/>
        <v>30</v>
      </c>
      <c r="AD266" s="84">
        <f t="shared" si="73"/>
        <v>0</v>
      </c>
      <c r="AJ266" s="405"/>
    </row>
    <row r="267" spans="3:36" ht="12.75" customHeight="1">
      <c r="C267" s="131"/>
      <c r="D267" s="169" t="str">
        <f>IF(op!D155="","",op!D155)</f>
        <v/>
      </c>
      <c r="E267" s="169" t="str">
        <f>IF(op!E155=0,"",op!E155)</f>
        <v/>
      </c>
      <c r="F267" s="169" t="str">
        <f>IF(op!F155=0,"",op!F155)</f>
        <v/>
      </c>
      <c r="G267" s="170" t="str">
        <f>IF(op!G155="","",op!G155+1)</f>
        <v/>
      </c>
      <c r="H267" s="566" t="str">
        <f>IF(op!H155="","",op!H155)</f>
        <v/>
      </c>
      <c r="I267" s="170" t="str">
        <f>IF(op!I155=0,"-",op!I155)</f>
        <v/>
      </c>
      <c r="J267" s="567" t="str">
        <f>IF(E267="","",IF(op!J155&gt;LOOKUP(I267,schaal2011,regels2011),J155-1,IF(op!J155=LOOKUP(I267,schaal2011,regels2011),op!J155,J155+1)))</f>
        <v/>
      </c>
      <c r="K267" s="568" t="str">
        <f>IF(op!K155="","",op!K155)</f>
        <v/>
      </c>
      <c r="L267" s="569" t="str">
        <f>IF(op!L155="","",op!L155)</f>
        <v/>
      </c>
      <c r="M267" s="570" t="str">
        <f t="shared" si="65"/>
        <v/>
      </c>
      <c r="N267" s="155"/>
      <c r="O267" s="571" t="str">
        <f>IF(I267="","",VLOOKUP(I267,tab!$A$119:$V$159,J267+3,FALSE))</f>
        <v/>
      </c>
      <c r="P267" s="572">
        <f t="shared" si="66"/>
        <v>0</v>
      </c>
      <c r="Q267" s="589">
        <f t="shared" si="74"/>
        <v>0.6</v>
      </c>
      <c r="R267" s="573">
        <f t="shared" si="75"/>
        <v>0</v>
      </c>
      <c r="S267" s="332">
        <f>IF(L267="",0,O267*12*L267*(1+tab!$D$108)*tab!$E$110)</f>
        <v>0</v>
      </c>
      <c r="T267" s="580">
        <f t="shared" si="76"/>
        <v>0</v>
      </c>
      <c r="U267" s="243">
        <f t="shared" si="67"/>
        <v>0</v>
      </c>
      <c r="V267" s="332">
        <f t="shared" si="68"/>
        <v>0</v>
      </c>
      <c r="W267" s="136"/>
      <c r="Z267" s="647" t="e">
        <f t="shared" si="69"/>
        <v>#VALUE!</v>
      </c>
      <c r="AA267" s="647" t="e">
        <f t="shared" si="70"/>
        <v>#VALUE!</v>
      </c>
      <c r="AB267" s="67">
        <f t="shared" si="71"/>
        <v>30</v>
      </c>
      <c r="AC267" s="67">
        <f t="shared" si="72"/>
        <v>30</v>
      </c>
      <c r="AD267" s="84">
        <f t="shared" si="73"/>
        <v>0</v>
      </c>
      <c r="AJ267" s="405"/>
    </row>
    <row r="268" spans="3:36" ht="12.75" customHeight="1">
      <c r="C268" s="131"/>
      <c r="D268" s="169" t="str">
        <f>IF(op!D156="","",op!D156)</f>
        <v/>
      </c>
      <c r="E268" s="169" t="str">
        <f>IF(op!E156=0,"",op!E156)</f>
        <v/>
      </c>
      <c r="F268" s="169" t="str">
        <f>IF(op!F156=0,"",op!F156)</f>
        <v/>
      </c>
      <c r="G268" s="170" t="str">
        <f>IF(op!G156="","",op!G156+1)</f>
        <v/>
      </c>
      <c r="H268" s="566" t="str">
        <f>IF(op!H156="","",op!H156)</f>
        <v/>
      </c>
      <c r="I268" s="170" t="str">
        <f>IF(op!I156=0,"-",op!I156)</f>
        <v/>
      </c>
      <c r="J268" s="567" t="str">
        <f>IF(E268="","",IF(op!J156&gt;LOOKUP(I268,schaal2011,regels2011),J156-1,IF(op!J156=LOOKUP(I268,schaal2011,regels2011),op!J156,J156+1)))</f>
        <v/>
      </c>
      <c r="K268" s="568" t="str">
        <f>IF(op!K156="","",op!K156)</f>
        <v/>
      </c>
      <c r="L268" s="569" t="str">
        <f>IF(op!L156="","",op!L156)</f>
        <v/>
      </c>
      <c r="M268" s="570" t="str">
        <f t="shared" si="65"/>
        <v/>
      </c>
      <c r="N268" s="155"/>
      <c r="O268" s="571" t="str">
        <f>IF(I268="","",VLOOKUP(I268,tab!$A$119:$V$159,J268+3,FALSE))</f>
        <v/>
      </c>
      <c r="P268" s="572">
        <f t="shared" si="66"/>
        <v>0</v>
      </c>
      <c r="Q268" s="589">
        <f t="shared" si="74"/>
        <v>0.6</v>
      </c>
      <c r="R268" s="573">
        <f t="shared" si="75"/>
        <v>0</v>
      </c>
      <c r="S268" s="332">
        <f>IF(L268="",0,O268*12*L268*(1+tab!$D$108)*tab!$E$110)</f>
        <v>0</v>
      </c>
      <c r="T268" s="580">
        <f t="shared" si="76"/>
        <v>0</v>
      </c>
      <c r="U268" s="243">
        <f t="shared" si="67"/>
        <v>0</v>
      </c>
      <c r="V268" s="332">
        <f t="shared" si="68"/>
        <v>0</v>
      </c>
      <c r="W268" s="136"/>
      <c r="Z268" s="647" t="e">
        <f t="shared" si="69"/>
        <v>#VALUE!</v>
      </c>
      <c r="AA268" s="647" t="e">
        <f t="shared" si="70"/>
        <v>#VALUE!</v>
      </c>
      <c r="AB268" s="67">
        <f t="shared" si="71"/>
        <v>30</v>
      </c>
      <c r="AC268" s="67">
        <f t="shared" si="72"/>
        <v>30</v>
      </c>
      <c r="AD268" s="84">
        <f t="shared" si="73"/>
        <v>0</v>
      </c>
      <c r="AJ268" s="405"/>
    </row>
    <row r="269" spans="3:36" ht="12.75" customHeight="1">
      <c r="C269" s="131"/>
      <c r="D269" s="169" t="str">
        <f>IF(op!D157="","",op!D157)</f>
        <v/>
      </c>
      <c r="E269" s="169" t="str">
        <f>IF(op!E157=0,"",op!E157)</f>
        <v/>
      </c>
      <c r="F269" s="169" t="str">
        <f>IF(op!F157=0,"",op!F157)</f>
        <v/>
      </c>
      <c r="G269" s="170" t="str">
        <f>IF(op!G157="","",op!G157+1)</f>
        <v/>
      </c>
      <c r="H269" s="566" t="str">
        <f>IF(op!H157="","",op!H157)</f>
        <v/>
      </c>
      <c r="I269" s="170" t="str">
        <f>IF(op!I157=0,"-",op!I157)</f>
        <v/>
      </c>
      <c r="J269" s="567" t="str">
        <f>IF(E269="","",IF(op!J157&gt;LOOKUP(I269,schaal2011,regels2011),J157-1,IF(op!J157=LOOKUP(I269,schaal2011,regels2011),op!J157,J157+1)))</f>
        <v/>
      </c>
      <c r="K269" s="568" t="str">
        <f>IF(op!K157="","",op!K157)</f>
        <v/>
      </c>
      <c r="L269" s="569" t="str">
        <f>IF(op!L157="","",op!L157)</f>
        <v/>
      </c>
      <c r="M269" s="570" t="str">
        <f t="shared" si="65"/>
        <v/>
      </c>
      <c r="N269" s="155"/>
      <c r="O269" s="571" t="str">
        <f>IF(I269="","",VLOOKUP(I269,tab!$A$119:$V$159,J269+3,FALSE))</f>
        <v/>
      </c>
      <c r="P269" s="572">
        <f t="shared" si="66"/>
        <v>0</v>
      </c>
      <c r="Q269" s="589">
        <f t="shared" si="74"/>
        <v>0.6</v>
      </c>
      <c r="R269" s="573">
        <f t="shared" si="75"/>
        <v>0</v>
      </c>
      <c r="S269" s="332">
        <f>IF(L269="",0,O269*12*L269*(1+tab!$D$108)*tab!$E$110)</f>
        <v>0</v>
      </c>
      <c r="T269" s="580">
        <f t="shared" si="76"/>
        <v>0</v>
      </c>
      <c r="U269" s="243">
        <f t="shared" si="67"/>
        <v>0</v>
      </c>
      <c r="V269" s="332">
        <f t="shared" si="68"/>
        <v>0</v>
      </c>
      <c r="W269" s="136"/>
      <c r="Z269" s="647" t="e">
        <f t="shared" si="69"/>
        <v>#VALUE!</v>
      </c>
      <c r="AA269" s="647" t="e">
        <f t="shared" si="70"/>
        <v>#VALUE!</v>
      </c>
      <c r="AB269" s="67">
        <f t="shared" si="71"/>
        <v>30</v>
      </c>
      <c r="AC269" s="67">
        <f t="shared" si="72"/>
        <v>30</v>
      </c>
      <c r="AD269" s="84">
        <f t="shared" si="73"/>
        <v>0</v>
      </c>
      <c r="AJ269" s="405"/>
    </row>
    <row r="270" spans="3:36" ht="12.75" customHeight="1">
      <c r="C270" s="131"/>
      <c r="D270" s="169" t="str">
        <f>IF(op!D158="","",op!D158)</f>
        <v/>
      </c>
      <c r="E270" s="169" t="str">
        <f>IF(op!E158=0,"",op!E158)</f>
        <v/>
      </c>
      <c r="F270" s="169" t="str">
        <f>IF(op!F158=0,"",op!F158)</f>
        <v/>
      </c>
      <c r="G270" s="170" t="str">
        <f>IF(op!G158="","",op!G158+1)</f>
        <v/>
      </c>
      <c r="H270" s="566" t="str">
        <f>IF(op!H158="","",op!H158)</f>
        <v/>
      </c>
      <c r="I270" s="170" t="str">
        <f>IF(op!I158=0,"-",op!I158)</f>
        <v/>
      </c>
      <c r="J270" s="567" t="str">
        <f>IF(E270="","",IF(op!J158&gt;LOOKUP(I270,schaal2011,regels2011),J158-1,IF(op!J158=LOOKUP(I270,schaal2011,regels2011),op!J158,J158+1)))</f>
        <v/>
      </c>
      <c r="K270" s="568" t="str">
        <f>IF(op!K158="","",op!K158)</f>
        <v/>
      </c>
      <c r="L270" s="569" t="str">
        <f>IF(op!L158="","",op!L158)</f>
        <v/>
      </c>
      <c r="M270" s="570" t="str">
        <f t="shared" si="65"/>
        <v/>
      </c>
      <c r="N270" s="155"/>
      <c r="O270" s="571" t="str">
        <f>IF(I270="","",VLOOKUP(I270,tab!$A$119:$V$159,J270+3,FALSE))</f>
        <v/>
      </c>
      <c r="P270" s="572">
        <f t="shared" si="66"/>
        <v>0</v>
      </c>
      <c r="Q270" s="589">
        <f t="shared" si="74"/>
        <v>0.6</v>
      </c>
      <c r="R270" s="573">
        <f t="shared" si="75"/>
        <v>0</v>
      </c>
      <c r="S270" s="332">
        <f>IF(L270="",0,O270*12*L270*(1+tab!$D$108)*tab!$E$110)</f>
        <v>0</v>
      </c>
      <c r="T270" s="580">
        <f t="shared" si="76"/>
        <v>0</v>
      </c>
      <c r="U270" s="243">
        <f t="shared" si="67"/>
        <v>0</v>
      </c>
      <c r="V270" s="332">
        <f t="shared" si="68"/>
        <v>0</v>
      </c>
      <c r="W270" s="136"/>
      <c r="Z270" s="647" t="e">
        <f t="shared" si="69"/>
        <v>#VALUE!</v>
      </c>
      <c r="AA270" s="647" t="e">
        <f t="shared" si="70"/>
        <v>#VALUE!</v>
      </c>
      <c r="AB270" s="67">
        <f t="shared" si="71"/>
        <v>30</v>
      </c>
      <c r="AC270" s="67">
        <f t="shared" si="72"/>
        <v>30</v>
      </c>
      <c r="AD270" s="84">
        <f t="shared" si="73"/>
        <v>0</v>
      </c>
      <c r="AJ270" s="405"/>
    </row>
    <row r="271" spans="3:36" ht="12.75" customHeight="1">
      <c r="C271" s="131"/>
      <c r="D271" s="169" t="str">
        <f>IF(op!D159="","",op!D159)</f>
        <v/>
      </c>
      <c r="E271" s="169" t="str">
        <f>IF(op!E159=0,"",op!E159)</f>
        <v/>
      </c>
      <c r="F271" s="169" t="str">
        <f>IF(op!F159=0,"",op!F159)</f>
        <v/>
      </c>
      <c r="G271" s="170" t="str">
        <f>IF(op!G159="","",op!G159+1)</f>
        <v/>
      </c>
      <c r="H271" s="566" t="str">
        <f>IF(op!H159="","",op!H159)</f>
        <v/>
      </c>
      <c r="I271" s="170" t="str">
        <f>IF(op!I159=0,"-",op!I159)</f>
        <v/>
      </c>
      <c r="J271" s="567" t="str">
        <f>IF(E271="","",IF(op!J159&gt;LOOKUP(I271,schaal2011,regels2011),J159-1,IF(op!J159=LOOKUP(I271,schaal2011,regels2011),op!J159,J159+1)))</f>
        <v/>
      </c>
      <c r="K271" s="568" t="str">
        <f>IF(op!K159="","",op!K159)</f>
        <v/>
      </c>
      <c r="L271" s="569" t="str">
        <f>IF(op!L159="","",op!L159)</f>
        <v/>
      </c>
      <c r="M271" s="570" t="str">
        <f t="shared" si="65"/>
        <v/>
      </c>
      <c r="N271" s="155"/>
      <c r="O271" s="571" t="str">
        <f>IF(I271="","",VLOOKUP(I271,tab!$A$119:$V$159,J271+3,FALSE))</f>
        <v/>
      </c>
      <c r="P271" s="572">
        <f t="shared" si="66"/>
        <v>0</v>
      </c>
      <c r="Q271" s="589">
        <f t="shared" si="74"/>
        <v>0.6</v>
      </c>
      <c r="R271" s="573">
        <f t="shared" si="75"/>
        <v>0</v>
      </c>
      <c r="S271" s="332">
        <f>IF(L271="",0,O271*12*L271*(1+tab!$D$108)*tab!$E$110)</f>
        <v>0</v>
      </c>
      <c r="T271" s="580">
        <f t="shared" si="76"/>
        <v>0</v>
      </c>
      <c r="U271" s="243">
        <f t="shared" si="67"/>
        <v>0</v>
      </c>
      <c r="V271" s="332">
        <f t="shared" si="68"/>
        <v>0</v>
      </c>
      <c r="W271" s="136"/>
      <c r="Z271" s="647" t="e">
        <f t="shared" si="69"/>
        <v>#VALUE!</v>
      </c>
      <c r="AA271" s="647" t="e">
        <f t="shared" si="70"/>
        <v>#VALUE!</v>
      </c>
      <c r="AB271" s="67">
        <f t="shared" si="71"/>
        <v>30</v>
      </c>
      <c r="AC271" s="67">
        <f t="shared" si="72"/>
        <v>30</v>
      </c>
      <c r="AD271" s="84">
        <f t="shared" si="73"/>
        <v>0</v>
      </c>
      <c r="AJ271" s="405"/>
    </row>
    <row r="272" spans="3:36" ht="12.75" customHeight="1">
      <c r="C272" s="131"/>
      <c r="D272" s="169" t="str">
        <f>IF(op!D160="","",op!D160)</f>
        <v/>
      </c>
      <c r="E272" s="169" t="str">
        <f>IF(op!E160=0,"",op!E160)</f>
        <v/>
      </c>
      <c r="F272" s="169" t="str">
        <f>IF(op!F160=0,"",op!F160)</f>
        <v/>
      </c>
      <c r="G272" s="170" t="str">
        <f>IF(op!G160="","",op!G160+1)</f>
        <v/>
      </c>
      <c r="H272" s="566" t="str">
        <f>IF(op!H160="","",op!H160)</f>
        <v/>
      </c>
      <c r="I272" s="170" t="str">
        <f>IF(op!I160=0,"-",op!I160)</f>
        <v/>
      </c>
      <c r="J272" s="567" t="str">
        <f>IF(E272="","",IF(op!J160&gt;LOOKUP(I272,schaal2011,regels2011),J160-1,IF(op!J160=LOOKUP(I272,schaal2011,regels2011),op!J160,J160+1)))</f>
        <v/>
      </c>
      <c r="K272" s="568" t="str">
        <f>IF(op!K160="","",op!K160)</f>
        <v/>
      </c>
      <c r="L272" s="569" t="str">
        <f>IF(op!L160="","",op!L160)</f>
        <v/>
      </c>
      <c r="M272" s="570" t="str">
        <f t="shared" ref="M272:M288" si="77">(IF(L272="",(K272),(K272)-L272))</f>
        <v/>
      </c>
      <c r="N272" s="155"/>
      <c r="O272" s="571" t="str">
        <f>IF(I272="","",VLOOKUP(I272,tab!$A$119:$V$159,J272+3,FALSE))</f>
        <v/>
      </c>
      <c r="P272" s="572">
        <f t="shared" ref="P272:P303" si="78">IF(E272="",0,(O272*M272*12))</f>
        <v>0</v>
      </c>
      <c r="Q272" s="589">
        <f t="shared" si="74"/>
        <v>0.6</v>
      </c>
      <c r="R272" s="573">
        <f t="shared" si="75"/>
        <v>0</v>
      </c>
      <c r="S272" s="332">
        <f>IF(L272="",0,O272*12*L272*(1+tab!$D$108)*tab!$E$110)</f>
        <v>0</v>
      </c>
      <c r="T272" s="580">
        <f t="shared" si="76"/>
        <v>0</v>
      </c>
      <c r="U272" s="243">
        <f t="shared" si="67"/>
        <v>0</v>
      </c>
      <c r="V272" s="332">
        <f t="shared" ref="V272:V303" si="79">IF(U272=25,(O272*1.08*(K272)/2),IF(U272=40,(O272*1.08*(K272)),IF(U272=0,0)))</f>
        <v>0</v>
      </c>
      <c r="W272" s="136"/>
      <c r="Z272" s="647" t="e">
        <f t="shared" ref="Z272:Z303" si="80">DATE(YEAR($E$233),MONTH(H272),DAY(H272))&gt;$E$233</f>
        <v>#VALUE!</v>
      </c>
      <c r="AA272" s="647" t="e">
        <f t="shared" ref="AA272:AA303" si="81">YEAR($E$233)-YEAR(H272)-Z272</f>
        <v>#VALUE!</v>
      </c>
      <c r="AB272" s="67">
        <f t="shared" ref="AB272:AB303" si="82">IF((H272=""),30,AA272)</f>
        <v>30</v>
      </c>
      <c r="AC272" s="67">
        <f t="shared" ref="AC272:AC339" si="83">IF((AB272)&gt;50,50,(AB272))</f>
        <v>30</v>
      </c>
      <c r="AD272" s="84">
        <f t="shared" ref="AD272:AD303" si="84">(AC272*(SUM(K272:K272)))</f>
        <v>0</v>
      </c>
      <c r="AJ272" s="405"/>
    </row>
    <row r="273" spans="3:36" ht="12.75" customHeight="1">
      <c r="C273" s="131"/>
      <c r="D273" s="169" t="str">
        <f>IF(op!D161="","",op!D161)</f>
        <v/>
      </c>
      <c r="E273" s="169" t="str">
        <f>IF(op!E161=0,"",op!E161)</f>
        <v/>
      </c>
      <c r="F273" s="169" t="str">
        <f>IF(op!F161=0,"",op!F161)</f>
        <v/>
      </c>
      <c r="G273" s="170" t="str">
        <f>IF(op!G161="","",op!G161+1)</f>
        <v/>
      </c>
      <c r="H273" s="566" t="str">
        <f>IF(op!H161="","",op!H161)</f>
        <v/>
      </c>
      <c r="I273" s="170" t="str">
        <f>IF(op!I161=0,"-",op!I161)</f>
        <v/>
      </c>
      <c r="J273" s="567" t="str">
        <f>IF(E273="","",IF(op!J161&gt;LOOKUP(I273,schaal2011,regels2011),J161-1,IF(op!J161=LOOKUP(I273,schaal2011,regels2011),op!J161,J161+1)))</f>
        <v/>
      </c>
      <c r="K273" s="568" t="str">
        <f>IF(op!K161="","",op!K161)</f>
        <v/>
      </c>
      <c r="L273" s="569" t="str">
        <f>IF(op!L161="","",op!L161)</f>
        <v/>
      </c>
      <c r="M273" s="570" t="str">
        <f t="shared" si="77"/>
        <v/>
      </c>
      <c r="N273" s="155"/>
      <c r="O273" s="571" t="str">
        <f>IF(I273="","",VLOOKUP(I273,tab!$A$119:$V$159,J273+3,FALSE))</f>
        <v/>
      </c>
      <c r="P273" s="572">
        <f t="shared" si="78"/>
        <v>0</v>
      </c>
      <c r="Q273" s="589">
        <f t="shared" si="74"/>
        <v>0.6</v>
      </c>
      <c r="R273" s="573">
        <f t="shared" si="75"/>
        <v>0</v>
      </c>
      <c r="S273" s="332">
        <f>IF(L273="",0,O273*12*L273*(1+tab!$D$108)*tab!$E$110)</f>
        <v>0</v>
      </c>
      <c r="T273" s="580">
        <f t="shared" si="76"/>
        <v>0</v>
      </c>
      <c r="U273" s="243">
        <f t="shared" si="67"/>
        <v>0</v>
      </c>
      <c r="V273" s="332">
        <f t="shared" si="79"/>
        <v>0</v>
      </c>
      <c r="W273" s="136"/>
      <c r="Z273" s="647" t="e">
        <f t="shared" si="80"/>
        <v>#VALUE!</v>
      </c>
      <c r="AA273" s="647" t="e">
        <f t="shared" si="81"/>
        <v>#VALUE!</v>
      </c>
      <c r="AB273" s="67">
        <f t="shared" si="82"/>
        <v>30</v>
      </c>
      <c r="AC273" s="67">
        <f t="shared" si="83"/>
        <v>30</v>
      </c>
      <c r="AD273" s="84">
        <f t="shared" si="84"/>
        <v>0</v>
      </c>
      <c r="AJ273" s="405"/>
    </row>
    <row r="274" spans="3:36" ht="12.75" customHeight="1">
      <c r="C274" s="131"/>
      <c r="D274" s="169" t="str">
        <f>IF(op!D162="","",op!D162)</f>
        <v/>
      </c>
      <c r="E274" s="169" t="str">
        <f>IF(op!E162=0,"",op!E162)</f>
        <v/>
      </c>
      <c r="F274" s="169" t="str">
        <f>IF(op!F162=0,"",op!F162)</f>
        <v/>
      </c>
      <c r="G274" s="170" t="str">
        <f>IF(op!G162="","",op!G162+1)</f>
        <v/>
      </c>
      <c r="H274" s="566" t="str">
        <f>IF(op!H162="","",op!H162)</f>
        <v/>
      </c>
      <c r="I274" s="170" t="str">
        <f>IF(op!I162=0,"-",op!I162)</f>
        <v/>
      </c>
      <c r="J274" s="567" t="str">
        <f>IF(E274="","",IF(op!J162&gt;LOOKUP(I274,schaal2011,regels2011),J162-1,IF(op!J162=LOOKUP(I274,schaal2011,regels2011),op!J162,J162+1)))</f>
        <v/>
      </c>
      <c r="K274" s="568" t="str">
        <f>IF(op!K162="","",op!K162)</f>
        <v/>
      </c>
      <c r="L274" s="569" t="str">
        <f>IF(op!L162="","",op!L162)</f>
        <v/>
      </c>
      <c r="M274" s="570" t="str">
        <f t="shared" si="77"/>
        <v/>
      </c>
      <c r="N274" s="155"/>
      <c r="O274" s="571" t="str">
        <f>IF(I274="","",VLOOKUP(I274,tab!$A$119:$V$159,J274+3,FALSE))</f>
        <v/>
      </c>
      <c r="P274" s="572">
        <f t="shared" si="78"/>
        <v>0</v>
      </c>
      <c r="Q274" s="589">
        <f t="shared" si="74"/>
        <v>0.6</v>
      </c>
      <c r="R274" s="573">
        <f t="shared" si="75"/>
        <v>0</v>
      </c>
      <c r="S274" s="332">
        <f>IF(L274="",0,O274*12*L274*(1+tab!$D$108)*tab!$E$110)</f>
        <v>0</v>
      </c>
      <c r="T274" s="580">
        <f t="shared" si="76"/>
        <v>0</v>
      </c>
      <c r="U274" s="243">
        <f t="shared" si="67"/>
        <v>0</v>
      </c>
      <c r="V274" s="332">
        <f t="shared" si="79"/>
        <v>0</v>
      </c>
      <c r="W274" s="136"/>
      <c r="Z274" s="647" t="e">
        <f t="shared" si="80"/>
        <v>#VALUE!</v>
      </c>
      <c r="AA274" s="647" t="e">
        <f t="shared" si="81"/>
        <v>#VALUE!</v>
      </c>
      <c r="AB274" s="67">
        <f t="shared" si="82"/>
        <v>30</v>
      </c>
      <c r="AC274" s="67">
        <f t="shared" si="83"/>
        <v>30</v>
      </c>
      <c r="AD274" s="84">
        <f t="shared" si="84"/>
        <v>0</v>
      </c>
      <c r="AJ274" s="405"/>
    </row>
    <row r="275" spans="3:36" ht="12.75" customHeight="1">
      <c r="C275" s="131"/>
      <c r="D275" s="169" t="str">
        <f>IF(op!D163="","",op!D163)</f>
        <v/>
      </c>
      <c r="E275" s="169" t="str">
        <f>IF(op!E163=0,"",op!E163)</f>
        <v/>
      </c>
      <c r="F275" s="169" t="str">
        <f>IF(op!F163=0,"",op!F163)</f>
        <v/>
      </c>
      <c r="G275" s="170" t="str">
        <f>IF(op!G163="","",op!G163+1)</f>
        <v/>
      </c>
      <c r="H275" s="566" t="str">
        <f>IF(op!H163="","",op!H163)</f>
        <v/>
      </c>
      <c r="I275" s="170" t="str">
        <f>IF(op!I163=0,"-",op!I163)</f>
        <v/>
      </c>
      <c r="J275" s="567" t="str">
        <f>IF(E275="","",IF(op!J163&gt;LOOKUP(I275,schaal2011,regels2011),J163-1,IF(op!J163=LOOKUP(I275,schaal2011,regels2011),op!J163,J163+1)))</f>
        <v/>
      </c>
      <c r="K275" s="568" t="str">
        <f>IF(op!K163="","",op!K163)</f>
        <v/>
      </c>
      <c r="L275" s="569" t="str">
        <f>IF(op!L163="","",op!L163)</f>
        <v/>
      </c>
      <c r="M275" s="570" t="str">
        <f t="shared" si="77"/>
        <v/>
      </c>
      <c r="N275" s="155"/>
      <c r="O275" s="571" t="str">
        <f>IF(I275="","",VLOOKUP(I275,tab!$A$119:$V$159,J275+3,FALSE))</f>
        <v/>
      </c>
      <c r="P275" s="572">
        <f t="shared" si="78"/>
        <v>0</v>
      </c>
      <c r="Q275" s="589">
        <f t="shared" si="74"/>
        <v>0.6</v>
      </c>
      <c r="R275" s="573">
        <f t="shared" si="75"/>
        <v>0</v>
      </c>
      <c r="S275" s="332">
        <f>IF(L275="",0,O275*12*L275*(1+tab!$D$108)*tab!$E$110)</f>
        <v>0</v>
      </c>
      <c r="T275" s="580">
        <f t="shared" si="76"/>
        <v>0</v>
      </c>
      <c r="U275" s="243">
        <f t="shared" si="67"/>
        <v>0</v>
      </c>
      <c r="V275" s="332">
        <f t="shared" si="79"/>
        <v>0</v>
      </c>
      <c r="W275" s="136"/>
      <c r="Z275" s="647" t="e">
        <f t="shared" si="80"/>
        <v>#VALUE!</v>
      </c>
      <c r="AA275" s="647" t="e">
        <f t="shared" si="81"/>
        <v>#VALUE!</v>
      </c>
      <c r="AB275" s="67">
        <f t="shared" si="82"/>
        <v>30</v>
      </c>
      <c r="AC275" s="67">
        <f t="shared" si="83"/>
        <v>30</v>
      </c>
      <c r="AD275" s="84">
        <f t="shared" si="84"/>
        <v>0</v>
      </c>
      <c r="AJ275" s="405"/>
    </row>
    <row r="276" spans="3:36" ht="12.75" customHeight="1">
      <c r="C276" s="131"/>
      <c r="D276" s="169" t="str">
        <f>IF(op!D164="","",op!D164)</f>
        <v/>
      </c>
      <c r="E276" s="169" t="str">
        <f>IF(op!E164=0,"",op!E164)</f>
        <v/>
      </c>
      <c r="F276" s="169" t="str">
        <f>IF(op!F164=0,"",op!F164)</f>
        <v/>
      </c>
      <c r="G276" s="170" t="str">
        <f>IF(op!G164="","",op!G164+1)</f>
        <v/>
      </c>
      <c r="H276" s="566" t="str">
        <f>IF(op!H164="","",op!H164)</f>
        <v/>
      </c>
      <c r="I276" s="170" t="str">
        <f>IF(op!I164=0,"-",op!I164)</f>
        <v/>
      </c>
      <c r="J276" s="567" t="str">
        <f>IF(E276="","",IF(op!J164&gt;LOOKUP(I276,schaal2011,regels2011),J164-1,IF(op!J164=LOOKUP(I276,schaal2011,regels2011),op!J164,J164+1)))</f>
        <v/>
      </c>
      <c r="K276" s="568" t="str">
        <f>IF(op!K164="","",op!K164)</f>
        <v/>
      </c>
      <c r="L276" s="569" t="str">
        <f>IF(op!L164="","",op!L164)</f>
        <v/>
      </c>
      <c r="M276" s="570" t="str">
        <f t="shared" si="77"/>
        <v/>
      </c>
      <c r="N276" s="155"/>
      <c r="O276" s="571" t="str">
        <f>IF(I276="","",VLOOKUP(I276,tab!$A$119:$V$159,J276+3,FALSE))</f>
        <v/>
      </c>
      <c r="P276" s="572">
        <f t="shared" si="78"/>
        <v>0</v>
      </c>
      <c r="Q276" s="589">
        <f t="shared" si="74"/>
        <v>0.6</v>
      </c>
      <c r="R276" s="573">
        <f t="shared" si="75"/>
        <v>0</v>
      </c>
      <c r="S276" s="332">
        <f>IF(L276="",0,O276*12*L276*(1+tab!$D$108)*tab!$E$110)</f>
        <v>0</v>
      </c>
      <c r="T276" s="580">
        <f t="shared" si="76"/>
        <v>0</v>
      </c>
      <c r="U276" s="243">
        <f t="shared" si="67"/>
        <v>0</v>
      </c>
      <c r="V276" s="332">
        <f t="shared" si="79"/>
        <v>0</v>
      </c>
      <c r="W276" s="136"/>
      <c r="Z276" s="647" t="e">
        <f t="shared" si="80"/>
        <v>#VALUE!</v>
      </c>
      <c r="AA276" s="647" t="e">
        <f t="shared" si="81"/>
        <v>#VALUE!</v>
      </c>
      <c r="AB276" s="67">
        <f t="shared" si="82"/>
        <v>30</v>
      </c>
      <c r="AC276" s="67">
        <f t="shared" si="83"/>
        <v>30</v>
      </c>
      <c r="AD276" s="84">
        <f t="shared" si="84"/>
        <v>0</v>
      </c>
      <c r="AJ276" s="405"/>
    </row>
    <row r="277" spans="3:36" ht="12.75" customHeight="1">
      <c r="C277" s="131"/>
      <c r="D277" s="169" t="str">
        <f>IF(op!D165="","",op!D165)</f>
        <v/>
      </c>
      <c r="E277" s="169" t="str">
        <f>IF(op!E165=0,"",op!E165)</f>
        <v/>
      </c>
      <c r="F277" s="169" t="str">
        <f>IF(op!F165=0,"",op!F165)</f>
        <v/>
      </c>
      <c r="G277" s="170" t="str">
        <f>IF(op!G165="","",op!G165+1)</f>
        <v/>
      </c>
      <c r="H277" s="566" t="str">
        <f>IF(op!H165="","",op!H165)</f>
        <v/>
      </c>
      <c r="I277" s="170" t="str">
        <f>IF(op!I165=0,"-",op!I165)</f>
        <v/>
      </c>
      <c r="J277" s="567" t="str">
        <f>IF(E277="","",IF(op!J165&gt;LOOKUP(I277,schaal2011,regels2011),J165-1,IF(op!J165=LOOKUP(I277,schaal2011,regels2011),op!J165,J165+1)))</f>
        <v/>
      </c>
      <c r="K277" s="568" t="str">
        <f>IF(op!K165="","",op!K165)</f>
        <v/>
      </c>
      <c r="L277" s="569" t="str">
        <f>IF(op!L165="","",op!L165)</f>
        <v/>
      </c>
      <c r="M277" s="570" t="str">
        <f t="shared" si="77"/>
        <v/>
      </c>
      <c r="N277" s="155"/>
      <c r="O277" s="571" t="str">
        <f>IF(I277="","",VLOOKUP(I277,tab!$A$119:$V$159,J277+3,FALSE))</f>
        <v/>
      </c>
      <c r="P277" s="572">
        <f t="shared" si="78"/>
        <v>0</v>
      </c>
      <c r="Q277" s="589">
        <f t="shared" si="74"/>
        <v>0.6</v>
      </c>
      <c r="R277" s="573">
        <f t="shared" si="75"/>
        <v>0</v>
      </c>
      <c r="S277" s="332">
        <f>IF(L277="",0,O277*12*L277*(1+tab!$D$108)*tab!$E$110)</f>
        <v>0</v>
      </c>
      <c r="T277" s="580">
        <f t="shared" si="76"/>
        <v>0</v>
      </c>
      <c r="U277" s="243">
        <f t="shared" si="67"/>
        <v>0</v>
      </c>
      <c r="V277" s="332">
        <f t="shared" si="79"/>
        <v>0</v>
      </c>
      <c r="W277" s="136"/>
      <c r="Z277" s="647" t="e">
        <f t="shared" si="80"/>
        <v>#VALUE!</v>
      </c>
      <c r="AA277" s="647" t="e">
        <f t="shared" si="81"/>
        <v>#VALUE!</v>
      </c>
      <c r="AB277" s="67">
        <f t="shared" si="82"/>
        <v>30</v>
      </c>
      <c r="AC277" s="67">
        <f t="shared" si="83"/>
        <v>30</v>
      </c>
      <c r="AD277" s="84">
        <f t="shared" si="84"/>
        <v>0</v>
      </c>
      <c r="AJ277" s="405"/>
    </row>
    <row r="278" spans="3:36" ht="12.75" customHeight="1">
      <c r="C278" s="131"/>
      <c r="D278" s="169" t="str">
        <f>IF(op!D166="","",op!D166)</f>
        <v/>
      </c>
      <c r="E278" s="169" t="str">
        <f>IF(op!E166=0,"",op!E166)</f>
        <v/>
      </c>
      <c r="F278" s="169" t="str">
        <f>IF(op!F166=0,"",op!F166)</f>
        <v/>
      </c>
      <c r="G278" s="170" t="str">
        <f>IF(op!G166="","",op!G166+1)</f>
        <v/>
      </c>
      <c r="H278" s="566" t="str">
        <f>IF(op!H166="","",op!H166)</f>
        <v/>
      </c>
      <c r="I278" s="170" t="str">
        <f>IF(op!I166=0,"-",op!I166)</f>
        <v/>
      </c>
      <c r="J278" s="567" t="str">
        <f>IF(E278="","",IF(op!J166&gt;LOOKUP(I278,schaal2011,regels2011),J166-1,IF(op!J166=LOOKUP(I278,schaal2011,regels2011),op!J166,J166+1)))</f>
        <v/>
      </c>
      <c r="K278" s="568" t="str">
        <f>IF(op!K166="","",op!K166)</f>
        <v/>
      </c>
      <c r="L278" s="569" t="str">
        <f>IF(op!L166="","",op!L166)</f>
        <v/>
      </c>
      <c r="M278" s="570" t="str">
        <f t="shared" si="77"/>
        <v/>
      </c>
      <c r="N278" s="155"/>
      <c r="O278" s="571" t="str">
        <f>IF(I278="","",VLOOKUP(I278,tab!$A$119:$V$159,J278+3,FALSE))</f>
        <v/>
      </c>
      <c r="P278" s="572">
        <f t="shared" si="78"/>
        <v>0</v>
      </c>
      <c r="Q278" s="589">
        <f t="shared" si="74"/>
        <v>0.6</v>
      </c>
      <c r="R278" s="573">
        <f t="shared" si="75"/>
        <v>0</v>
      </c>
      <c r="S278" s="332">
        <f>IF(L278="",0,O278*12*L278*(1+tab!$D$108)*tab!$E$110)</f>
        <v>0</v>
      </c>
      <c r="T278" s="580">
        <f t="shared" si="76"/>
        <v>0</v>
      </c>
      <c r="U278" s="243">
        <f t="shared" si="67"/>
        <v>0</v>
      </c>
      <c r="V278" s="332">
        <f t="shared" si="79"/>
        <v>0</v>
      </c>
      <c r="W278" s="136"/>
      <c r="Z278" s="647" t="e">
        <f t="shared" si="80"/>
        <v>#VALUE!</v>
      </c>
      <c r="AA278" s="647" t="e">
        <f t="shared" si="81"/>
        <v>#VALUE!</v>
      </c>
      <c r="AB278" s="67">
        <f t="shared" si="82"/>
        <v>30</v>
      </c>
      <c r="AC278" s="67">
        <f t="shared" si="83"/>
        <v>30</v>
      </c>
      <c r="AD278" s="84">
        <f t="shared" si="84"/>
        <v>0</v>
      </c>
      <c r="AJ278" s="405"/>
    </row>
    <row r="279" spans="3:36" ht="12.75" customHeight="1">
      <c r="C279" s="131"/>
      <c r="D279" s="169" t="str">
        <f>IF(op!D167="","",op!D167)</f>
        <v/>
      </c>
      <c r="E279" s="169" t="str">
        <f>IF(op!E167=0,"",op!E167)</f>
        <v/>
      </c>
      <c r="F279" s="169" t="str">
        <f>IF(op!F167=0,"",op!F167)</f>
        <v/>
      </c>
      <c r="G279" s="170" t="str">
        <f>IF(op!G167="","",op!G167+1)</f>
        <v/>
      </c>
      <c r="H279" s="566" t="str">
        <f>IF(op!H167="","",op!H167)</f>
        <v/>
      </c>
      <c r="I279" s="170" t="str">
        <f>IF(op!I167=0,"-",op!I167)</f>
        <v/>
      </c>
      <c r="J279" s="567" t="str">
        <f>IF(E279="","",IF(op!J167&gt;LOOKUP(I279,schaal2011,regels2011),J167-1,IF(op!J167=LOOKUP(I279,schaal2011,regels2011),op!J167,J167+1)))</f>
        <v/>
      </c>
      <c r="K279" s="568" t="str">
        <f>IF(op!K167="","",op!K167)</f>
        <v/>
      </c>
      <c r="L279" s="569" t="str">
        <f>IF(op!L167="","",op!L167)</f>
        <v/>
      </c>
      <c r="M279" s="570" t="str">
        <f t="shared" si="77"/>
        <v/>
      </c>
      <c r="N279" s="155"/>
      <c r="O279" s="571" t="str">
        <f>IF(I279="","",VLOOKUP(I279,tab!$A$119:$V$159,J279+3,FALSE))</f>
        <v/>
      </c>
      <c r="P279" s="572">
        <f t="shared" si="78"/>
        <v>0</v>
      </c>
      <c r="Q279" s="589">
        <f t="shared" si="74"/>
        <v>0.6</v>
      </c>
      <c r="R279" s="573">
        <f t="shared" si="75"/>
        <v>0</v>
      </c>
      <c r="S279" s="332">
        <f>IF(L279="",0,O279*12*L279*(1+tab!$D$108)*tab!$E$110)</f>
        <v>0</v>
      </c>
      <c r="T279" s="580">
        <f t="shared" si="76"/>
        <v>0</v>
      </c>
      <c r="U279" s="243">
        <f t="shared" si="67"/>
        <v>0</v>
      </c>
      <c r="V279" s="332">
        <f t="shared" si="79"/>
        <v>0</v>
      </c>
      <c r="W279" s="136"/>
      <c r="Z279" s="647" t="e">
        <f t="shared" si="80"/>
        <v>#VALUE!</v>
      </c>
      <c r="AA279" s="647" t="e">
        <f t="shared" si="81"/>
        <v>#VALUE!</v>
      </c>
      <c r="AB279" s="67">
        <f t="shared" si="82"/>
        <v>30</v>
      </c>
      <c r="AC279" s="67">
        <f t="shared" si="83"/>
        <v>30</v>
      </c>
      <c r="AD279" s="84">
        <f t="shared" si="84"/>
        <v>0</v>
      </c>
      <c r="AJ279" s="405"/>
    </row>
    <row r="280" spans="3:36" ht="12.75" customHeight="1">
      <c r="C280" s="131"/>
      <c r="D280" s="169" t="str">
        <f>IF(op!D168="","",op!D168)</f>
        <v/>
      </c>
      <c r="E280" s="169" t="str">
        <f>IF(op!E168=0,"",op!E168)</f>
        <v/>
      </c>
      <c r="F280" s="169" t="str">
        <f>IF(op!F168=0,"",op!F168)</f>
        <v/>
      </c>
      <c r="G280" s="170" t="str">
        <f>IF(op!G168="","",op!G168+1)</f>
        <v/>
      </c>
      <c r="H280" s="566" t="str">
        <f>IF(op!H168="","",op!H168)</f>
        <v/>
      </c>
      <c r="I280" s="170" t="str">
        <f>IF(op!I168=0,"-",op!I168)</f>
        <v/>
      </c>
      <c r="J280" s="567" t="str">
        <f>IF(E280="","",IF(op!J168&gt;LOOKUP(I280,schaal2011,regels2011),J168-1,IF(op!J168=LOOKUP(I280,schaal2011,regels2011),op!J168,J168+1)))</f>
        <v/>
      </c>
      <c r="K280" s="568" t="str">
        <f>IF(op!K168="","",op!K168)</f>
        <v/>
      </c>
      <c r="L280" s="569" t="str">
        <f>IF(op!L168="","",op!L168)</f>
        <v/>
      </c>
      <c r="M280" s="570" t="str">
        <f t="shared" si="77"/>
        <v/>
      </c>
      <c r="N280" s="155"/>
      <c r="O280" s="571" t="str">
        <f>IF(I280="","",VLOOKUP(I280,tab!$A$119:$V$159,J280+3,FALSE))</f>
        <v/>
      </c>
      <c r="P280" s="572">
        <f t="shared" si="78"/>
        <v>0</v>
      </c>
      <c r="Q280" s="589">
        <f t="shared" si="74"/>
        <v>0.6</v>
      </c>
      <c r="R280" s="573">
        <f t="shared" si="75"/>
        <v>0</v>
      </c>
      <c r="S280" s="332">
        <f>IF(L280="",0,O280*12*L280*(1+tab!$D$108)*tab!$E$110)</f>
        <v>0</v>
      </c>
      <c r="T280" s="580">
        <f t="shared" si="76"/>
        <v>0</v>
      </c>
      <c r="U280" s="243">
        <f t="shared" si="67"/>
        <v>0</v>
      </c>
      <c r="V280" s="332">
        <f t="shared" si="79"/>
        <v>0</v>
      </c>
      <c r="W280" s="136"/>
      <c r="Z280" s="647" t="e">
        <f t="shared" si="80"/>
        <v>#VALUE!</v>
      </c>
      <c r="AA280" s="647" t="e">
        <f t="shared" si="81"/>
        <v>#VALUE!</v>
      </c>
      <c r="AB280" s="67">
        <f t="shared" si="82"/>
        <v>30</v>
      </c>
      <c r="AC280" s="67">
        <f t="shared" si="83"/>
        <v>30</v>
      </c>
      <c r="AD280" s="84">
        <f t="shared" si="84"/>
        <v>0</v>
      </c>
      <c r="AJ280" s="405"/>
    </row>
    <row r="281" spans="3:36" ht="12.75" customHeight="1">
      <c r="C281" s="131"/>
      <c r="D281" s="169" t="str">
        <f>IF(op!D169="","",op!D169)</f>
        <v/>
      </c>
      <c r="E281" s="169" t="str">
        <f>IF(op!E169=0,"",op!E169)</f>
        <v/>
      </c>
      <c r="F281" s="169" t="str">
        <f>IF(op!F169=0,"",op!F169)</f>
        <v/>
      </c>
      <c r="G281" s="170" t="str">
        <f>IF(op!G169="","",op!G169+1)</f>
        <v/>
      </c>
      <c r="H281" s="566" t="str">
        <f>IF(op!H169="","",op!H169)</f>
        <v/>
      </c>
      <c r="I281" s="170" t="str">
        <f>IF(op!I169=0,"-",op!I169)</f>
        <v/>
      </c>
      <c r="J281" s="567" t="str">
        <f>IF(E281="","",IF(op!J169&gt;LOOKUP(I281,schaal2011,regels2011),J169-1,IF(op!J169=LOOKUP(I281,schaal2011,regels2011),op!J169,J169+1)))</f>
        <v/>
      </c>
      <c r="K281" s="568" t="str">
        <f>IF(op!K169="","",op!K169)</f>
        <v/>
      </c>
      <c r="L281" s="569" t="str">
        <f>IF(op!L169="","",op!L169)</f>
        <v/>
      </c>
      <c r="M281" s="570" t="str">
        <f t="shared" si="77"/>
        <v/>
      </c>
      <c r="N281" s="155"/>
      <c r="O281" s="571" t="str">
        <f>IF(I281="","",VLOOKUP(I281,tab!$A$119:$V$159,J281+3,FALSE))</f>
        <v/>
      </c>
      <c r="P281" s="572">
        <f t="shared" si="78"/>
        <v>0</v>
      </c>
      <c r="Q281" s="589">
        <f t="shared" si="74"/>
        <v>0.6</v>
      </c>
      <c r="R281" s="573">
        <f t="shared" si="75"/>
        <v>0</v>
      </c>
      <c r="S281" s="332">
        <f>IF(L281="",0,O281*12*L281*(1+tab!$D$108)*tab!$E$110)</f>
        <v>0</v>
      </c>
      <c r="T281" s="580">
        <f t="shared" si="76"/>
        <v>0</v>
      </c>
      <c r="U281" s="243">
        <f t="shared" si="67"/>
        <v>0</v>
      </c>
      <c r="V281" s="332">
        <f t="shared" si="79"/>
        <v>0</v>
      </c>
      <c r="W281" s="136"/>
      <c r="Z281" s="647" t="e">
        <f t="shared" si="80"/>
        <v>#VALUE!</v>
      </c>
      <c r="AA281" s="647" t="e">
        <f t="shared" si="81"/>
        <v>#VALUE!</v>
      </c>
      <c r="AB281" s="67">
        <f t="shared" si="82"/>
        <v>30</v>
      </c>
      <c r="AC281" s="67">
        <f t="shared" si="83"/>
        <v>30</v>
      </c>
      <c r="AD281" s="84">
        <f t="shared" si="84"/>
        <v>0</v>
      </c>
      <c r="AJ281" s="405"/>
    </row>
    <row r="282" spans="3:36" ht="12.75" customHeight="1">
      <c r="C282" s="131"/>
      <c r="D282" s="169" t="str">
        <f>IF(op!D170="","",op!D170)</f>
        <v/>
      </c>
      <c r="E282" s="169" t="str">
        <f>IF(op!E170=0,"",op!E170)</f>
        <v/>
      </c>
      <c r="F282" s="169" t="str">
        <f>IF(op!F170=0,"",op!F170)</f>
        <v/>
      </c>
      <c r="G282" s="170" t="str">
        <f>IF(op!G170="","",op!G170+1)</f>
        <v/>
      </c>
      <c r="H282" s="566" t="str">
        <f>IF(op!H170="","",op!H170)</f>
        <v/>
      </c>
      <c r="I282" s="170" t="str">
        <f>IF(op!I170=0,"-",op!I170)</f>
        <v/>
      </c>
      <c r="J282" s="567" t="str">
        <f>IF(E282="","",IF(op!J170&gt;LOOKUP(I282,schaal2011,regels2011),J170-1,IF(op!J170=LOOKUP(I282,schaal2011,regels2011),op!J170,J170+1)))</f>
        <v/>
      </c>
      <c r="K282" s="568" t="str">
        <f>IF(op!K170="","",op!K170)</f>
        <v/>
      </c>
      <c r="L282" s="569" t="str">
        <f>IF(op!L170="","",op!L170)</f>
        <v/>
      </c>
      <c r="M282" s="570" t="str">
        <f t="shared" si="77"/>
        <v/>
      </c>
      <c r="N282" s="155"/>
      <c r="O282" s="571" t="str">
        <f>IF(I282="","",VLOOKUP(I282,tab!$A$119:$V$159,J282+3,FALSE))</f>
        <v/>
      </c>
      <c r="P282" s="572">
        <f t="shared" si="78"/>
        <v>0</v>
      </c>
      <c r="Q282" s="589">
        <f t="shared" si="74"/>
        <v>0.6</v>
      </c>
      <c r="R282" s="573">
        <f t="shared" si="75"/>
        <v>0</v>
      </c>
      <c r="S282" s="332">
        <f>IF(L282="",0,O282*12*L282*(1+tab!$D$108)*tab!$E$110)</f>
        <v>0</v>
      </c>
      <c r="T282" s="580">
        <f t="shared" si="76"/>
        <v>0</v>
      </c>
      <c r="U282" s="243">
        <f t="shared" si="67"/>
        <v>0</v>
      </c>
      <c r="V282" s="332">
        <f t="shared" si="79"/>
        <v>0</v>
      </c>
      <c r="W282" s="136"/>
      <c r="Z282" s="647" t="e">
        <f t="shared" si="80"/>
        <v>#VALUE!</v>
      </c>
      <c r="AA282" s="647" t="e">
        <f t="shared" si="81"/>
        <v>#VALUE!</v>
      </c>
      <c r="AB282" s="67">
        <f t="shared" si="82"/>
        <v>30</v>
      </c>
      <c r="AC282" s="67">
        <f t="shared" si="83"/>
        <v>30</v>
      </c>
      <c r="AD282" s="84">
        <f t="shared" si="84"/>
        <v>0</v>
      </c>
      <c r="AJ282" s="405"/>
    </row>
    <row r="283" spans="3:36" ht="12.75" customHeight="1">
      <c r="C283" s="131"/>
      <c r="D283" s="169" t="str">
        <f>IF(op!D171="","",op!D171)</f>
        <v/>
      </c>
      <c r="E283" s="169" t="str">
        <f>IF(op!E171=0,"",op!E171)</f>
        <v/>
      </c>
      <c r="F283" s="169" t="str">
        <f>IF(op!F171=0,"",op!F171)</f>
        <v/>
      </c>
      <c r="G283" s="170" t="str">
        <f>IF(op!G171="","",op!G171+1)</f>
        <v/>
      </c>
      <c r="H283" s="566" t="str">
        <f>IF(op!H171="","",op!H171)</f>
        <v/>
      </c>
      <c r="I283" s="170" t="str">
        <f>IF(op!I171=0,"-",op!I171)</f>
        <v/>
      </c>
      <c r="J283" s="567" t="str">
        <f>IF(E283="","",IF(op!J171&gt;LOOKUP(I283,schaal2011,regels2011),J171-1,IF(op!J171=LOOKUP(I283,schaal2011,regels2011),op!J171,J171+1)))</f>
        <v/>
      </c>
      <c r="K283" s="568" t="str">
        <f>IF(op!K171="","",op!K171)</f>
        <v/>
      </c>
      <c r="L283" s="569" t="str">
        <f>IF(op!L171="","",op!L171)</f>
        <v/>
      </c>
      <c r="M283" s="570" t="str">
        <f t="shared" si="77"/>
        <v/>
      </c>
      <c r="N283" s="155"/>
      <c r="O283" s="571" t="str">
        <f>IF(I283="","",VLOOKUP(I283,tab!$A$119:$V$159,J283+3,FALSE))</f>
        <v/>
      </c>
      <c r="P283" s="572">
        <f t="shared" si="78"/>
        <v>0</v>
      </c>
      <c r="Q283" s="589">
        <f t="shared" si="74"/>
        <v>0.6</v>
      </c>
      <c r="R283" s="573">
        <f t="shared" si="75"/>
        <v>0</v>
      </c>
      <c r="S283" s="332">
        <f>IF(L283="",0,O283*12*L283*(1+tab!$D$108)*tab!$E$110)</f>
        <v>0</v>
      </c>
      <c r="T283" s="580">
        <f t="shared" si="76"/>
        <v>0</v>
      </c>
      <c r="U283" s="243">
        <f t="shared" si="67"/>
        <v>0</v>
      </c>
      <c r="V283" s="332">
        <f t="shared" si="79"/>
        <v>0</v>
      </c>
      <c r="W283" s="136"/>
      <c r="Z283" s="647" t="e">
        <f t="shared" si="80"/>
        <v>#VALUE!</v>
      </c>
      <c r="AA283" s="647" t="e">
        <f t="shared" si="81"/>
        <v>#VALUE!</v>
      </c>
      <c r="AB283" s="67">
        <f t="shared" si="82"/>
        <v>30</v>
      </c>
      <c r="AC283" s="67">
        <f t="shared" si="83"/>
        <v>30</v>
      </c>
      <c r="AD283" s="84">
        <f t="shared" si="84"/>
        <v>0</v>
      </c>
      <c r="AJ283" s="405"/>
    </row>
    <row r="284" spans="3:36" ht="12.75" customHeight="1">
      <c r="C284" s="131"/>
      <c r="D284" s="169" t="str">
        <f>IF(op!D172="","",op!D172)</f>
        <v/>
      </c>
      <c r="E284" s="169" t="str">
        <f>IF(op!E172=0,"",op!E172)</f>
        <v/>
      </c>
      <c r="F284" s="169" t="str">
        <f>IF(op!F172=0,"",op!F172)</f>
        <v/>
      </c>
      <c r="G284" s="170" t="str">
        <f>IF(op!G172="","",op!G172+1)</f>
        <v/>
      </c>
      <c r="H284" s="566" t="str">
        <f>IF(op!H172="","",op!H172)</f>
        <v/>
      </c>
      <c r="I284" s="170" t="str">
        <f>IF(op!I172=0,"-",op!I172)</f>
        <v/>
      </c>
      <c r="J284" s="567" t="str">
        <f>IF(E284="","",IF(op!J172&gt;LOOKUP(I284,schaal2011,regels2011),J172-1,IF(op!J172=LOOKUP(I284,schaal2011,regels2011),op!J172,J172+1)))</f>
        <v/>
      </c>
      <c r="K284" s="568" t="str">
        <f>IF(op!K172="","",op!K172)</f>
        <v/>
      </c>
      <c r="L284" s="569" t="str">
        <f>IF(op!L172="","",op!L172)</f>
        <v/>
      </c>
      <c r="M284" s="570" t="str">
        <f t="shared" si="77"/>
        <v/>
      </c>
      <c r="N284" s="155"/>
      <c r="O284" s="571" t="str">
        <f>IF(I284="","",VLOOKUP(I284,tab!$A$119:$V$159,J284+3,FALSE))</f>
        <v/>
      </c>
      <c r="P284" s="572">
        <f t="shared" si="78"/>
        <v>0</v>
      </c>
      <c r="Q284" s="589">
        <f t="shared" si="74"/>
        <v>0.6</v>
      </c>
      <c r="R284" s="573">
        <f t="shared" si="75"/>
        <v>0</v>
      </c>
      <c r="S284" s="332">
        <f>IF(L284="",0,O284*12*L284*(1+tab!$D$108)*tab!$E$110)</f>
        <v>0</v>
      </c>
      <c r="T284" s="580">
        <f t="shared" si="76"/>
        <v>0</v>
      </c>
      <c r="U284" s="243">
        <f t="shared" si="67"/>
        <v>0</v>
      </c>
      <c r="V284" s="332">
        <f t="shared" si="79"/>
        <v>0</v>
      </c>
      <c r="W284" s="136"/>
      <c r="Z284" s="647" t="e">
        <f t="shared" si="80"/>
        <v>#VALUE!</v>
      </c>
      <c r="AA284" s="647" t="e">
        <f t="shared" si="81"/>
        <v>#VALUE!</v>
      </c>
      <c r="AB284" s="67">
        <f t="shared" si="82"/>
        <v>30</v>
      </c>
      <c r="AC284" s="67">
        <f t="shared" si="83"/>
        <v>30</v>
      </c>
      <c r="AD284" s="84">
        <f t="shared" si="84"/>
        <v>0</v>
      </c>
      <c r="AJ284" s="405"/>
    </row>
    <row r="285" spans="3:36" ht="12.75" customHeight="1">
      <c r="C285" s="131"/>
      <c r="D285" s="169" t="str">
        <f>IF(op!D173="","",op!D173)</f>
        <v/>
      </c>
      <c r="E285" s="169" t="str">
        <f>IF(op!E173=0,"",op!E173)</f>
        <v/>
      </c>
      <c r="F285" s="169" t="str">
        <f>IF(op!F173=0,"",op!F173)</f>
        <v/>
      </c>
      <c r="G285" s="170" t="str">
        <f>IF(op!G173="","",op!G173+1)</f>
        <v/>
      </c>
      <c r="H285" s="566" t="str">
        <f>IF(op!H173="","",op!H173)</f>
        <v/>
      </c>
      <c r="I285" s="170" t="str">
        <f>IF(op!I173=0,"-",op!I173)</f>
        <v/>
      </c>
      <c r="J285" s="567" t="str">
        <f>IF(E285="","",IF(op!J173&gt;LOOKUP(I285,schaal2011,regels2011),J173-1,IF(op!J173=LOOKUP(I285,schaal2011,regels2011),op!J173,J173+1)))</f>
        <v/>
      </c>
      <c r="K285" s="568" t="str">
        <f>IF(op!K173="","",op!K173)</f>
        <v/>
      </c>
      <c r="L285" s="569" t="str">
        <f>IF(op!L173="","",op!L173)</f>
        <v/>
      </c>
      <c r="M285" s="570" t="str">
        <f t="shared" si="77"/>
        <v/>
      </c>
      <c r="N285" s="155"/>
      <c r="O285" s="571" t="str">
        <f>IF(I285="","",VLOOKUP(I285,tab!$A$119:$V$159,J285+3,FALSE))</f>
        <v/>
      </c>
      <c r="P285" s="572">
        <f t="shared" si="78"/>
        <v>0</v>
      </c>
      <c r="Q285" s="589">
        <f t="shared" si="74"/>
        <v>0.6</v>
      </c>
      <c r="R285" s="573">
        <f t="shared" si="75"/>
        <v>0</v>
      </c>
      <c r="S285" s="332">
        <f>IF(L285="",0,O285*12*L285*(1+tab!$D$108)*tab!$E$110)</f>
        <v>0</v>
      </c>
      <c r="T285" s="580">
        <f t="shared" si="76"/>
        <v>0</v>
      </c>
      <c r="U285" s="243">
        <f t="shared" si="67"/>
        <v>0</v>
      </c>
      <c r="V285" s="332">
        <f t="shared" si="79"/>
        <v>0</v>
      </c>
      <c r="W285" s="136"/>
      <c r="Z285" s="647" t="e">
        <f t="shared" si="80"/>
        <v>#VALUE!</v>
      </c>
      <c r="AA285" s="647" t="e">
        <f t="shared" si="81"/>
        <v>#VALUE!</v>
      </c>
      <c r="AB285" s="67">
        <f t="shared" si="82"/>
        <v>30</v>
      </c>
      <c r="AC285" s="67">
        <f t="shared" si="83"/>
        <v>30</v>
      </c>
      <c r="AD285" s="84">
        <f t="shared" si="84"/>
        <v>0</v>
      </c>
      <c r="AJ285" s="405"/>
    </row>
    <row r="286" spans="3:36" ht="12.75" customHeight="1">
      <c r="C286" s="131"/>
      <c r="D286" s="169" t="str">
        <f>IF(op!D174="","",op!D174)</f>
        <v/>
      </c>
      <c r="E286" s="169" t="str">
        <f>IF(op!E174=0,"",op!E174)</f>
        <v/>
      </c>
      <c r="F286" s="169" t="str">
        <f>IF(op!F174=0,"",op!F174)</f>
        <v/>
      </c>
      <c r="G286" s="170" t="str">
        <f>IF(op!G174="","",op!G174+1)</f>
        <v/>
      </c>
      <c r="H286" s="566" t="str">
        <f>IF(op!H174="","",op!H174)</f>
        <v/>
      </c>
      <c r="I286" s="170" t="str">
        <f>IF(op!I174=0,"-",op!I174)</f>
        <v/>
      </c>
      <c r="J286" s="567" t="str">
        <f>IF(E286="","",IF(op!J174&gt;LOOKUP(I286,schaal2011,regels2011),J174-1,IF(op!J174=LOOKUP(I286,schaal2011,regels2011),op!J174,J174+1)))</f>
        <v/>
      </c>
      <c r="K286" s="568" t="str">
        <f>IF(op!K174="","",op!K174)</f>
        <v/>
      </c>
      <c r="L286" s="569" t="str">
        <f>IF(op!L174="","",op!L174)</f>
        <v/>
      </c>
      <c r="M286" s="570" t="str">
        <f t="shared" si="77"/>
        <v/>
      </c>
      <c r="N286" s="155"/>
      <c r="O286" s="571" t="str">
        <f>IF(I286="","",VLOOKUP(I286,tab!$A$119:$V$159,J286+3,FALSE))</f>
        <v/>
      </c>
      <c r="P286" s="572">
        <f t="shared" si="78"/>
        <v>0</v>
      </c>
      <c r="Q286" s="589">
        <f t="shared" si="74"/>
        <v>0.6</v>
      </c>
      <c r="R286" s="573">
        <f t="shared" si="75"/>
        <v>0</v>
      </c>
      <c r="S286" s="332">
        <f>IF(L286="",0,O286*12*L286*(1+tab!$D$108)*tab!$E$110)</f>
        <v>0</v>
      </c>
      <c r="T286" s="580">
        <f t="shared" si="76"/>
        <v>0</v>
      </c>
      <c r="U286" s="243">
        <f t="shared" si="67"/>
        <v>0</v>
      </c>
      <c r="V286" s="332">
        <f t="shared" si="79"/>
        <v>0</v>
      </c>
      <c r="W286" s="136"/>
      <c r="Z286" s="647" t="e">
        <f t="shared" si="80"/>
        <v>#VALUE!</v>
      </c>
      <c r="AA286" s="647" t="e">
        <f t="shared" si="81"/>
        <v>#VALUE!</v>
      </c>
      <c r="AB286" s="67">
        <f t="shared" si="82"/>
        <v>30</v>
      </c>
      <c r="AC286" s="67">
        <f t="shared" si="83"/>
        <v>30</v>
      </c>
      <c r="AD286" s="84">
        <f t="shared" si="84"/>
        <v>0</v>
      </c>
      <c r="AJ286" s="405"/>
    </row>
    <row r="287" spans="3:36" ht="12.75" customHeight="1">
      <c r="C287" s="131"/>
      <c r="D287" s="169" t="str">
        <f>IF(op!D175="","",op!D175)</f>
        <v/>
      </c>
      <c r="E287" s="169" t="str">
        <f>IF(op!E175=0,"",op!E175)</f>
        <v/>
      </c>
      <c r="F287" s="169" t="str">
        <f>IF(op!F175=0,"",op!F175)</f>
        <v/>
      </c>
      <c r="G287" s="170" t="str">
        <f>IF(op!G175="","",op!G175+1)</f>
        <v/>
      </c>
      <c r="H287" s="566" t="str">
        <f>IF(op!H175="","",op!H175)</f>
        <v/>
      </c>
      <c r="I287" s="170" t="str">
        <f>IF(op!I175=0,"-",op!I175)</f>
        <v/>
      </c>
      <c r="J287" s="567" t="str">
        <f>IF(E287="","",IF(op!J175&gt;LOOKUP(I287,schaal2011,regels2011),J175-1,IF(op!J175=LOOKUP(I287,schaal2011,regels2011),op!J175,J175+1)))</f>
        <v/>
      </c>
      <c r="K287" s="568" t="str">
        <f>IF(op!K175="","",op!K175)</f>
        <v/>
      </c>
      <c r="L287" s="569" t="str">
        <f>IF(op!L175="","",op!L175)</f>
        <v/>
      </c>
      <c r="M287" s="570" t="str">
        <f t="shared" si="77"/>
        <v/>
      </c>
      <c r="N287" s="155"/>
      <c r="O287" s="571" t="str">
        <f>IF(I287="","",VLOOKUP(I287,tab!$A$119:$V$159,J287+3,FALSE))</f>
        <v/>
      </c>
      <c r="P287" s="572">
        <f t="shared" si="78"/>
        <v>0</v>
      </c>
      <c r="Q287" s="589">
        <f t="shared" si="74"/>
        <v>0.6</v>
      </c>
      <c r="R287" s="573">
        <f t="shared" si="75"/>
        <v>0</v>
      </c>
      <c r="S287" s="332">
        <f>IF(L287="",0,O287*12*L287*(1+tab!$D$108)*tab!$E$110)</f>
        <v>0</v>
      </c>
      <c r="T287" s="580">
        <f t="shared" si="76"/>
        <v>0</v>
      </c>
      <c r="U287" s="243">
        <f t="shared" si="67"/>
        <v>0</v>
      </c>
      <c r="V287" s="332">
        <f t="shared" si="79"/>
        <v>0</v>
      </c>
      <c r="W287" s="136"/>
      <c r="Z287" s="647" t="e">
        <f t="shared" si="80"/>
        <v>#VALUE!</v>
      </c>
      <c r="AA287" s="647" t="e">
        <f t="shared" si="81"/>
        <v>#VALUE!</v>
      </c>
      <c r="AB287" s="67">
        <f t="shared" si="82"/>
        <v>30</v>
      </c>
      <c r="AC287" s="67">
        <f t="shared" si="83"/>
        <v>30</v>
      </c>
      <c r="AD287" s="84">
        <f t="shared" si="84"/>
        <v>0</v>
      </c>
      <c r="AJ287" s="405"/>
    </row>
    <row r="288" spans="3:36" ht="12.75" customHeight="1">
      <c r="C288" s="131"/>
      <c r="D288" s="169" t="str">
        <f>IF(op!D176="","",op!D176)</f>
        <v/>
      </c>
      <c r="E288" s="169" t="str">
        <f>IF(op!E176=0,"",op!E176)</f>
        <v/>
      </c>
      <c r="F288" s="169" t="str">
        <f>IF(op!F176=0,"",op!F176)</f>
        <v/>
      </c>
      <c r="G288" s="170" t="str">
        <f>IF(op!G176="","",op!G176+1)</f>
        <v/>
      </c>
      <c r="H288" s="566" t="str">
        <f>IF(op!H176="","",op!H176)</f>
        <v/>
      </c>
      <c r="I288" s="170" t="str">
        <f>IF(op!I176=0,"-",op!I176)</f>
        <v/>
      </c>
      <c r="J288" s="567" t="str">
        <f>IF(E288="","",IF(op!J176&gt;LOOKUP(I288,schaal2011,regels2011),J176-1,IF(op!J176=LOOKUP(I288,schaal2011,regels2011),op!J176,J176+1)))</f>
        <v/>
      </c>
      <c r="K288" s="568" t="str">
        <f>IF(op!K176="","",op!K176)</f>
        <v/>
      </c>
      <c r="L288" s="569" t="str">
        <f>IF(op!L176="","",op!L176)</f>
        <v/>
      </c>
      <c r="M288" s="570" t="str">
        <f t="shared" si="77"/>
        <v/>
      </c>
      <c r="N288" s="155"/>
      <c r="O288" s="571" t="str">
        <f>IF(I288="","",VLOOKUP(I288,tab!$A$119:$V$159,J288+3,FALSE))</f>
        <v/>
      </c>
      <c r="P288" s="572">
        <f t="shared" si="78"/>
        <v>0</v>
      </c>
      <c r="Q288" s="589">
        <f t="shared" si="74"/>
        <v>0.6</v>
      </c>
      <c r="R288" s="573">
        <f t="shared" si="75"/>
        <v>0</v>
      </c>
      <c r="S288" s="332">
        <f>IF(L288="",0,O288*12*L288*(1+tab!$D$108)*tab!$E$110)</f>
        <v>0</v>
      </c>
      <c r="T288" s="580">
        <f t="shared" si="76"/>
        <v>0</v>
      </c>
      <c r="U288" s="243">
        <f t="shared" si="67"/>
        <v>0</v>
      </c>
      <c r="V288" s="332">
        <f t="shared" si="79"/>
        <v>0</v>
      </c>
      <c r="W288" s="136"/>
      <c r="Z288" s="647" t="e">
        <f t="shared" si="80"/>
        <v>#VALUE!</v>
      </c>
      <c r="AA288" s="647" t="e">
        <f t="shared" si="81"/>
        <v>#VALUE!</v>
      </c>
      <c r="AB288" s="67">
        <f t="shared" si="82"/>
        <v>30</v>
      </c>
      <c r="AC288" s="67">
        <f t="shared" si="83"/>
        <v>30</v>
      </c>
      <c r="AD288" s="84">
        <f t="shared" si="84"/>
        <v>0</v>
      </c>
      <c r="AJ288" s="405"/>
    </row>
    <row r="289" spans="3:36" ht="12.75" customHeight="1">
      <c r="C289" s="131"/>
      <c r="D289" s="169" t="str">
        <f>IF(op!D177="","",op!D177)</f>
        <v/>
      </c>
      <c r="E289" s="169" t="str">
        <f>IF(op!E177=0,"",op!E177)</f>
        <v/>
      </c>
      <c r="F289" s="169" t="str">
        <f>IF(op!F177=0,"",op!F177)</f>
        <v/>
      </c>
      <c r="G289" s="170" t="str">
        <f>IF(op!G177="","",op!G177+1)</f>
        <v/>
      </c>
      <c r="H289" s="566" t="str">
        <f>IF(op!H177="","",op!H177)</f>
        <v/>
      </c>
      <c r="I289" s="170" t="str">
        <f>IF(op!I177=0,"-",op!I177)</f>
        <v/>
      </c>
      <c r="J289" s="567" t="str">
        <f>IF(E289="","",IF(op!J177&gt;LOOKUP(I289,schaal2011,regels2011),J177-1,IF(op!J177=LOOKUP(I289,schaal2011,regels2011),op!J177,J177+1)))</f>
        <v/>
      </c>
      <c r="K289" s="568" t="str">
        <f>IF(op!K177="","",op!K177)</f>
        <v/>
      </c>
      <c r="L289" s="569" t="str">
        <f>IF(op!L177="","",op!L177)</f>
        <v/>
      </c>
      <c r="M289" s="570" t="str">
        <f t="shared" ref="M289:M334" si="85">(IF(L289="",(K289),(K289)-L289))</f>
        <v/>
      </c>
      <c r="N289" s="155"/>
      <c r="O289" s="571" t="str">
        <f>IF(I289="","",VLOOKUP(I289,tab!$A$119:$V$159,J289+3,FALSE))</f>
        <v/>
      </c>
      <c r="P289" s="572">
        <f t="shared" si="78"/>
        <v>0</v>
      </c>
      <c r="Q289" s="589">
        <f t="shared" si="74"/>
        <v>0.6</v>
      </c>
      <c r="R289" s="573">
        <f t="shared" si="75"/>
        <v>0</v>
      </c>
      <c r="S289" s="332">
        <f>IF(L289="",0,O289*12*L289*(1+tab!$D$108)*tab!$E$110)</f>
        <v>0</v>
      </c>
      <c r="T289" s="580">
        <f t="shared" si="76"/>
        <v>0</v>
      </c>
      <c r="U289" s="243">
        <f t="shared" si="67"/>
        <v>0</v>
      </c>
      <c r="V289" s="332">
        <f t="shared" si="79"/>
        <v>0</v>
      </c>
      <c r="W289" s="136"/>
      <c r="Z289" s="647" t="e">
        <f t="shared" si="80"/>
        <v>#VALUE!</v>
      </c>
      <c r="AA289" s="647" t="e">
        <f t="shared" si="81"/>
        <v>#VALUE!</v>
      </c>
      <c r="AB289" s="67">
        <f t="shared" si="82"/>
        <v>30</v>
      </c>
      <c r="AC289" s="67">
        <f t="shared" si="83"/>
        <v>30</v>
      </c>
      <c r="AD289" s="84">
        <f t="shared" si="84"/>
        <v>0</v>
      </c>
      <c r="AJ289" s="405"/>
    </row>
    <row r="290" spans="3:36" ht="12.75" customHeight="1">
      <c r="C290" s="131"/>
      <c r="D290" s="169" t="str">
        <f>IF(op!D178="","",op!D178)</f>
        <v/>
      </c>
      <c r="E290" s="169" t="str">
        <f>IF(op!E178=0,"",op!E178)</f>
        <v/>
      </c>
      <c r="F290" s="169" t="str">
        <f>IF(op!F178=0,"",op!F178)</f>
        <v/>
      </c>
      <c r="G290" s="170" t="str">
        <f>IF(op!G178="","",op!G178+1)</f>
        <v/>
      </c>
      <c r="H290" s="566" t="str">
        <f>IF(op!H178="","",op!H178)</f>
        <v/>
      </c>
      <c r="I290" s="170" t="str">
        <f>IF(op!I178=0,"-",op!I178)</f>
        <v/>
      </c>
      <c r="J290" s="567" t="str">
        <f>IF(E290="","",IF(op!J178&gt;LOOKUP(I290,schaal2011,regels2011),J178-1,IF(op!J178=LOOKUP(I290,schaal2011,regels2011),op!J178,J178+1)))</f>
        <v/>
      </c>
      <c r="K290" s="568" t="str">
        <f>IF(op!K178="","",op!K178)</f>
        <v/>
      </c>
      <c r="L290" s="569" t="str">
        <f>IF(op!L178="","",op!L178)</f>
        <v/>
      </c>
      <c r="M290" s="570" t="str">
        <f t="shared" si="85"/>
        <v/>
      </c>
      <c r="N290" s="155"/>
      <c r="O290" s="571" t="str">
        <f>IF(I290="","",VLOOKUP(I290,tab!$A$119:$V$159,J290+3,FALSE))</f>
        <v/>
      </c>
      <c r="P290" s="572">
        <f t="shared" si="78"/>
        <v>0</v>
      </c>
      <c r="Q290" s="589">
        <f t="shared" si="74"/>
        <v>0.6</v>
      </c>
      <c r="R290" s="573">
        <f t="shared" si="75"/>
        <v>0</v>
      </c>
      <c r="S290" s="332">
        <f>IF(L290="",0,O290*12*L290*(1+tab!$D$108)*tab!$E$110)</f>
        <v>0</v>
      </c>
      <c r="T290" s="580">
        <f t="shared" si="76"/>
        <v>0</v>
      </c>
      <c r="U290" s="243">
        <f t="shared" si="67"/>
        <v>0</v>
      </c>
      <c r="V290" s="332">
        <f t="shared" si="79"/>
        <v>0</v>
      </c>
      <c r="W290" s="136"/>
      <c r="Z290" s="647" t="e">
        <f t="shared" si="80"/>
        <v>#VALUE!</v>
      </c>
      <c r="AA290" s="647" t="e">
        <f t="shared" si="81"/>
        <v>#VALUE!</v>
      </c>
      <c r="AB290" s="67">
        <f t="shared" si="82"/>
        <v>30</v>
      </c>
      <c r="AC290" s="67">
        <f t="shared" si="83"/>
        <v>30</v>
      </c>
      <c r="AD290" s="84">
        <f t="shared" si="84"/>
        <v>0</v>
      </c>
      <c r="AJ290" s="405"/>
    </row>
    <row r="291" spans="3:36" ht="12.75" customHeight="1">
      <c r="C291" s="131"/>
      <c r="D291" s="169" t="str">
        <f>IF(op!D179="","",op!D179)</f>
        <v/>
      </c>
      <c r="E291" s="169" t="str">
        <f>IF(op!E179=0,"",op!E179)</f>
        <v/>
      </c>
      <c r="F291" s="169" t="str">
        <f>IF(op!F179=0,"",op!F179)</f>
        <v/>
      </c>
      <c r="G291" s="170" t="str">
        <f>IF(op!G179="","",op!G179+1)</f>
        <v/>
      </c>
      <c r="H291" s="566" t="str">
        <f>IF(op!H179="","",op!H179)</f>
        <v/>
      </c>
      <c r="I291" s="170" t="str">
        <f>IF(op!I179=0,"-",op!I179)</f>
        <v/>
      </c>
      <c r="J291" s="567" t="str">
        <f>IF(E291="","",IF(op!J179&gt;LOOKUP(I291,schaal2011,regels2011),J179-1,IF(op!J179=LOOKUP(I291,schaal2011,regels2011),op!J179,J179+1)))</f>
        <v/>
      </c>
      <c r="K291" s="568" t="str">
        <f>IF(op!K179="","",op!K179)</f>
        <v/>
      </c>
      <c r="L291" s="569" t="str">
        <f>IF(op!L179="","",op!L179)</f>
        <v/>
      </c>
      <c r="M291" s="570" t="str">
        <f t="shared" si="85"/>
        <v/>
      </c>
      <c r="N291" s="155"/>
      <c r="O291" s="571" t="str">
        <f>IF(I291="","",VLOOKUP(I291,tab!$A$119:$V$159,J291+3,FALSE))</f>
        <v/>
      </c>
      <c r="P291" s="572">
        <f t="shared" si="78"/>
        <v>0</v>
      </c>
      <c r="Q291" s="589">
        <f t="shared" si="74"/>
        <v>0.6</v>
      </c>
      <c r="R291" s="573">
        <f t="shared" si="75"/>
        <v>0</v>
      </c>
      <c r="S291" s="332">
        <f>IF(L291="",0,O291*12*L291*(1+tab!$D$108)*tab!$E$110)</f>
        <v>0</v>
      </c>
      <c r="T291" s="580">
        <f t="shared" si="76"/>
        <v>0</v>
      </c>
      <c r="U291" s="243">
        <f t="shared" si="67"/>
        <v>0</v>
      </c>
      <c r="V291" s="332">
        <f t="shared" si="79"/>
        <v>0</v>
      </c>
      <c r="W291" s="136"/>
      <c r="Z291" s="647" t="e">
        <f t="shared" si="80"/>
        <v>#VALUE!</v>
      </c>
      <c r="AA291" s="647" t="e">
        <f t="shared" si="81"/>
        <v>#VALUE!</v>
      </c>
      <c r="AB291" s="67">
        <f t="shared" si="82"/>
        <v>30</v>
      </c>
      <c r="AC291" s="67">
        <f t="shared" si="83"/>
        <v>30</v>
      </c>
      <c r="AD291" s="84">
        <f t="shared" si="84"/>
        <v>0</v>
      </c>
      <c r="AJ291" s="405"/>
    </row>
    <row r="292" spans="3:36" ht="12.75" customHeight="1">
      <c r="C292" s="131"/>
      <c r="D292" s="169" t="str">
        <f>IF(op!D180="","",op!D180)</f>
        <v/>
      </c>
      <c r="E292" s="169" t="str">
        <f>IF(op!E180=0,"",op!E180)</f>
        <v/>
      </c>
      <c r="F292" s="169" t="str">
        <f>IF(op!F180=0,"",op!F180)</f>
        <v/>
      </c>
      <c r="G292" s="170" t="str">
        <f>IF(op!G180="","",op!G180+1)</f>
        <v/>
      </c>
      <c r="H292" s="566" t="str">
        <f>IF(op!H180="","",op!H180)</f>
        <v/>
      </c>
      <c r="I292" s="170" t="str">
        <f>IF(op!I180=0,"-",op!I180)</f>
        <v/>
      </c>
      <c r="J292" s="567" t="str">
        <f>IF(E292="","",IF(op!J180&gt;LOOKUP(I292,schaal2011,regels2011),J180-1,IF(op!J180=LOOKUP(I292,schaal2011,regels2011),op!J180,J180+1)))</f>
        <v/>
      </c>
      <c r="K292" s="568" t="str">
        <f>IF(op!K180="","",op!K180)</f>
        <v/>
      </c>
      <c r="L292" s="569" t="str">
        <f>IF(op!L180="","",op!L180)</f>
        <v/>
      </c>
      <c r="M292" s="570" t="str">
        <f t="shared" si="85"/>
        <v/>
      </c>
      <c r="N292" s="155"/>
      <c r="O292" s="571" t="str">
        <f>IF(I292="","",VLOOKUP(I292,tab!$A$119:$V$159,J292+3,FALSE))</f>
        <v/>
      </c>
      <c r="P292" s="572">
        <f t="shared" si="78"/>
        <v>0</v>
      </c>
      <c r="Q292" s="589">
        <f t="shared" si="74"/>
        <v>0.6</v>
      </c>
      <c r="R292" s="573">
        <f t="shared" si="75"/>
        <v>0</v>
      </c>
      <c r="S292" s="332">
        <f>IF(L292="",0,O292*12*L292*(1+tab!$D$108)*tab!$E$110)</f>
        <v>0</v>
      </c>
      <c r="T292" s="580">
        <f t="shared" si="76"/>
        <v>0</v>
      </c>
      <c r="U292" s="243">
        <f t="shared" si="67"/>
        <v>0</v>
      </c>
      <c r="V292" s="332">
        <f t="shared" si="79"/>
        <v>0</v>
      </c>
      <c r="W292" s="136"/>
      <c r="Z292" s="647" t="e">
        <f t="shared" si="80"/>
        <v>#VALUE!</v>
      </c>
      <c r="AA292" s="647" t="e">
        <f t="shared" si="81"/>
        <v>#VALUE!</v>
      </c>
      <c r="AB292" s="67">
        <f t="shared" si="82"/>
        <v>30</v>
      </c>
      <c r="AC292" s="67">
        <f t="shared" si="83"/>
        <v>30</v>
      </c>
      <c r="AD292" s="84">
        <f t="shared" si="84"/>
        <v>0</v>
      </c>
      <c r="AJ292" s="405"/>
    </row>
    <row r="293" spans="3:36" ht="12.75" customHeight="1">
      <c r="C293" s="131"/>
      <c r="D293" s="169" t="str">
        <f>IF(op!D181="","",op!D181)</f>
        <v/>
      </c>
      <c r="E293" s="169" t="str">
        <f>IF(op!E181=0,"",op!E181)</f>
        <v/>
      </c>
      <c r="F293" s="169" t="str">
        <f>IF(op!F181=0,"",op!F181)</f>
        <v/>
      </c>
      <c r="G293" s="170" t="str">
        <f>IF(op!G181="","",op!G181+1)</f>
        <v/>
      </c>
      <c r="H293" s="566" t="str">
        <f>IF(op!H181="","",op!H181)</f>
        <v/>
      </c>
      <c r="I293" s="170" t="str">
        <f>IF(op!I181=0,"-",op!I181)</f>
        <v/>
      </c>
      <c r="J293" s="567" t="str">
        <f>IF(E293="","",IF(op!J181&gt;LOOKUP(I293,schaal2011,regels2011),J181-1,IF(op!J181=LOOKUP(I293,schaal2011,regels2011),op!J181,J181+1)))</f>
        <v/>
      </c>
      <c r="K293" s="568" t="str">
        <f>IF(op!K181="","",op!K181)</f>
        <v/>
      </c>
      <c r="L293" s="569" t="str">
        <f>IF(op!L181="","",op!L181)</f>
        <v/>
      </c>
      <c r="M293" s="570" t="str">
        <f t="shared" si="85"/>
        <v/>
      </c>
      <c r="N293" s="155"/>
      <c r="O293" s="571" t="str">
        <f>IF(I293="","",VLOOKUP(I293,tab!$A$119:$V$159,J293+3,FALSE))</f>
        <v/>
      </c>
      <c r="P293" s="572">
        <f t="shared" si="78"/>
        <v>0</v>
      </c>
      <c r="Q293" s="589">
        <f t="shared" si="74"/>
        <v>0.6</v>
      </c>
      <c r="R293" s="573">
        <f t="shared" si="75"/>
        <v>0</v>
      </c>
      <c r="S293" s="332">
        <f>IF(L293="",0,O293*12*L293*(1+tab!$D$108)*tab!$E$110)</f>
        <v>0</v>
      </c>
      <c r="T293" s="580">
        <f t="shared" si="76"/>
        <v>0</v>
      </c>
      <c r="U293" s="243">
        <f t="shared" si="67"/>
        <v>0</v>
      </c>
      <c r="V293" s="332">
        <f t="shared" si="79"/>
        <v>0</v>
      </c>
      <c r="W293" s="136"/>
      <c r="Z293" s="647" t="e">
        <f t="shared" si="80"/>
        <v>#VALUE!</v>
      </c>
      <c r="AA293" s="647" t="e">
        <f t="shared" si="81"/>
        <v>#VALUE!</v>
      </c>
      <c r="AB293" s="67">
        <f t="shared" si="82"/>
        <v>30</v>
      </c>
      <c r="AC293" s="67">
        <f t="shared" si="83"/>
        <v>30</v>
      </c>
      <c r="AD293" s="84">
        <f t="shared" si="84"/>
        <v>0</v>
      </c>
      <c r="AJ293" s="405"/>
    </row>
    <row r="294" spans="3:36" ht="12.75" customHeight="1">
      <c r="C294" s="131"/>
      <c r="D294" s="169" t="str">
        <f>IF(op!D182="","",op!D182)</f>
        <v/>
      </c>
      <c r="E294" s="169" t="str">
        <f>IF(op!E182=0,"",op!E182)</f>
        <v/>
      </c>
      <c r="F294" s="169" t="str">
        <f>IF(op!F182=0,"",op!F182)</f>
        <v/>
      </c>
      <c r="G294" s="170" t="str">
        <f>IF(op!G182="","",op!G182+1)</f>
        <v/>
      </c>
      <c r="H294" s="566" t="str">
        <f>IF(op!H182="","",op!H182)</f>
        <v/>
      </c>
      <c r="I294" s="170" t="str">
        <f>IF(op!I182=0,"-",op!I182)</f>
        <v/>
      </c>
      <c r="J294" s="567" t="str">
        <f>IF(E294="","",IF(op!J182&gt;LOOKUP(I294,schaal2011,regels2011),J182-1,IF(op!J182=LOOKUP(I294,schaal2011,regels2011),op!J182,J182+1)))</f>
        <v/>
      </c>
      <c r="K294" s="568" t="str">
        <f>IF(op!K182="","",op!K182)</f>
        <v/>
      </c>
      <c r="L294" s="569" t="str">
        <f>IF(op!L182="","",op!L182)</f>
        <v/>
      </c>
      <c r="M294" s="570" t="str">
        <f t="shared" si="85"/>
        <v/>
      </c>
      <c r="N294" s="155"/>
      <c r="O294" s="571" t="str">
        <f>IF(I294="","",VLOOKUP(I294,tab!$A$119:$V$159,J294+3,FALSE))</f>
        <v/>
      </c>
      <c r="P294" s="572">
        <f t="shared" si="78"/>
        <v>0</v>
      </c>
      <c r="Q294" s="589">
        <f t="shared" si="74"/>
        <v>0.6</v>
      </c>
      <c r="R294" s="573">
        <f t="shared" si="75"/>
        <v>0</v>
      </c>
      <c r="S294" s="332">
        <f>IF(L294="",0,O294*12*L294*(1+tab!$D$108)*tab!$E$110)</f>
        <v>0</v>
      </c>
      <c r="T294" s="580">
        <f t="shared" si="76"/>
        <v>0</v>
      </c>
      <c r="U294" s="243">
        <f t="shared" si="67"/>
        <v>0</v>
      </c>
      <c r="V294" s="332">
        <f t="shared" si="79"/>
        <v>0</v>
      </c>
      <c r="W294" s="136"/>
      <c r="Z294" s="647" t="e">
        <f t="shared" si="80"/>
        <v>#VALUE!</v>
      </c>
      <c r="AA294" s="647" t="e">
        <f t="shared" si="81"/>
        <v>#VALUE!</v>
      </c>
      <c r="AB294" s="67">
        <f t="shared" si="82"/>
        <v>30</v>
      </c>
      <c r="AC294" s="67">
        <f t="shared" si="83"/>
        <v>30</v>
      </c>
      <c r="AD294" s="84">
        <f t="shared" si="84"/>
        <v>0</v>
      </c>
      <c r="AJ294" s="405"/>
    </row>
    <row r="295" spans="3:36" ht="12.75" customHeight="1">
      <c r="C295" s="131"/>
      <c r="D295" s="169" t="str">
        <f>IF(op!D183="","",op!D183)</f>
        <v/>
      </c>
      <c r="E295" s="169" t="str">
        <f>IF(op!E183=0,"",op!E183)</f>
        <v/>
      </c>
      <c r="F295" s="169" t="str">
        <f>IF(op!F183=0,"",op!F183)</f>
        <v/>
      </c>
      <c r="G295" s="170" t="str">
        <f>IF(op!G183="","",op!G183+1)</f>
        <v/>
      </c>
      <c r="H295" s="566" t="str">
        <f>IF(op!H183="","",op!H183)</f>
        <v/>
      </c>
      <c r="I295" s="170" t="str">
        <f>IF(op!I183=0,"-",op!I183)</f>
        <v/>
      </c>
      <c r="J295" s="567" t="str">
        <f>IF(E295="","",IF(op!J183&gt;LOOKUP(I295,schaal2011,regels2011),J183-1,IF(op!J183=LOOKUP(I295,schaal2011,regels2011),op!J183,J183+1)))</f>
        <v/>
      </c>
      <c r="K295" s="568" t="str">
        <f>IF(op!K183="","",op!K183)</f>
        <v/>
      </c>
      <c r="L295" s="569" t="str">
        <f>IF(op!L183="","",op!L183)</f>
        <v/>
      </c>
      <c r="M295" s="570" t="str">
        <f t="shared" si="85"/>
        <v/>
      </c>
      <c r="N295" s="155"/>
      <c r="O295" s="571" t="str">
        <f>IF(I295="","",VLOOKUP(I295,tab!$A$119:$V$159,J295+3,FALSE))</f>
        <v/>
      </c>
      <c r="P295" s="572">
        <f t="shared" si="78"/>
        <v>0</v>
      </c>
      <c r="Q295" s="589">
        <f t="shared" si="74"/>
        <v>0.6</v>
      </c>
      <c r="R295" s="573">
        <f t="shared" si="75"/>
        <v>0</v>
      </c>
      <c r="S295" s="332">
        <f>IF(L295="",0,O295*12*L295*(1+tab!$D$108)*tab!$E$110)</f>
        <v>0</v>
      </c>
      <c r="T295" s="580">
        <f t="shared" si="76"/>
        <v>0</v>
      </c>
      <c r="U295" s="243">
        <f t="shared" si="67"/>
        <v>0</v>
      </c>
      <c r="V295" s="332">
        <f t="shared" si="79"/>
        <v>0</v>
      </c>
      <c r="W295" s="136"/>
      <c r="Z295" s="647" t="e">
        <f t="shared" si="80"/>
        <v>#VALUE!</v>
      </c>
      <c r="AA295" s="647" t="e">
        <f t="shared" si="81"/>
        <v>#VALUE!</v>
      </c>
      <c r="AB295" s="67">
        <f t="shared" si="82"/>
        <v>30</v>
      </c>
      <c r="AC295" s="67">
        <f t="shared" si="83"/>
        <v>30</v>
      </c>
      <c r="AD295" s="84">
        <f t="shared" si="84"/>
        <v>0</v>
      </c>
      <c r="AJ295" s="405"/>
    </row>
    <row r="296" spans="3:36" ht="12.75" customHeight="1">
      <c r="C296" s="131"/>
      <c r="D296" s="169" t="str">
        <f>IF(op!D184="","",op!D184)</f>
        <v/>
      </c>
      <c r="E296" s="169" t="str">
        <f>IF(op!E184=0,"",op!E184)</f>
        <v/>
      </c>
      <c r="F296" s="169" t="str">
        <f>IF(op!F184=0,"",op!F184)</f>
        <v/>
      </c>
      <c r="G296" s="170" t="str">
        <f>IF(op!G184="","",op!G184+1)</f>
        <v/>
      </c>
      <c r="H296" s="566" t="str">
        <f>IF(op!H184="","",op!H184)</f>
        <v/>
      </c>
      <c r="I296" s="170" t="str">
        <f>IF(op!I184=0,"-",op!I184)</f>
        <v/>
      </c>
      <c r="J296" s="567" t="str">
        <f>IF(E296="","",IF(op!J184&gt;LOOKUP(I296,schaal2011,regels2011),J184-1,IF(op!J184=LOOKUP(I296,schaal2011,regels2011),op!J184,J184+1)))</f>
        <v/>
      </c>
      <c r="K296" s="568" t="str">
        <f>IF(op!K184="","",op!K184)</f>
        <v/>
      </c>
      <c r="L296" s="569" t="str">
        <f>IF(op!L184="","",op!L184)</f>
        <v/>
      </c>
      <c r="M296" s="570" t="str">
        <f t="shared" si="85"/>
        <v/>
      </c>
      <c r="N296" s="155"/>
      <c r="O296" s="571" t="str">
        <f>IF(I296="","",VLOOKUP(I296,tab!$A$119:$V$159,J296+3,FALSE))</f>
        <v/>
      </c>
      <c r="P296" s="572">
        <f t="shared" si="78"/>
        <v>0</v>
      </c>
      <c r="Q296" s="589">
        <f t="shared" si="74"/>
        <v>0.6</v>
      </c>
      <c r="R296" s="573">
        <f t="shared" si="75"/>
        <v>0</v>
      </c>
      <c r="S296" s="332">
        <f>IF(L296="",0,O296*12*L296*(1+tab!$D$108)*tab!$E$110)</f>
        <v>0</v>
      </c>
      <c r="T296" s="580">
        <f t="shared" si="76"/>
        <v>0</v>
      </c>
      <c r="U296" s="243">
        <f t="shared" si="67"/>
        <v>0</v>
      </c>
      <c r="V296" s="332">
        <f t="shared" si="79"/>
        <v>0</v>
      </c>
      <c r="W296" s="136"/>
      <c r="Z296" s="647" t="e">
        <f t="shared" si="80"/>
        <v>#VALUE!</v>
      </c>
      <c r="AA296" s="647" t="e">
        <f t="shared" si="81"/>
        <v>#VALUE!</v>
      </c>
      <c r="AB296" s="67">
        <f t="shared" si="82"/>
        <v>30</v>
      </c>
      <c r="AC296" s="67">
        <f t="shared" si="83"/>
        <v>30</v>
      </c>
      <c r="AD296" s="84">
        <f t="shared" si="84"/>
        <v>0</v>
      </c>
      <c r="AJ296" s="405"/>
    </row>
    <row r="297" spans="3:36" ht="12.75" customHeight="1">
      <c r="C297" s="131"/>
      <c r="D297" s="169" t="str">
        <f>IF(op!D185="","",op!D185)</f>
        <v/>
      </c>
      <c r="E297" s="169" t="str">
        <f>IF(op!E185=0,"",op!E185)</f>
        <v/>
      </c>
      <c r="F297" s="169" t="str">
        <f>IF(op!F185=0,"",op!F185)</f>
        <v/>
      </c>
      <c r="G297" s="170" t="str">
        <f>IF(op!G185="","",op!G185+1)</f>
        <v/>
      </c>
      <c r="H297" s="566" t="str">
        <f>IF(op!H185="","",op!H185)</f>
        <v/>
      </c>
      <c r="I297" s="170" t="str">
        <f>IF(op!I185=0,"-",op!I185)</f>
        <v/>
      </c>
      <c r="J297" s="567" t="str">
        <f>IF(E297="","",IF(op!J185&gt;LOOKUP(I297,schaal2011,regels2011),J185-1,IF(op!J185=LOOKUP(I297,schaal2011,regels2011),op!J185,J185+1)))</f>
        <v/>
      </c>
      <c r="K297" s="568" t="str">
        <f>IF(op!K185="","",op!K185)</f>
        <v/>
      </c>
      <c r="L297" s="569" t="str">
        <f>IF(op!L185="","",op!L185)</f>
        <v/>
      </c>
      <c r="M297" s="570" t="str">
        <f t="shared" si="85"/>
        <v/>
      </c>
      <c r="N297" s="155"/>
      <c r="O297" s="571" t="str">
        <f>IF(I297="","",VLOOKUP(I297,tab!$A$119:$V$159,J297+3,FALSE))</f>
        <v/>
      </c>
      <c r="P297" s="572">
        <f t="shared" si="78"/>
        <v>0</v>
      </c>
      <c r="Q297" s="589">
        <f t="shared" si="74"/>
        <v>0.6</v>
      </c>
      <c r="R297" s="573">
        <f t="shared" si="75"/>
        <v>0</v>
      </c>
      <c r="S297" s="332">
        <f>IF(L297="",0,O297*12*L297*(1+tab!$D$108)*tab!$E$110)</f>
        <v>0</v>
      </c>
      <c r="T297" s="580">
        <f t="shared" si="76"/>
        <v>0</v>
      </c>
      <c r="U297" s="243">
        <f t="shared" si="67"/>
        <v>0</v>
      </c>
      <c r="V297" s="332">
        <f t="shared" si="79"/>
        <v>0</v>
      </c>
      <c r="W297" s="136"/>
      <c r="Z297" s="647" t="e">
        <f t="shared" si="80"/>
        <v>#VALUE!</v>
      </c>
      <c r="AA297" s="647" t="e">
        <f t="shared" si="81"/>
        <v>#VALUE!</v>
      </c>
      <c r="AB297" s="67">
        <f t="shared" si="82"/>
        <v>30</v>
      </c>
      <c r="AC297" s="67">
        <f t="shared" si="83"/>
        <v>30</v>
      </c>
      <c r="AD297" s="84">
        <f t="shared" si="84"/>
        <v>0</v>
      </c>
      <c r="AJ297" s="405"/>
    </row>
    <row r="298" spans="3:36" ht="12.75" customHeight="1">
      <c r="C298" s="131"/>
      <c r="D298" s="169" t="str">
        <f>IF(op!D186="","",op!D186)</f>
        <v/>
      </c>
      <c r="E298" s="169" t="str">
        <f>IF(op!E186=0,"",op!E186)</f>
        <v/>
      </c>
      <c r="F298" s="169" t="str">
        <f>IF(op!F186=0,"",op!F186)</f>
        <v/>
      </c>
      <c r="G298" s="170" t="str">
        <f>IF(op!G186="","",op!G186+1)</f>
        <v/>
      </c>
      <c r="H298" s="566" t="str">
        <f>IF(op!H186="","",op!H186)</f>
        <v/>
      </c>
      <c r="I298" s="170" t="str">
        <f>IF(op!I186=0,"-",op!I186)</f>
        <v/>
      </c>
      <c r="J298" s="567" t="str">
        <f>IF(E298="","",IF(op!J186&gt;LOOKUP(I298,schaal2011,regels2011),J186-1,IF(op!J186=LOOKUP(I298,schaal2011,regels2011),op!J186,J186+1)))</f>
        <v/>
      </c>
      <c r="K298" s="568" t="str">
        <f>IF(op!K186="","",op!K186)</f>
        <v/>
      </c>
      <c r="L298" s="569" t="str">
        <f>IF(op!L186="","",op!L186)</f>
        <v/>
      </c>
      <c r="M298" s="570" t="str">
        <f t="shared" si="85"/>
        <v/>
      </c>
      <c r="N298" s="155"/>
      <c r="O298" s="571" t="str">
        <f>IF(I298="","",VLOOKUP(I298,tab!$A$119:$V$159,J298+3,FALSE))</f>
        <v/>
      </c>
      <c r="P298" s="572">
        <f t="shared" si="78"/>
        <v>0</v>
      </c>
      <c r="Q298" s="589">
        <f t="shared" si="74"/>
        <v>0.6</v>
      </c>
      <c r="R298" s="573">
        <f t="shared" si="75"/>
        <v>0</v>
      </c>
      <c r="S298" s="332">
        <f>IF(L298="",0,O298*12*L298*(1+tab!$D$108)*tab!$E$110)</f>
        <v>0</v>
      </c>
      <c r="T298" s="580">
        <f t="shared" si="76"/>
        <v>0</v>
      </c>
      <c r="U298" s="243">
        <f t="shared" si="67"/>
        <v>0</v>
      </c>
      <c r="V298" s="332">
        <f t="shared" si="79"/>
        <v>0</v>
      </c>
      <c r="W298" s="136"/>
      <c r="Z298" s="647" t="e">
        <f t="shared" si="80"/>
        <v>#VALUE!</v>
      </c>
      <c r="AA298" s="647" t="e">
        <f t="shared" si="81"/>
        <v>#VALUE!</v>
      </c>
      <c r="AB298" s="67">
        <f t="shared" si="82"/>
        <v>30</v>
      </c>
      <c r="AC298" s="67">
        <f t="shared" si="83"/>
        <v>30</v>
      </c>
      <c r="AD298" s="84">
        <f t="shared" si="84"/>
        <v>0</v>
      </c>
      <c r="AJ298" s="405"/>
    </row>
    <row r="299" spans="3:36" ht="12.75" customHeight="1">
      <c r="C299" s="131"/>
      <c r="D299" s="169" t="str">
        <f>IF(op!D187="","",op!D187)</f>
        <v/>
      </c>
      <c r="E299" s="169" t="str">
        <f>IF(op!E187=0,"",op!E187)</f>
        <v/>
      </c>
      <c r="F299" s="169" t="str">
        <f>IF(op!F187=0,"",op!F187)</f>
        <v/>
      </c>
      <c r="G299" s="170" t="str">
        <f>IF(op!G187="","",op!G187+1)</f>
        <v/>
      </c>
      <c r="H299" s="566" t="str">
        <f>IF(op!H187="","",op!H187)</f>
        <v/>
      </c>
      <c r="I299" s="170" t="str">
        <f>IF(op!I187=0,"-",op!I187)</f>
        <v/>
      </c>
      <c r="J299" s="567" t="str">
        <f>IF(E299="","",IF(op!J187&gt;LOOKUP(I299,schaal2011,regels2011),J187-1,IF(op!J187=LOOKUP(I299,schaal2011,regels2011),op!J187,J187+1)))</f>
        <v/>
      </c>
      <c r="K299" s="568" t="str">
        <f>IF(op!K187="","",op!K187)</f>
        <v/>
      </c>
      <c r="L299" s="569" t="str">
        <f>IF(op!L187="","",op!L187)</f>
        <v/>
      </c>
      <c r="M299" s="570" t="str">
        <f t="shared" si="85"/>
        <v/>
      </c>
      <c r="N299" s="155"/>
      <c r="O299" s="571" t="str">
        <f>IF(I299="","",VLOOKUP(I299,tab!$A$119:$V$159,J299+3,FALSE))</f>
        <v/>
      </c>
      <c r="P299" s="572">
        <f t="shared" si="78"/>
        <v>0</v>
      </c>
      <c r="Q299" s="589">
        <f t="shared" si="74"/>
        <v>0.6</v>
      </c>
      <c r="R299" s="573">
        <f t="shared" si="75"/>
        <v>0</v>
      </c>
      <c r="S299" s="332">
        <f>IF(L299="",0,O299*12*L299*(1+tab!$D$108)*tab!$E$110)</f>
        <v>0</v>
      </c>
      <c r="T299" s="580">
        <f t="shared" si="76"/>
        <v>0</v>
      </c>
      <c r="U299" s="243">
        <f t="shared" si="67"/>
        <v>0</v>
      </c>
      <c r="V299" s="332">
        <f t="shared" si="79"/>
        <v>0</v>
      </c>
      <c r="W299" s="136"/>
      <c r="Z299" s="647" t="e">
        <f t="shared" si="80"/>
        <v>#VALUE!</v>
      </c>
      <c r="AA299" s="647" t="e">
        <f t="shared" si="81"/>
        <v>#VALUE!</v>
      </c>
      <c r="AB299" s="67">
        <f t="shared" si="82"/>
        <v>30</v>
      </c>
      <c r="AC299" s="67">
        <f t="shared" si="83"/>
        <v>30</v>
      </c>
      <c r="AD299" s="84">
        <f t="shared" si="84"/>
        <v>0</v>
      </c>
      <c r="AJ299" s="405"/>
    </row>
    <row r="300" spans="3:36" ht="12.75" customHeight="1">
      <c r="C300" s="131"/>
      <c r="D300" s="169" t="str">
        <f>IF(op!D188="","",op!D188)</f>
        <v/>
      </c>
      <c r="E300" s="169" t="str">
        <f>IF(op!E188=0,"",op!E188)</f>
        <v/>
      </c>
      <c r="F300" s="169" t="str">
        <f>IF(op!F188=0,"",op!F188)</f>
        <v/>
      </c>
      <c r="G300" s="170" t="str">
        <f>IF(op!G188="","",op!G188+1)</f>
        <v/>
      </c>
      <c r="H300" s="566" t="str">
        <f>IF(op!H188="","",op!H188)</f>
        <v/>
      </c>
      <c r="I300" s="170" t="str">
        <f>IF(op!I188=0,"-",op!I188)</f>
        <v/>
      </c>
      <c r="J300" s="567" t="str">
        <f>IF(E300="","",IF(op!J188&gt;LOOKUP(I300,schaal2011,regels2011),J188-1,IF(op!J188=LOOKUP(I300,schaal2011,regels2011),op!J188,J188+1)))</f>
        <v/>
      </c>
      <c r="K300" s="568" t="str">
        <f>IF(op!K188="","",op!K188)</f>
        <v/>
      </c>
      <c r="L300" s="569" t="str">
        <f>IF(op!L188="","",op!L188)</f>
        <v/>
      </c>
      <c r="M300" s="570" t="str">
        <f t="shared" si="85"/>
        <v/>
      </c>
      <c r="N300" s="155"/>
      <c r="O300" s="571" t="str">
        <f>IF(I300="","",VLOOKUP(I300,tab!$A$119:$V$159,J300+3,FALSE))</f>
        <v/>
      </c>
      <c r="P300" s="572">
        <f t="shared" si="78"/>
        <v>0</v>
      </c>
      <c r="Q300" s="589">
        <f t="shared" si="74"/>
        <v>0.6</v>
      </c>
      <c r="R300" s="573">
        <f t="shared" si="75"/>
        <v>0</v>
      </c>
      <c r="S300" s="332">
        <f>IF(L300="",0,O300*12*L300*(1+tab!$D$108)*tab!$E$110)</f>
        <v>0</v>
      </c>
      <c r="T300" s="580">
        <f t="shared" si="76"/>
        <v>0</v>
      </c>
      <c r="U300" s="243">
        <f t="shared" si="67"/>
        <v>0</v>
      </c>
      <c r="V300" s="332">
        <f t="shared" si="79"/>
        <v>0</v>
      </c>
      <c r="W300" s="136"/>
      <c r="Z300" s="647" t="e">
        <f t="shared" si="80"/>
        <v>#VALUE!</v>
      </c>
      <c r="AA300" s="647" t="e">
        <f t="shared" si="81"/>
        <v>#VALUE!</v>
      </c>
      <c r="AB300" s="67">
        <f t="shared" si="82"/>
        <v>30</v>
      </c>
      <c r="AC300" s="67">
        <f t="shared" si="83"/>
        <v>30</v>
      </c>
      <c r="AD300" s="84">
        <f t="shared" si="84"/>
        <v>0</v>
      </c>
      <c r="AJ300" s="405"/>
    </row>
    <row r="301" spans="3:36" ht="12.75" customHeight="1">
      <c r="C301" s="131"/>
      <c r="D301" s="169" t="str">
        <f>IF(op!D189="","",op!D189)</f>
        <v/>
      </c>
      <c r="E301" s="169" t="str">
        <f>IF(op!E189=0,"",op!E189)</f>
        <v/>
      </c>
      <c r="F301" s="169" t="str">
        <f>IF(op!F189=0,"",op!F189)</f>
        <v/>
      </c>
      <c r="G301" s="170" t="str">
        <f>IF(op!G189="","",op!G189+1)</f>
        <v/>
      </c>
      <c r="H301" s="566" t="str">
        <f>IF(op!H189="","",op!H189)</f>
        <v/>
      </c>
      <c r="I301" s="170" t="str">
        <f>IF(op!I189=0,"-",op!I189)</f>
        <v/>
      </c>
      <c r="J301" s="567" t="str">
        <f>IF(E301="","",IF(op!J189&gt;LOOKUP(I301,schaal2011,regels2011),J189-1,IF(op!J189=LOOKUP(I301,schaal2011,regels2011),op!J189,J189+1)))</f>
        <v/>
      </c>
      <c r="K301" s="568" t="str">
        <f>IF(op!K189="","",op!K189)</f>
        <v/>
      </c>
      <c r="L301" s="569" t="str">
        <f>IF(op!L189="","",op!L189)</f>
        <v/>
      </c>
      <c r="M301" s="570" t="str">
        <f t="shared" si="85"/>
        <v/>
      </c>
      <c r="N301" s="155"/>
      <c r="O301" s="571" t="str">
        <f>IF(I301="","",VLOOKUP(I301,tab!$A$119:$V$159,J301+3,FALSE))</f>
        <v/>
      </c>
      <c r="P301" s="572">
        <f t="shared" si="78"/>
        <v>0</v>
      </c>
      <c r="Q301" s="589">
        <f t="shared" si="74"/>
        <v>0.6</v>
      </c>
      <c r="R301" s="573">
        <f t="shared" si="75"/>
        <v>0</v>
      </c>
      <c r="S301" s="332">
        <f>IF(L301="",0,O301*12*L301*(1+tab!$D$108)*tab!$E$110)</f>
        <v>0</v>
      </c>
      <c r="T301" s="580">
        <f t="shared" si="76"/>
        <v>0</v>
      </c>
      <c r="U301" s="243">
        <f t="shared" si="67"/>
        <v>0</v>
      </c>
      <c r="V301" s="332">
        <f t="shared" si="79"/>
        <v>0</v>
      </c>
      <c r="W301" s="136"/>
      <c r="Z301" s="647" t="e">
        <f t="shared" si="80"/>
        <v>#VALUE!</v>
      </c>
      <c r="AA301" s="647" t="e">
        <f t="shared" si="81"/>
        <v>#VALUE!</v>
      </c>
      <c r="AB301" s="67">
        <f t="shared" si="82"/>
        <v>30</v>
      </c>
      <c r="AC301" s="67">
        <f t="shared" si="83"/>
        <v>30</v>
      </c>
      <c r="AD301" s="84">
        <f t="shared" si="84"/>
        <v>0</v>
      </c>
      <c r="AJ301" s="405"/>
    </row>
    <row r="302" spans="3:36" ht="12.75" customHeight="1">
      <c r="C302" s="131"/>
      <c r="D302" s="169" t="str">
        <f>IF(op!D190="","",op!D190)</f>
        <v/>
      </c>
      <c r="E302" s="169" t="str">
        <f>IF(op!E190=0,"",op!E190)</f>
        <v/>
      </c>
      <c r="F302" s="169" t="str">
        <f>IF(op!F190=0,"",op!F190)</f>
        <v/>
      </c>
      <c r="G302" s="170" t="str">
        <f>IF(op!G190="","",op!G190+1)</f>
        <v/>
      </c>
      <c r="H302" s="566" t="str">
        <f>IF(op!H190="","",op!H190)</f>
        <v/>
      </c>
      <c r="I302" s="170" t="str">
        <f>IF(op!I190=0,"-",op!I190)</f>
        <v/>
      </c>
      <c r="J302" s="567" t="str">
        <f>IF(E302="","",IF(op!J190&gt;LOOKUP(I302,schaal2011,regels2011),J190-1,IF(op!J190=LOOKUP(I302,schaal2011,regels2011),op!J190,J190+1)))</f>
        <v/>
      </c>
      <c r="K302" s="568" t="str">
        <f>IF(op!K190="","",op!K190)</f>
        <v/>
      </c>
      <c r="L302" s="569" t="str">
        <f>IF(op!L190="","",op!L190)</f>
        <v/>
      </c>
      <c r="M302" s="570" t="str">
        <f t="shared" si="85"/>
        <v/>
      </c>
      <c r="N302" s="155"/>
      <c r="O302" s="571" t="str">
        <f>IF(I302="","",VLOOKUP(I302,tab!$A$119:$V$159,J302+3,FALSE))</f>
        <v/>
      </c>
      <c r="P302" s="572">
        <f t="shared" si="78"/>
        <v>0</v>
      </c>
      <c r="Q302" s="589">
        <f t="shared" si="74"/>
        <v>0.6</v>
      </c>
      <c r="R302" s="573">
        <f t="shared" si="75"/>
        <v>0</v>
      </c>
      <c r="S302" s="332">
        <f>IF(L302="",0,O302*12*L302*(1+tab!$D$108)*tab!$E$110)</f>
        <v>0</v>
      </c>
      <c r="T302" s="580">
        <f t="shared" si="76"/>
        <v>0</v>
      </c>
      <c r="U302" s="243">
        <f t="shared" si="67"/>
        <v>0</v>
      </c>
      <c r="V302" s="332">
        <f t="shared" si="79"/>
        <v>0</v>
      </c>
      <c r="W302" s="136"/>
      <c r="Z302" s="647" t="e">
        <f t="shared" si="80"/>
        <v>#VALUE!</v>
      </c>
      <c r="AA302" s="647" t="e">
        <f t="shared" si="81"/>
        <v>#VALUE!</v>
      </c>
      <c r="AB302" s="67">
        <f t="shared" si="82"/>
        <v>30</v>
      </c>
      <c r="AC302" s="67">
        <f t="shared" si="83"/>
        <v>30</v>
      </c>
      <c r="AD302" s="84">
        <f t="shared" si="84"/>
        <v>0</v>
      </c>
      <c r="AJ302" s="405"/>
    </row>
    <row r="303" spans="3:36" ht="12.75" customHeight="1">
      <c r="C303" s="131"/>
      <c r="D303" s="169" t="str">
        <f>IF(op!D191="","",op!D191)</f>
        <v/>
      </c>
      <c r="E303" s="169" t="str">
        <f>IF(op!E191=0,"",op!E191)</f>
        <v/>
      </c>
      <c r="F303" s="169" t="str">
        <f>IF(op!F191=0,"",op!F191)</f>
        <v/>
      </c>
      <c r="G303" s="170" t="str">
        <f>IF(op!G191="","",op!G191+1)</f>
        <v/>
      </c>
      <c r="H303" s="566" t="str">
        <f>IF(op!H191="","",op!H191)</f>
        <v/>
      </c>
      <c r="I303" s="170" t="str">
        <f>IF(op!I191=0,"-",op!I191)</f>
        <v/>
      </c>
      <c r="J303" s="567" t="str">
        <f>IF(E303="","",IF(op!J191&gt;LOOKUP(I303,schaal2011,regels2011),J191-1,IF(op!J191=LOOKUP(I303,schaal2011,regels2011),op!J191,J191+1)))</f>
        <v/>
      </c>
      <c r="K303" s="568" t="str">
        <f>IF(op!K191="","",op!K191)</f>
        <v/>
      </c>
      <c r="L303" s="569" t="str">
        <f>IF(op!L191="","",op!L191)</f>
        <v/>
      </c>
      <c r="M303" s="570" t="str">
        <f t="shared" si="85"/>
        <v/>
      </c>
      <c r="N303" s="155"/>
      <c r="O303" s="571" t="str">
        <f>IF(I303="","",VLOOKUP(I303,tab!$A$119:$V$159,J303+3,FALSE))</f>
        <v/>
      </c>
      <c r="P303" s="572">
        <f t="shared" si="78"/>
        <v>0</v>
      </c>
      <c r="Q303" s="589">
        <f t="shared" si="74"/>
        <v>0.6</v>
      </c>
      <c r="R303" s="573">
        <f t="shared" si="75"/>
        <v>0</v>
      </c>
      <c r="S303" s="332">
        <f>IF(L303="",0,O303*12*L303*(1+tab!$D$108)*tab!$E$110)</f>
        <v>0</v>
      </c>
      <c r="T303" s="580">
        <f t="shared" si="76"/>
        <v>0</v>
      </c>
      <c r="U303" s="243">
        <f t="shared" si="67"/>
        <v>0</v>
      </c>
      <c r="V303" s="332">
        <f t="shared" si="79"/>
        <v>0</v>
      </c>
      <c r="W303" s="136"/>
      <c r="Z303" s="647" t="e">
        <f t="shared" si="80"/>
        <v>#VALUE!</v>
      </c>
      <c r="AA303" s="647" t="e">
        <f t="shared" si="81"/>
        <v>#VALUE!</v>
      </c>
      <c r="AB303" s="67">
        <f t="shared" si="82"/>
        <v>30</v>
      </c>
      <c r="AC303" s="67">
        <f t="shared" si="83"/>
        <v>30</v>
      </c>
      <c r="AD303" s="84">
        <f t="shared" si="84"/>
        <v>0</v>
      </c>
      <c r="AJ303" s="405"/>
    </row>
    <row r="304" spans="3:36" ht="12.75" customHeight="1">
      <c r="C304" s="131"/>
      <c r="D304" s="169" t="str">
        <f>IF(op!D192="","",op!D192)</f>
        <v/>
      </c>
      <c r="E304" s="169" t="str">
        <f>IF(op!E192=0,"",op!E192)</f>
        <v/>
      </c>
      <c r="F304" s="169" t="str">
        <f>IF(op!F192=0,"",op!F192)</f>
        <v/>
      </c>
      <c r="G304" s="170" t="str">
        <f>IF(op!G192="","",op!G192+1)</f>
        <v/>
      </c>
      <c r="H304" s="566" t="str">
        <f>IF(op!H192="","",op!H192)</f>
        <v/>
      </c>
      <c r="I304" s="170" t="str">
        <f>IF(op!I192=0,"-",op!I192)</f>
        <v/>
      </c>
      <c r="J304" s="567" t="str">
        <f>IF(E304="","",IF(op!J192&gt;LOOKUP(I304,schaal2011,regels2011),J192-1,IF(op!J192=LOOKUP(I304,schaal2011,regels2011),op!J192,J192+1)))</f>
        <v/>
      </c>
      <c r="K304" s="568" t="str">
        <f>IF(op!K192="","",op!K192)</f>
        <v/>
      </c>
      <c r="L304" s="569" t="str">
        <f>IF(op!L192="","",op!L192)</f>
        <v/>
      </c>
      <c r="M304" s="570" t="str">
        <f t="shared" si="85"/>
        <v/>
      </c>
      <c r="N304" s="155"/>
      <c r="O304" s="571" t="str">
        <f>IF(I304="","",VLOOKUP(I304,tab!$A$119:$V$159,J304+3,FALSE))</f>
        <v/>
      </c>
      <c r="P304" s="572">
        <f t="shared" ref="P304:P335" si="86">IF(E304="",0,(O304*M304*12))</f>
        <v>0</v>
      </c>
      <c r="Q304" s="589">
        <f t="shared" si="74"/>
        <v>0.6</v>
      </c>
      <c r="R304" s="573">
        <f t="shared" si="75"/>
        <v>0</v>
      </c>
      <c r="S304" s="332">
        <f>IF(L304="",0,O304*12*L304*(1+tab!$D$108)*tab!$E$110)</f>
        <v>0</v>
      </c>
      <c r="T304" s="580">
        <f t="shared" si="76"/>
        <v>0</v>
      </c>
      <c r="U304" s="243">
        <f t="shared" ref="U304:U339" si="87">IF(G304&lt;25,0,IF(G304=25,25,IF(G304&lt;40,0,IF(G304=40,40,IF(G304&gt;=40,0)))))</f>
        <v>0</v>
      </c>
      <c r="V304" s="332">
        <f t="shared" ref="V304:V335" si="88">IF(U304=25,(O304*1.08*(K304)/2),IF(U304=40,(O304*1.08*(K304)),IF(U304=0,0)))</f>
        <v>0</v>
      </c>
      <c r="W304" s="136"/>
      <c r="Z304" s="647" t="e">
        <f t="shared" ref="Z304:Z339" si="89">DATE(YEAR($E$233),MONTH(H304),DAY(H304))&gt;$E$233</f>
        <v>#VALUE!</v>
      </c>
      <c r="AA304" s="647" t="e">
        <f t="shared" ref="AA304:AA335" si="90">YEAR($E$233)-YEAR(H304)-Z304</f>
        <v>#VALUE!</v>
      </c>
      <c r="AB304" s="67">
        <f t="shared" ref="AB304:AB335" si="91">IF((H304=""),30,AA304)</f>
        <v>30</v>
      </c>
      <c r="AC304" s="67">
        <f t="shared" si="83"/>
        <v>30</v>
      </c>
      <c r="AD304" s="84">
        <f t="shared" ref="AD304:AD335" si="92">(AC304*(SUM(K304:K304)))</f>
        <v>0</v>
      </c>
      <c r="AJ304" s="405"/>
    </row>
    <row r="305" spans="3:36" ht="12.75" customHeight="1">
      <c r="C305" s="131"/>
      <c r="D305" s="169" t="str">
        <f>IF(op!D193="","",op!D193)</f>
        <v/>
      </c>
      <c r="E305" s="169" t="str">
        <f>IF(op!E193=0,"",op!E193)</f>
        <v/>
      </c>
      <c r="F305" s="169" t="str">
        <f>IF(op!F193=0,"",op!F193)</f>
        <v/>
      </c>
      <c r="G305" s="170" t="str">
        <f>IF(op!G193="","",op!G193+1)</f>
        <v/>
      </c>
      <c r="H305" s="566" t="str">
        <f>IF(op!H193="","",op!H193)</f>
        <v/>
      </c>
      <c r="I305" s="170" t="str">
        <f>IF(op!I193=0,"-",op!I193)</f>
        <v/>
      </c>
      <c r="J305" s="567" t="str">
        <f>IF(E305="","",IF(op!J193&gt;LOOKUP(I305,schaal2011,regels2011),J193-1,IF(op!J193=LOOKUP(I305,schaal2011,regels2011),op!J193,J193+1)))</f>
        <v/>
      </c>
      <c r="K305" s="568" t="str">
        <f>IF(op!K193="","",op!K193)</f>
        <v/>
      </c>
      <c r="L305" s="569" t="str">
        <f>IF(op!L193="","",op!L193)</f>
        <v/>
      </c>
      <c r="M305" s="570" t="str">
        <f t="shared" si="85"/>
        <v/>
      </c>
      <c r="N305" s="155"/>
      <c r="O305" s="571" t="str">
        <f>IF(I305="","",VLOOKUP(I305,tab!$A$119:$V$159,J305+3,FALSE))</f>
        <v/>
      </c>
      <c r="P305" s="572">
        <f t="shared" si="86"/>
        <v>0</v>
      </c>
      <c r="Q305" s="589">
        <f t="shared" ref="Q305:Q339" si="93">$Q$238</f>
        <v>0.6</v>
      </c>
      <c r="R305" s="573">
        <f t="shared" ref="R305:R339" si="94">IF(E305=0,"",(P305)*Q305)</f>
        <v>0</v>
      </c>
      <c r="S305" s="332">
        <f>IF(L305="",0,O305*12*L305*(1+tab!$D$108)*tab!$E$110)</f>
        <v>0</v>
      </c>
      <c r="T305" s="580">
        <f t="shared" ref="T305:T339" si="95">IF(E305=0,0,(P305+R305+S305))</f>
        <v>0</v>
      </c>
      <c r="U305" s="243">
        <f t="shared" si="87"/>
        <v>0</v>
      </c>
      <c r="V305" s="332">
        <f t="shared" si="88"/>
        <v>0</v>
      </c>
      <c r="W305" s="136"/>
      <c r="Z305" s="647" t="e">
        <f t="shared" si="89"/>
        <v>#VALUE!</v>
      </c>
      <c r="AA305" s="647" t="e">
        <f t="shared" si="90"/>
        <v>#VALUE!</v>
      </c>
      <c r="AB305" s="67">
        <f t="shared" si="91"/>
        <v>30</v>
      </c>
      <c r="AC305" s="67">
        <f t="shared" si="83"/>
        <v>30</v>
      </c>
      <c r="AD305" s="84">
        <f t="shared" si="92"/>
        <v>0</v>
      </c>
      <c r="AJ305" s="405"/>
    </row>
    <row r="306" spans="3:36" ht="12.75" customHeight="1">
      <c r="C306" s="131"/>
      <c r="D306" s="169" t="str">
        <f>IF(op!D194="","",op!D194)</f>
        <v/>
      </c>
      <c r="E306" s="169" t="str">
        <f>IF(op!E194=0,"",op!E194)</f>
        <v/>
      </c>
      <c r="F306" s="169" t="str">
        <f>IF(op!F194=0,"",op!F194)</f>
        <v/>
      </c>
      <c r="G306" s="170" t="str">
        <f>IF(op!G194="","",op!G194+1)</f>
        <v/>
      </c>
      <c r="H306" s="566" t="str">
        <f>IF(op!H194="","",op!H194)</f>
        <v/>
      </c>
      <c r="I306" s="170" t="str">
        <f>IF(op!I194=0,"-",op!I194)</f>
        <v/>
      </c>
      <c r="J306" s="567" t="str">
        <f>IF(E306="","",IF(op!J194&gt;LOOKUP(I306,schaal2011,regels2011),J194-1,IF(op!J194=LOOKUP(I306,schaal2011,regels2011),op!J194,J194+1)))</f>
        <v/>
      </c>
      <c r="K306" s="568" t="str">
        <f>IF(op!K194="","",op!K194)</f>
        <v/>
      </c>
      <c r="L306" s="569" t="str">
        <f>IF(op!L194="","",op!L194)</f>
        <v/>
      </c>
      <c r="M306" s="570" t="str">
        <f t="shared" si="85"/>
        <v/>
      </c>
      <c r="N306" s="155"/>
      <c r="O306" s="571" t="str">
        <f>IF(I306="","",VLOOKUP(I306,tab!$A$119:$V$159,J306+3,FALSE))</f>
        <v/>
      </c>
      <c r="P306" s="572">
        <f t="shared" si="86"/>
        <v>0</v>
      </c>
      <c r="Q306" s="589">
        <f t="shared" si="93"/>
        <v>0.6</v>
      </c>
      <c r="R306" s="573">
        <f t="shared" si="94"/>
        <v>0</v>
      </c>
      <c r="S306" s="332">
        <f>IF(L306="",0,O306*12*L306*(1+tab!$D$108)*tab!$E$110)</f>
        <v>0</v>
      </c>
      <c r="T306" s="580">
        <f t="shared" si="95"/>
        <v>0</v>
      </c>
      <c r="U306" s="243">
        <f t="shared" si="87"/>
        <v>0</v>
      </c>
      <c r="V306" s="332">
        <f t="shared" si="88"/>
        <v>0</v>
      </c>
      <c r="W306" s="136"/>
      <c r="Z306" s="647" t="e">
        <f t="shared" si="89"/>
        <v>#VALUE!</v>
      </c>
      <c r="AA306" s="647" t="e">
        <f t="shared" si="90"/>
        <v>#VALUE!</v>
      </c>
      <c r="AB306" s="67">
        <f t="shared" si="91"/>
        <v>30</v>
      </c>
      <c r="AC306" s="67">
        <f t="shared" si="83"/>
        <v>30</v>
      </c>
      <c r="AD306" s="84">
        <f t="shared" si="92"/>
        <v>0</v>
      </c>
      <c r="AJ306" s="405"/>
    </row>
    <row r="307" spans="3:36" ht="12.75" customHeight="1">
      <c r="C307" s="131"/>
      <c r="D307" s="169" t="str">
        <f>IF(op!D195="","",op!D195)</f>
        <v/>
      </c>
      <c r="E307" s="169" t="str">
        <f>IF(op!E195=0,"",op!E195)</f>
        <v/>
      </c>
      <c r="F307" s="169" t="str">
        <f>IF(op!F195=0,"",op!F195)</f>
        <v/>
      </c>
      <c r="G307" s="170" t="str">
        <f>IF(op!G195="","",op!G195+1)</f>
        <v/>
      </c>
      <c r="H307" s="566" t="str">
        <f>IF(op!H195="","",op!H195)</f>
        <v/>
      </c>
      <c r="I307" s="170" t="str">
        <f>IF(op!I195=0,"-",op!I195)</f>
        <v/>
      </c>
      <c r="J307" s="567" t="str">
        <f>IF(E307="","",IF(op!J195&gt;LOOKUP(I307,schaal2011,regels2011),J195-1,IF(op!J195=LOOKUP(I307,schaal2011,regels2011),op!J195,J195+1)))</f>
        <v/>
      </c>
      <c r="K307" s="568" t="str">
        <f>IF(op!K195="","",op!K195)</f>
        <v/>
      </c>
      <c r="L307" s="569" t="str">
        <f>IF(op!L195="","",op!L195)</f>
        <v/>
      </c>
      <c r="M307" s="570" t="str">
        <f t="shared" si="85"/>
        <v/>
      </c>
      <c r="N307" s="155"/>
      <c r="O307" s="571" t="str">
        <f>IF(I307="","",VLOOKUP(I307,tab!$A$119:$V$159,J307+3,FALSE))</f>
        <v/>
      </c>
      <c r="P307" s="572">
        <f t="shared" si="86"/>
        <v>0</v>
      </c>
      <c r="Q307" s="589">
        <f t="shared" si="93"/>
        <v>0.6</v>
      </c>
      <c r="R307" s="573">
        <f t="shared" si="94"/>
        <v>0</v>
      </c>
      <c r="S307" s="332">
        <f>IF(L307="",0,O307*12*L307*(1+tab!$D$108)*tab!$E$110)</f>
        <v>0</v>
      </c>
      <c r="T307" s="580">
        <f t="shared" si="95"/>
        <v>0</v>
      </c>
      <c r="U307" s="243">
        <f t="shared" si="87"/>
        <v>0</v>
      </c>
      <c r="V307" s="332">
        <f t="shared" si="88"/>
        <v>0</v>
      </c>
      <c r="W307" s="136"/>
      <c r="Z307" s="647" t="e">
        <f t="shared" si="89"/>
        <v>#VALUE!</v>
      </c>
      <c r="AA307" s="647" t="e">
        <f t="shared" si="90"/>
        <v>#VALUE!</v>
      </c>
      <c r="AB307" s="67">
        <f t="shared" si="91"/>
        <v>30</v>
      </c>
      <c r="AC307" s="67">
        <f t="shared" si="83"/>
        <v>30</v>
      </c>
      <c r="AD307" s="84">
        <f t="shared" si="92"/>
        <v>0</v>
      </c>
      <c r="AJ307" s="405"/>
    </row>
    <row r="308" spans="3:36" ht="12.75" customHeight="1">
      <c r="C308" s="131"/>
      <c r="D308" s="169" t="str">
        <f>IF(op!D196="","",op!D196)</f>
        <v/>
      </c>
      <c r="E308" s="169" t="str">
        <f>IF(op!E196=0,"",op!E196)</f>
        <v/>
      </c>
      <c r="F308" s="169" t="str">
        <f>IF(op!F196=0,"",op!F196)</f>
        <v/>
      </c>
      <c r="G308" s="170" t="str">
        <f>IF(op!G196="","",op!G196+1)</f>
        <v/>
      </c>
      <c r="H308" s="566" t="str">
        <f>IF(op!H196="","",op!H196)</f>
        <v/>
      </c>
      <c r="I308" s="170" t="str">
        <f>IF(op!I196=0,"-",op!I196)</f>
        <v/>
      </c>
      <c r="J308" s="567" t="str">
        <f>IF(E308="","",IF(op!J196&gt;LOOKUP(I308,schaal2011,regels2011),J196-1,IF(op!J196=LOOKUP(I308,schaal2011,regels2011),op!J196,J196+1)))</f>
        <v/>
      </c>
      <c r="K308" s="568" t="str">
        <f>IF(op!K196="","",op!K196)</f>
        <v/>
      </c>
      <c r="L308" s="569" t="str">
        <f>IF(op!L196="","",op!L196)</f>
        <v/>
      </c>
      <c r="M308" s="570" t="str">
        <f t="shared" si="85"/>
        <v/>
      </c>
      <c r="N308" s="155"/>
      <c r="O308" s="571" t="str">
        <f>IF(I308="","",VLOOKUP(I308,tab!$A$119:$V$159,J308+3,FALSE))</f>
        <v/>
      </c>
      <c r="P308" s="572">
        <f t="shared" si="86"/>
        <v>0</v>
      </c>
      <c r="Q308" s="589">
        <f t="shared" si="93"/>
        <v>0.6</v>
      </c>
      <c r="R308" s="573">
        <f t="shared" si="94"/>
        <v>0</v>
      </c>
      <c r="S308" s="332">
        <f>IF(L308="",0,O308*12*L308*(1+tab!$D$108)*tab!$E$110)</f>
        <v>0</v>
      </c>
      <c r="T308" s="580">
        <f t="shared" si="95"/>
        <v>0</v>
      </c>
      <c r="U308" s="243">
        <f t="shared" si="87"/>
        <v>0</v>
      </c>
      <c r="V308" s="332">
        <f t="shared" si="88"/>
        <v>0</v>
      </c>
      <c r="W308" s="136"/>
      <c r="Z308" s="647" t="e">
        <f t="shared" si="89"/>
        <v>#VALUE!</v>
      </c>
      <c r="AA308" s="647" t="e">
        <f t="shared" si="90"/>
        <v>#VALUE!</v>
      </c>
      <c r="AB308" s="67">
        <f t="shared" si="91"/>
        <v>30</v>
      </c>
      <c r="AC308" s="67">
        <f t="shared" si="83"/>
        <v>30</v>
      </c>
      <c r="AD308" s="84">
        <f t="shared" si="92"/>
        <v>0</v>
      </c>
      <c r="AJ308" s="405"/>
    </row>
    <row r="309" spans="3:36" ht="12.75" customHeight="1">
      <c r="C309" s="131"/>
      <c r="D309" s="169" t="str">
        <f>IF(op!D197="","",op!D197)</f>
        <v/>
      </c>
      <c r="E309" s="169" t="str">
        <f>IF(op!E197=0,"",op!E197)</f>
        <v/>
      </c>
      <c r="F309" s="169" t="str">
        <f>IF(op!F197=0,"",op!F197)</f>
        <v/>
      </c>
      <c r="G309" s="170" t="str">
        <f>IF(op!G197="","",op!G197+1)</f>
        <v/>
      </c>
      <c r="H309" s="566" t="str">
        <f>IF(op!H197="","",op!H197)</f>
        <v/>
      </c>
      <c r="I309" s="170" t="str">
        <f>IF(op!I197=0,"-",op!I197)</f>
        <v/>
      </c>
      <c r="J309" s="567" t="str">
        <f>IF(E309="","",IF(op!J197&gt;LOOKUP(I309,schaal2011,regels2011),J197-1,IF(op!J197=LOOKUP(I309,schaal2011,regels2011),op!J197,J197+1)))</f>
        <v/>
      </c>
      <c r="K309" s="568" t="str">
        <f>IF(op!K197="","",op!K197)</f>
        <v/>
      </c>
      <c r="L309" s="569" t="str">
        <f>IF(op!L197="","",op!L197)</f>
        <v/>
      </c>
      <c r="M309" s="570" t="str">
        <f t="shared" si="85"/>
        <v/>
      </c>
      <c r="N309" s="155"/>
      <c r="O309" s="571" t="str">
        <f>IF(I309="","",VLOOKUP(I309,tab!$A$119:$V$159,J309+3,FALSE))</f>
        <v/>
      </c>
      <c r="P309" s="572">
        <f t="shared" si="86"/>
        <v>0</v>
      </c>
      <c r="Q309" s="589">
        <f t="shared" si="93"/>
        <v>0.6</v>
      </c>
      <c r="R309" s="573">
        <f t="shared" si="94"/>
        <v>0</v>
      </c>
      <c r="S309" s="332">
        <f>IF(L309="",0,O309*12*L309*(1+tab!$D$108)*tab!$E$110)</f>
        <v>0</v>
      </c>
      <c r="T309" s="580">
        <f t="shared" si="95"/>
        <v>0</v>
      </c>
      <c r="U309" s="243">
        <f t="shared" si="87"/>
        <v>0</v>
      </c>
      <c r="V309" s="332">
        <f t="shared" si="88"/>
        <v>0</v>
      </c>
      <c r="W309" s="136"/>
      <c r="Z309" s="647" t="e">
        <f t="shared" si="89"/>
        <v>#VALUE!</v>
      </c>
      <c r="AA309" s="647" t="e">
        <f t="shared" si="90"/>
        <v>#VALUE!</v>
      </c>
      <c r="AB309" s="67">
        <f t="shared" si="91"/>
        <v>30</v>
      </c>
      <c r="AC309" s="67">
        <f t="shared" si="83"/>
        <v>30</v>
      </c>
      <c r="AD309" s="84">
        <f t="shared" si="92"/>
        <v>0</v>
      </c>
      <c r="AJ309" s="405"/>
    </row>
    <row r="310" spans="3:36" ht="12.75" customHeight="1">
      <c r="C310" s="131"/>
      <c r="D310" s="169" t="str">
        <f>IF(op!D198="","",op!D198)</f>
        <v/>
      </c>
      <c r="E310" s="169" t="str">
        <f>IF(op!E198=0,"",op!E198)</f>
        <v/>
      </c>
      <c r="F310" s="169" t="str">
        <f>IF(op!F198=0,"",op!F198)</f>
        <v/>
      </c>
      <c r="G310" s="170" t="str">
        <f>IF(op!G198="","",op!G198+1)</f>
        <v/>
      </c>
      <c r="H310" s="566" t="str">
        <f>IF(op!H198="","",op!H198)</f>
        <v/>
      </c>
      <c r="I310" s="170" t="str">
        <f>IF(op!I198=0,"-",op!I198)</f>
        <v/>
      </c>
      <c r="J310" s="567" t="str">
        <f>IF(E310="","",IF(op!J198&gt;LOOKUP(I310,schaal2011,regels2011),J198-1,IF(op!J198=LOOKUP(I310,schaal2011,regels2011),op!J198,J198+1)))</f>
        <v/>
      </c>
      <c r="K310" s="568" t="str">
        <f>IF(op!K198="","",op!K198)</f>
        <v/>
      </c>
      <c r="L310" s="569" t="str">
        <f>IF(op!L198="","",op!L198)</f>
        <v/>
      </c>
      <c r="M310" s="570" t="str">
        <f t="shared" si="85"/>
        <v/>
      </c>
      <c r="N310" s="155"/>
      <c r="O310" s="571" t="str">
        <f>IF(I310="","",VLOOKUP(I310,tab!$A$119:$V$159,J310+3,FALSE))</f>
        <v/>
      </c>
      <c r="P310" s="572">
        <f t="shared" si="86"/>
        <v>0</v>
      </c>
      <c r="Q310" s="589">
        <f t="shared" si="93"/>
        <v>0.6</v>
      </c>
      <c r="R310" s="573">
        <f t="shared" si="94"/>
        <v>0</v>
      </c>
      <c r="S310" s="332">
        <f>IF(L310="",0,O310*12*L310*(1+tab!$D$108)*tab!$E$110)</f>
        <v>0</v>
      </c>
      <c r="T310" s="580">
        <f t="shared" si="95"/>
        <v>0</v>
      </c>
      <c r="U310" s="243">
        <f t="shared" si="87"/>
        <v>0</v>
      </c>
      <c r="V310" s="332">
        <f t="shared" si="88"/>
        <v>0</v>
      </c>
      <c r="W310" s="136"/>
      <c r="Z310" s="647" t="e">
        <f t="shared" si="89"/>
        <v>#VALUE!</v>
      </c>
      <c r="AA310" s="647" t="e">
        <f t="shared" si="90"/>
        <v>#VALUE!</v>
      </c>
      <c r="AB310" s="67">
        <f t="shared" si="91"/>
        <v>30</v>
      </c>
      <c r="AC310" s="67">
        <f t="shared" si="83"/>
        <v>30</v>
      </c>
      <c r="AD310" s="84">
        <f t="shared" si="92"/>
        <v>0</v>
      </c>
      <c r="AJ310" s="405"/>
    </row>
    <row r="311" spans="3:36" ht="12.75" customHeight="1">
      <c r="C311" s="131"/>
      <c r="D311" s="169" t="str">
        <f>IF(op!D199="","",op!D199)</f>
        <v/>
      </c>
      <c r="E311" s="169" t="str">
        <f>IF(op!E199=0,"",op!E199)</f>
        <v/>
      </c>
      <c r="F311" s="169" t="str">
        <f>IF(op!F199=0,"",op!F199)</f>
        <v/>
      </c>
      <c r="G311" s="170" t="str">
        <f>IF(op!G199="","",op!G199+1)</f>
        <v/>
      </c>
      <c r="H311" s="566" t="str">
        <f>IF(op!H199="","",op!H199)</f>
        <v/>
      </c>
      <c r="I311" s="170" t="str">
        <f>IF(op!I199=0,"-",op!I199)</f>
        <v/>
      </c>
      <c r="J311" s="567" t="str">
        <f>IF(E311="","",IF(op!J199&gt;LOOKUP(I311,schaal2011,regels2011),J199-1,IF(op!J199=LOOKUP(I311,schaal2011,regels2011),op!J199,J199+1)))</f>
        <v/>
      </c>
      <c r="K311" s="568" t="str">
        <f>IF(op!K199="","",op!K199)</f>
        <v/>
      </c>
      <c r="L311" s="569" t="str">
        <f>IF(op!L199="","",op!L199)</f>
        <v/>
      </c>
      <c r="M311" s="570" t="str">
        <f t="shared" si="85"/>
        <v/>
      </c>
      <c r="N311" s="155"/>
      <c r="O311" s="571" t="str">
        <f>IF(I311="","",VLOOKUP(I311,tab!$A$119:$V$159,J311+3,FALSE))</f>
        <v/>
      </c>
      <c r="P311" s="572">
        <f t="shared" si="86"/>
        <v>0</v>
      </c>
      <c r="Q311" s="589">
        <f t="shared" si="93"/>
        <v>0.6</v>
      </c>
      <c r="R311" s="573">
        <f t="shared" si="94"/>
        <v>0</v>
      </c>
      <c r="S311" s="332">
        <f>IF(L311="",0,O311*12*L311*(1+tab!$D$108)*tab!$E$110)</f>
        <v>0</v>
      </c>
      <c r="T311" s="580">
        <f t="shared" si="95"/>
        <v>0</v>
      </c>
      <c r="U311" s="243">
        <f t="shared" si="87"/>
        <v>0</v>
      </c>
      <c r="V311" s="332">
        <f t="shared" si="88"/>
        <v>0</v>
      </c>
      <c r="W311" s="136"/>
      <c r="Z311" s="647" t="e">
        <f t="shared" si="89"/>
        <v>#VALUE!</v>
      </c>
      <c r="AA311" s="647" t="e">
        <f t="shared" si="90"/>
        <v>#VALUE!</v>
      </c>
      <c r="AB311" s="67">
        <f t="shared" si="91"/>
        <v>30</v>
      </c>
      <c r="AC311" s="67">
        <f t="shared" si="83"/>
        <v>30</v>
      </c>
      <c r="AD311" s="84">
        <f t="shared" si="92"/>
        <v>0</v>
      </c>
      <c r="AJ311" s="405"/>
    </row>
    <row r="312" spans="3:36" ht="12.75" customHeight="1">
      <c r="C312" s="131"/>
      <c r="D312" s="169" t="str">
        <f>IF(op!D200="","",op!D200)</f>
        <v/>
      </c>
      <c r="E312" s="169" t="str">
        <f>IF(op!E200=0,"",op!E200)</f>
        <v/>
      </c>
      <c r="F312" s="169" t="str">
        <f>IF(op!F200=0,"",op!F200)</f>
        <v/>
      </c>
      <c r="G312" s="170" t="str">
        <f>IF(op!G200="","",op!G200+1)</f>
        <v/>
      </c>
      <c r="H312" s="566" t="str">
        <f>IF(op!H200="","",op!H200)</f>
        <v/>
      </c>
      <c r="I312" s="170" t="str">
        <f>IF(op!I200=0,"-",op!I200)</f>
        <v/>
      </c>
      <c r="J312" s="567" t="str">
        <f>IF(E312="","",IF(op!J200&gt;LOOKUP(I312,schaal2011,regels2011),J200-1,IF(op!J200=LOOKUP(I312,schaal2011,regels2011),op!J200,J200+1)))</f>
        <v/>
      </c>
      <c r="K312" s="568" t="str">
        <f>IF(op!K200="","",op!K200)</f>
        <v/>
      </c>
      <c r="L312" s="569" t="str">
        <f>IF(op!L200="","",op!L200)</f>
        <v/>
      </c>
      <c r="M312" s="570" t="str">
        <f t="shared" si="85"/>
        <v/>
      </c>
      <c r="N312" s="155"/>
      <c r="O312" s="571" t="str">
        <f>IF(I312="","",VLOOKUP(I312,tab!$A$119:$V$159,J312+3,FALSE))</f>
        <v/>
      </c>
      <c r="P312" s="572">
        <f t="shared" si="86"/>
        <v>0</v>
      </c>
      <c r="Q312" s="589">
        <f t="shared" si="93"/>
        <v>0.6</v>
      </c>
      <c r="R312" s="573">
        <f t="shared" si="94"/>
        <v>0</v>
      </c>
      <c r="S312" s="332">
        <f>IF(L312="",0,O312*12*L312*(1+tab!$D$108)*tab!$E$110)</f>
        <v>0</v>
      </c>
      <c r="T312" s="580">
        <f t="shared" si="95"/>
        <v>0</v>
      </c>
      <c r="U312" s="243">
        <f t="shared" si="87"/>
        <v>0</v>
      </c>
      <c r="V312" s="332">
        <f t="shared" si="88"/>
        <v>0</v>
      </c>
      <c r="W312" s="136"/>
      <c r="Z312" s="647" t="e">
        <f t="shared" si="89"/>
        <v>#VALUE!</v>
      </c>
      <c r="AA312" s="647" t="e">
        <f t="shared" si="90"/>
        <v>#VALUE!</v>
      </c>
      <c r="AB312" s="67">
        <f t="shared" si="91"/>
        <v>30</v>
      </c>
      <c r="AC312" s="67">
        <f t="shared" si="83"/>
        <v>30</v>
      </c>
      <c r="AD312" s="84">
        <f t="shared" si="92"/>
        <v>0</v>
      </c>
      <c r="AJ312" s="405"/>
    </row>
    <row r="313" spans="3:36" ht="12.75" customHeight="1">
      <c r="C313" s="131"/>
      <c r="D313" s="169" t="str">
        <f>IF(op!D201="","",op!D201)</f>
        <v/>
      </c>
      <c r="E313" s="169" t="str">
        <f>IF(op!E201=0,"",op!E201)</f>
        <v/>
      </c>
      <c r="F313" s="169" t="str">
        <f>IF(op!F201=0,"",op!F201)</f>
        <v/>
      </c>
      <c r="G313" s="170" t="str">
        <f>IF(op!G201="","",op!G201+1)</f>
        <v/>
      </c>
      <c r="H313" s="566" t="str">
        <f>IF(op!H201="","",op!H201)</f>
        <v/>
      </c>
      <c r="I313" s="170" t="str">
        <f>IF(op!I201=0,"-",op!I201)</f>
        <v/>
      </c>
      <c r="J313" s="567" t="str">
        <f>IF(E313="","",IF(op!J201&gt;LOOKUP(I313,schaal2011,regels2011),J201-1,IF(op!J201=LOOKUP(I313,schaal2011,regels2011),op!J201,J201+1)))</f>
        <v/>
      </c>
      <c r="K313" s="568" t="str">
        <f>IF(op!K201="","",op!K201)</f>
        <v/>
      </c>
      <c r="L313" s="569" t="str">
        <f>IF(op!L201="","",op!L201)</f>
        <v/>
      </c>
      <c r="M313" s="570" t="str">
        <f t="shared" si="85"/>
        <v/>
      </c>
      <c r="N313" s="155"/>
      <c r="O313" s="571" t="str">
        <f>IF(I313="","",VLOOKUP(I313,tab!$A$119:$V$159,J313+3,FALSE))</f>
        <v/>
      </c>
      <c r="P313" s="572">
        <f t="shared" si="86"/>
        <v>0</v>
      </c>
      <c r="Q313" s="589">
        <f t="shared" si="93"/>
        <v>0.6</v>
      </c>
      <c r="R313" s="573">
        <f t="shared" si="94"/>
        <v>0</v>
      </c>
      <c r="S313" s="332">
        <f>IF(L313="",0,O313*12*L313*(1+tab!$D$108)*tab!$E$110)</f>
        <v>0</v>
      </c>
      <c r="T313" s="580">
        <f t="shared" si="95"/>
        <v>0</v>
      </c>
      <c r="U313" s="243">
        <f t="shared" si="87"/>
        <v>0</v>
      </c>
      <c r="V313" s="332">
        <f t="shared" si="88"/>
        <v>0</v>
      </c>
      <c r="W313" s="136"/>
      <c r="Z313" s="647" t="e">
        <f t="shared" si="89"/>
        <v>#VALUE!</v>
      </c>
      <c r="AA313" s="647" t="e">
        <f t="shared" si="90"/>
        <v>#VALUE!</v>
      </c>
      <c r="AB313" s="67">
        <f t="shared" si="91"/>
        <v>30</v>
      </c>
      <c r="AC313" s="67">
        <f t="shared" si="83"/>
        <v>30</v>
      </c>
      <c r="AD313" s="84">
        <f t="shared" si="92"/>
        <v>0</v>
      </c>
      <c r="AJ313" s="405"/>
    </row>
    <row r="314" spans="3:36" ht="12.75" customHeight="1">
      <c r="C314" s="131"/>
      <c r="D314" s="169" t="str">
        <f>IF(op!D202="","",op!D202)</f>
        <v/>
      </c>
      <c r="E314" s="169" t="str">
        <f>IF(op!E202=0,"",op!E202)</f>
        <v/>
      </c>
      <c r="F314" s="169" t="str">
        <f>IF(op!F202=0,"",op!F202)</f>
        <v/>
      </c>
      <c r="G314" s="170" t="str">
        <f>IF(op!G202="","",op!G202+1)</f>
        <v/>
      </c>
      <c r="H314" s="566" t="str">
        <f>IF(op!H202="","",op!H202)</f>
        <v/>
      </c>
      <c r="I314" s="170" t="str">
        <f>IF(op!I202=0,"-",op!I202)</f>
        <v/>
      </c>
      <c r="J314" s="567" t="str">
        <f>IF(E314="","",IF(op!J202&gt;LOOKUP(I314,schaal2011,regels2011),J202-1,IF(op!J202=LOOKUP(I314,schaal2011,regels2011),op!J202,J202+1)))</f>
        <v/>
      </c>
      <c r="K314" s="568" t="str">
        <f>IF(op!K202="","",op!K202)</f>
        <v/>
      </c>
      <c r="L314" s="569" t="str">
        <f>IF(op!L202="","",op!L202)</f>
        <v/>
      </c>
      <c r="M314" s="570" t="str">
        <f t="shared" si="85"/>
        <v/>
      </c>
      <c r="N314" s="155"/>
      <c r="O314" s="571" t="str">
        <f>IF(I314="","",VLOOKUP(I314,tab!$A$119:$V$159,J314+3,FALSE))</f>
        <v/>
      </c>
      <c r="P314" s="572">
        <f t="shared" si="86"/>
        <v>0</v>
      </c>
      <c r="Q314" s="589">
        <f t="shared" si="93"/>
        <v>0.6</v>
      </c>
      <c r="R314" s="573">
        <f t="shared" si="94"/>
        <v>0</v>
      </c>
      <c r="S314" s="332">
        <f>IF(L314="",0,O314*12*L314*(1+tab!$D$108)*tab!$E$110)</f>
        <v>0</v>
      </c>
      <c r="T314" s="580">
        <f t="shared" si="95"/>
        <v>0</v>
      </c>
      <c r="U314" s="243">
        <f t="shared" si="87"/>
        <v>0</v>
      </c>
      <c r="V314" s="332">
        <f t="shared" si="88"/>
        <v>0</v>
      </c>
      <c r="W314" s="136"/>
      <c r="Z314" s="647" t="e">
        <f t="shared" si="89"/>
        <v>#VALUE!</v>
      </c>
      <c r="AA314" s="647" t="e">
        <f t="shared" si="90"/>
        <v>#VALUE!</v>
      </c>
      <c r="AB314" s="67">
        <f t="shared" si="91"/>
        <v>30</v>
      </c>
      <c r="AC314" s="67">
        <f t="shared" si="83"/>
        <v>30</v>
      </c>
      <c r="AD314" s="84">
        <f t="shared" si="92"/>
        <v>0</v>
      </c>
      <c r="AJ314" s="405"/>
    </row>
    <row r="315" spans="3:36" ht="12.75" customHeight="1">
      <c r="C315" s="131"/>
      <c r="D315" s="169" t="str">
        <f>IF(op!D203="","",op!D203)</f>
        <v/>
      </c>
      <c r="E315" s="169" t="str">
        <f>IF(op!E203=0,"",op!E203)</f>
        <v/>
      </c>
      <c r="F315" s="169" t="str">
        <f>IF(op!F203=0,"",op!F203)</f>
        <v/>
      </c>
      <c r="G315" s="170" t="str">
        <f>IF(op!G203="","",op!G203+1)</f>
        <v/>
      </c>
      <c r="H315" s="566" t="str">
        <f>IF(op!H203="","",op!H203)</f>
        <v/>
      </c>
      <c r="I315" s="170" t="str">
        <f>IF(op!I203=0,"-",op!I203)</f>
        <v/>
      </c>
      <c r="J315" s="567" t="str">
        <f>IF(E315="","",IF(op!J203&gt;LOOKUP(I315,schaal2011,regels2011),J203-1,IF(op!J203=LOOKUP(I315,schaal2011,regels2011),op!J203,J203+1)))</f>
        <v/>
      </c>
      <c r="K315" s="568" t="str">
        <f>IF(op!K203="","",op!K203)</f>
        <v/>
      </c>
      <c r="L315" s="569" t="str">
        <f>IF(op!L203="","",op!L203)</f>
        <v/>
      </c>
      <c r="M315" s="570" t="str">
        <f t="shared" si="85"/>
        <v/>
      </c>
      <c r="N315" s="155"/>
      <c r="O315" s="571" t="str">
        <f>IF(I315="","",VLOOKUP(I315,tab!$A$119:$V$159,J315+3,FALSE))</f>
        <v/>
      </c>
      <c r="P315" s="572">
        <f t="shared" si="86"/>
        <v>0</v>
      </c>
      <c r="Q315" s="589">
        <f t="shared" si="93"/>
        <v>0.6</v>
      </c>
      <c r="R315" s="573">
        <f t="shared" si="94"/>
        <v>0</v>
      </c>
      <c r="S315" s="332">
        <f>IF(L315="",0,O315*12*L315*(1+tab!$D$108)*tab!$E$110)</f>
        <v>0</v>
      </c>
      <c r="T315" s="580">
        <f t="shared" si="95"/>
        <v>0</v>
      </c>
      <c r="U315" s="243">
        <f t="shared" si="87"/>
        <v>0</v>
      </c>
      <c r="V315" s="332">
        <f t="shared" si="88"/>
        <v>0</v>
      </c>
      <c r="W315" s="136"/>
      <c r="Z315" s="647" t="e">
        <f t="shared" si="89"/>
        <v>#VALUE!</v>
      </c>
      <c r="AA315" s="647" t="e">
        <f t="shared" si="90"/>
        <v>#VALUE!</v>
      </c>
      <c r="AB315" s="67">
        <f t="shared" si="91"/>
        <v>30</v>
      </c>
      <c r="AC315" s="67">
        <f t="shared" si="83"/>
        <v>30</v>
      </c>
      <c r="AD315" s="84">
        <f t="shared" si="92"/>
        <v>0</v>
      </c>
      <c r="AJ315" s="405"/>
    </row>
    <row r="316" spans="3:36" ht="12.75" customHeight="1">
      <c r="C316" s="131"/>
      <c r="D316" s="169" t="str">
        <f>IF(op!D204="","",op!D204)</f>
        <v/>
      </c>
      <c r="E316" s="169" t="str">
        <f>IF(op!E204=0,"",op!E204)</f>
        <v/>
      </c>
      <c r="F316" s="169" t="str">
        <f>IF(op!F204=0,"",op!F204)</f>
        <v/>
      </c>
      <c r="G316" s="170" t="str">
        <f>IF(op!G204="","",op!G204+1)</f>
        <v/>
      </c>
      <c r="H316" s="566" t="str">
        <f>IF(op!H204="","",op!H204)</f>
        <v/>
      </c>
      <c r="I316" s="170" t="str">
        <f>IF(op!I204=0,"-",op!I204)</f>
        <v/>
      </c>
      <c r="J316" s="567" t="str">
        <f>IF(E316="","",IF(op!J204&gt;LOOKUP(I316,schaal2011,regels2011),J204-1,IF(op!J204=LOOKUP(I316,schaal2011,regels2011),op!J204,J204+1)))</f>
        <v/>
      </c>
      <c r="K316" s="568" t="str">
        <f>IF(op!K204="","",op!K204)</f>
        <v/>
      </c>
      <c r="L316" s="569" t="str">
        <f>IF(op!L204="","",op!L204)</f>
        <v/>
      </c>
      <c r="M316" s="570" t="str">
        <f t="shared" si="85"/>
        <v/>
      </c>
      <c r="N316" s="155"/>
      <c r="O316" s="571" t="str">
        <f>IF(I316="","",VLOOKUP(I316,tab!$A$119:$V$159,J316+3,FALSE))</f>
        <v/>
      </c>
      <c r="P316" s="572">
        <f t="shared" si="86"/>
        <v>0</v>
      </c>
      <c r="Q316" s="589">
        <f t="shared" si="93"/>
        <v>0.6</v>
      </c>
      <c r="R316" s="573">
        <f t="shared" si="94"/>
        <v>0</v>
      </c>
      <c r="S316" s="332">
        <f>IF(L316="",0,O316*12*L316*(1+tab!$D$108)*tab!$E$110)</f>
        <v>0</v>
      </c>
      <c r="T316" s="580">
        <f t="shared" si="95"/>
        <v>0</v>
      </c>
      <c r="U316" s="243">
        <f t="shared" si="87"/>
        <v>0</v>
      </c>
      <c r="V316" s="332">
        <f t="shared" si="88"/>
        <v>0</v>
      </c>
      <c r="W316" s="136"/>
      <c r="Z316" s="647" t="e">
        <f t="shared" si="89"/>
        <v>#VALUE!</v>
      </c>
      <c r="AA316" s="647" t="e">
        <f t="shared" si="90"/>
        <v>#VALUE!</v>
      </c>
      <c r="AB316" s="67">
        <f t="shared" si="91"/>
        <v>30</v>
      </c>
      <c r="AC316" s="67">
        <f t="shared" si="83"/>
        <v>30</v>
      </c>
      <c r="AD316" s="84">
        <f t="shared" si="92"/>
        <v>0</v>
      </c>
      <c r="AJ316" s="405"/>
    </row>
    <row r="317" spans="3:36" ht="12.75" customHeight="1">
      <c r="C317" s="131"/>
      <c r="D317" s="169" t="str">
        <f>IF(op!D205="","",op!D205)</f>
        <v/>
      </c>
      <c r="E317" s="169" t="str">
        <f>IF(op!E205=0,"",op!E205)</f>
        <v/>
      </c>
      <c r="F317" s="169" t="str">
        <f>IF(op!F205=0,"",op!F205)</f>
        <v/>
      </c>
      <c r="G317" s="170" t="str">
        <f>IF(op!G205="","",op!G205+1)</f>
        <v/>
      </c>
      <c r="H317" s="566" t="str">
        <f>IF(op!H205="","",op!H205)</f>
        <v/>
      </c>
      <c r="I317" s="170" t="str">
        <f>IF(op!I205=0,"-",op!I205)</f>
        <v/>
      </c>
      <c r="J317" s="567" t="str">
        <f>IF(E317="","",IF(op!J205&gt;LOOKUP(I317,schaal2011,regels2011),J205-1,IF(op!J205=LOOKUP(I317,schaal2011,regels2011),op!J205,J205+1)))</f>
        <v/>
      </c>
      <c r="K317" s="568" t="str">
        <f>IF(op!K205="","",op!K205)</f>
        <v/>
      </c>
      <c r="L317" s="569" t="str">
        <f>IF(op!L205="","",op!L205)</f>
        <v/>
      </c>
      <c r="M317" s="570" t="str">
        <f t="shared" si="85"/>
        <v/>
      </c>
      <c r="N317" s="155"/>
      <c r="O317" s="571" t="str">
        <f>IF(I317="","",VLOOKUP(I317,tab!$A$119:$V$159,J317+3,FALSE))</f>
        <v/>
      </c>
      <c r="P317" s="572">
        <f t="shared" si="86"/>
        <v>0</v>
      </c>
      <c r="Q317" s="589">
        <f t="shared" si="93"/>
        <v>0.6</v>
      </c>
      <c r="R317" s="573">
        <f t="shared" si="94"/>
        <v>0</v>
      </c>
      <c r="S317" s="332">
        <f>IF(L317="",0,O317*12*L317*(1+tab!$D$108)*tab!$E$110)</f>
        <v>0</v>
      </c>
      <c r="T317" s="580">
        <f t="shared" si="95"/>
        <v>0</v>
      </c>
      <c r="U317" s="243">
        <f t="shared" si="87"/>
        <v>0</v>
      </c>
      <c r="V317" s="332">
        <f t="shared" si="88"/>
        <v>0</v>
      </c>
      <c r="W317" s="136"/>
      <c r="Z317" s="647" t="e">
        <f t="shared" si="89"/>
        <v>#VALUE!</v>
      </c>
      <c r="AA317" s="647" t="e">
        <f t="shared" si="90"/>
        <v>#VALUE!</v>
      </c>
      <c r="AB317" s="67">
        <f t="shared" si="91"/>
        <v>30</v>
      </c>
      <c r="AC317" s="67">
        <f t="shared" si="83"/>
        <v>30</v>
      </c>
      <c r="AD317" s="84">
        <f t="shared" si="92"/>
        <v>0</v>
      </c>
      <c r="AJ317" s="405"/>
    </row>
    <row r="318" spans="3:36" ht="12.75" customHeight="1">
      <c r="C318" s="131"/>
      <c r="D318" s="169" t="str">
        <f>IF(op!D206="","",op!D206)</f>
        <v/>
      </c>
      <c r="E318" s="169" t="str">
        <f>IF(op!E206=0,"",op!E206)</f>
        <v/>
      </c>
      <c r="F318" s="169" t="str">
        <f>IF(op!F206=0,"",op!F206)</f>
        <v/>
      </c>
      <c r="G318" s="170" t="str">
        <f>IF(op!G206="","",op!G206+1)</f>
        <v/>
      </c>
      <c r="H318" s="566" t="str">
        <f>IF(op!H206="","",op!H206)</f>
        <v/>
      </c>
      <c r="I318" s="170" t="str">
        <f>IF(op!I206=0,"-",op!I206)</f>
        <v/>
      </c>
      <c r="J318" s="567" t="str">
        <f>IF(E318="","",IF(op!J206&gt;LOOKUP(I318,schaal2011,regels2011),J206-1,IF(op!J206=LOOKUP(I318,schaal2011,regels2011),op!J206,J206+1)))</f>
        <v/>
      </c>
      <c r="K318" s="568" t="str">
        <f>IF(op!K206="","",op!K206)</f>
        <v/>
      </c>
      <c r="L318" s="569" t="str">
        <f>IF(op!L206="","",op!L206)</f>
        <v/>
      </c>
      <c r="M318" s="570" t="str">
        <f t="shared" si="85"/>
        <v/>
      </c>
      <c r="N318" s="155"/>
      <c r="O318" s="571" t="str">
        <f>IF(I318="","",VLOOKUP(I318,tab!$A$119:$V$159,J318+3,FALSE))</f>
        <v/>
      </c>
      <c r="P318" s="572">
        <f t="shared" si="86"/>
        <v>0</v>
      </c>
      <c r="Q318" s="589">
        <f t="shared" si="93"/>
        <v>0.6</v>
      </c>
      <c r="R318" s="573">
        <f t="shared" si="94"/>
        <v>0</v>
      </c>
      <c r="S318" s="332">
        <f>IF(L318="",0,O318*12*L318*(1+tab!$D$108)*tab!$E$110)</f>
        <v>0</v>
      </c>
      <c r="T318" s="580">
        <f t="shared" si="95"/>
        <v>0</v>
      </c>
      <c r="U318" s="243">
        <f t="shared" si="87"/>
        <v>0</v>
      </c>
      <c r="V318" s="332">
        <f t="shared" si="88"/>
        <v>0</v>
      </c>
      <c r="W318" s="136"/>
      <c r="Z318" s="647" t="e">
        <f t="shared" si="89"/>
        <v>#VALUE!</v>
      </c>
      <c r="AA318" s="647" t="e">
        <f t="shared" si="90"/>
        <v>#VALUE!</v>
      </c>
      <c r="AB318" s="67">
        <f t="shared" si="91"/>
        <v>30</v>
      </c>
      <c r="AC318" s="67">
        <f t="shared" si="83"/>
        <v>30</v>
      </c>
      <c r="AD318" s="84">
        <f t="shared" si="92"/>
        <v>0</v>
      </c>
      <c r="AJ318" s="405"/>
    </row>
    <row r="319" spans="3:36" ht="12.75" customHeight="1">
      <c r="C319" s="131"/>
      <c r="D319" s="169" t="str">
        <f>IF(op!D207="","",op!D207)</f>
        <v/>
      </c>
      <c r="E319" s="169" t="str">
        <f>IF(op!E207=0,"",op!E207)</f>
        <v/>
      </c>
      <c r="F319" s="169" t="str">
        <f>IF(op!F207=0,"",op!F207)</f>
        <v/>
      </c>
      <c r="G319" s="170" t="str">
        <f>IF(op!G207="","",op!G207+1)</f>
        <v/>
      </c>
      <c r="H319" s="566" t="str">
        <f>IF(op!H207="","",op!H207)</f>
        <v/>
      </c>
      <c r="I319" s="170" t="str">
        <f>IF(op!I207=0,"-",op!I207)</f>
        <v/>
      </c>
      <c r="J319" s="567" t="str">
        <f>IF(E319="","",IF(op!J207&gt;LOOKUP(I319,schaal2011,regels2011),J207-1,IF(op!J207=LOOKUP(I319,schaal2011,regels2011),op!J207,J207+1)))</f>
        <v/>
      </c>
      <c r="K319" s="568" t="str">
        <f>IF(op!K207="","",op!K207)</f>
        <v/>
      </c>
      <c r="L319" s="569" t="str">
        <f>IF(op!L207="","",op!L207)</f>
        <v/>
      </c>
      <c r="M319" s="570" t="str">
        <f t="shared" si="85"/>
        <v/>
      </c>
      <c r="N319" s="155"/>
      <c r="O319" s="571" t="str">
        <f>IF(I319="","",VLOOKUP(I319,tab!$A$119:$V$159,J319+3,FALSE))</f>
        <v/>
      </c>
      <c r="P319" s="572">
        <f t="shared" si="86"/>
        <v>0</v>
      </c>
      <c r="Q319" s="589">
        <f t="shared" si="93"/>
        <v>0.6</v>
      </c>
      <c r="R319" s="573">
        <f t="shared" si="94"/>
        <v>0</v>
      </c>
      <c r="S319" s="332">
        <f>IF(L319="",0,O319*12*L319*(1+tab!$D$108)*tab!$E$110)</f>
        <v>0</v>
      </c>
      <c r="T319" s="580">
        <f t="shared" si="95"/>
        <v>0</v>
      </c>
      <c r="U319" s="243">
        <f t="shared" si="87"/>
        <v>0</v>
      </c>
      <c r="V319" s="332">
        <f t="shared" si="88"/>
        <v>0</v>
      </c>
      <c r="W319" s="136"/>
      <c r="Z319" s="647" t="e">
        <f t="shared" si="89"/>
        <v>#VALUE!</v>
      </c>
      <c r="AA319" s="647" t="e">
        <f t="shared" si="90"/>
        <v>#VALUE!</v>
      </c>
      <c r="AB319" s="67">
        <f t="shared" si="91"/>
        <v>30</v>
      </c>
      <c r="AC319" s="67">
        <f t="shared" si="83"/>
        <v>30</v>
      </c>
      <c r="AD319" s="84">
        <f t="shared" si="92"/>
        <v>0</v>
      </c>
      <c r="AJ319" s="405"/>
    </row>
    <row r="320" spans="3:36" ht="12.75" customHeight="1">
      <c r="C320" s="131"/>
      <c r="D320" s="169" t="str">
        <f>IF(op!D208="","",op!D208)</f>
        <v/>
      </c>
      <c r="E320" s="169" t="str">
        <f>IF(op!E208=0,"",op!E208)</f>
        <v/>
      </c>
      <c r="F320" s="169" t="str">
        <f>IF(op!F208=0,"",op!F208)</f>
        <v/>
      </c>
      <c r="G320" s="170" t="str">
        <f>IF(op!G208="","",op!G208+1)</f>
        <v/>
      </c>
      <c r="H320" s="566" t="str">
        <f>IF(op!H208="","",op!H208)</f>
        <v/>
      </c>
      <c r="I320" s="170" t="str">
        <f>IF(op!I208=0,"-",op!I208)</f>
        <v/>
      </c>
      <c r="J320" s="567" t="str">
        <f>IF(E320="","",IF(op!J208&gt;LOOKUP(I320,schaal2011,regels2011),J208-1,IF(op!J208=LOOKUP(I320,schaal2011,regels2011),op!J208,J208+1)))</f>
        <v/>
      </c>
      <c r="K320" s="568" t="str">
        <f>IF(op!K208="","",op!K208)</f>
        <v/>
      </c>
      <c r="L320" s="569" t="str">
        <f>IF(op!L208="","",op!L208)</f>
        <v/>
      </c>
      <c r="M320" s="570" t="str">
        <f t="shared" si="85"/>
        <v/>
      </c>
      <c r="N320" s="155"/>
      <c r="O320" s="571" t="str">
        <f>IF(I320="","",VLOOKUP(I320,tab!$A$119:$V$159,J320+3,FALSE))</f>
        <v/>
      </c>
      <c r="P320" s="572">
        <f t="shared" si="86"/>
        <v>0</v>
      </c>
      <c r="Q320" s="589">
        <f t="shared" si="93"/>
        <v>0.6</v>
      </c>
      <c r="R320" s="573">
        <f t="shared" si="94"/>
        <v>0</v>
      </c>
      <c r="S320" s="332">
        <f>IF(L320="",0,O320*12*L320*(1+tab!$D$108)*tab!$E$110)</f>
        <v>0</v>
      </c>
      <c r="T320" s="580">
        <f t="shared" si="95"/>
        <v>0</v>
      </c>
      <c r="U320" s="243">
        <f t="shared" si="87"/>
        <v>0</v>
      </c>
      <c r="V320" s="332">
        <f t="shared" si="88"/>
        <v>0</v>
      </c>
      <c r="W320" s="136"/>
      <c r="Z320" s="647" t="e">
        <f t="shared" si="89"/>
        <v>#VALUE!</v>
      </c>
      <c r="AA320" s="647" t="e">
        <f t="shared" si="90"/>
        <v>#VALUE!</v>
      </c>
      <c r="AB320" s="67">
        <f t="shared" si="91"/>
        <v>30</v>
      </c>
      <c r="AC320" s="67">
        <f t="shared" si="83"/>
        <v>30</v>
      </c>
      <c r="AD320" s="84">
        <f t="shared" si="92"/>
        <v>0</v>
      </c>
      <c r="AJ320" s="405"/>
    </row>
    <row r="321" spans="3:36" ht="12.75" customHeight="1">
      <c r="C321" s="131"/>
      <c r="D321" s="169" t="str">
        <f>IF(op!D209="","",op!D209)</f>
        <v/>
      </c>
      <c r="E321" s="169" t="str">
        <f>IF(op!E209=0,"",op!E209)</f>
        <v/>
      </c>
      <c r="F321" s="169" t="str">
        <f>IF(op!F209=0,"",op!F209)</f>
        <v/>
      </c>
      <c r="G321" s="170" t="str">
        <f>IF(op!G209="","",op!G209+1)</f>
        <v/>
      </c>
      <c r="H321" s="566" t="str">
        <f>IF(op!H209="","",op!H209)</f>
        <v/>
      </c>
      <c r="I321" s="170" t="str">
        <f>IF(op!I209=0,"-",op!I209)</f>
        <v/>
      </c>
      <c r="J321" s="567" t="str">
        <f>IF(E321="","",IF(op!J209&gt;LOOKUP(I321,schaal2011,regels2011),J209-1,IF(op!J209=LOOKUP(I321,schaal2011,regels2011),op!J209,J209+1)))</f>
        <v/>
      </c>
      <c r="K321" s="568" t="str">
        <f>IF(op!K209="","",op!K209)</f>
        <v/>
      </c>
      <c r="L321" s="569" t="str">
        <f>IF(op!L209="","",op!L209)</f>
        <v/>
      </c>
      <c r="M321" s="570" t="str">
        <f t="shared" si="85"/>
        <v/>
      </c>
      <c r="N321" s="155"/>
      <c r="O321" s="571" t="str">
        <f>IF(I321="","",VLOOKUP(I321,tab!$A$119:$V$159,J321+3,FALSE))</f>
        <v/>
      </c>
      <c r="P321" s="572">
        <f t="shared" si="86"/>
        <v>0</v>
      </c>
      <c r="Q321" s="589">
        <f t="shared" si="93"/>
        <v>0.6</v>
      </c>
      <c r="R321" s="573">
        <f t="shared" si="94"/>
        <v>0</v>
      </c>
      <c r="S321" s="332">
        <f>IF(L321="",0,O321*12*L321*(1+tab!$D$108)*tab!$E$110)</f>
        <v>0</v>
      </c>
      <c r="T321" s="580">
        <f t="shared" si="95"/>
        <v>0</v>
      </c>
      <c r="U321" s="243">
        <f t="shared" si="87"/>
        <v>0</v>
      </c>
      <c r="V321" s="332">
        <f t="shared" si="88"/>
        <v>0</v>
      </c>
      <c r="W321" s="136"/>
      <c r="Z321" s="647" t="e">
        <f t="shared" si="89"/>
        <v>#VALUE!</v>
      </c>
      <c r="AA321" s="647" t="e">
        <f t="shared" si="90"/>
        <v>#VALUE!</v>
      </c>
      <c r="AB321" s="67">
        <f t="shared" si="91"/>
        <v>30</v>
      </c>
      <c r="AC321" s="67">
        <f t="shared" si="83"/>
        <v>30</v>
      </c>
      <c r="AD321" s="84">
        <f t="shared" si="92"/>
        <v>0</v>
      </c>
      <c r="AJ321" s="405"/>
    </row>
    <row r="322" spans="3:36" ht="12.75" customHeight="1">
      <c r="C322" s="131"/>
      <c r="D322" s="169" t="str">
        <f>IF(op!D210="","",op!D210)</f>
        <v/>
      </c>
      <c r="E322" s="169" t="str">
        <f>IF(op!E210=0,"",op!E210)</f>
        <v/>
      </c>
      <c r="F322" s="169" t="str">
        <f>IF(op!F210=0,"",op!F210)</f>
        <v/>
      </c>
      <c r="G322" s="170" t="str">
        <f>IF(op!G210="","",op!G210+1)</f>
        <v/>
      </c>
      <c r="H322" s="566" t="str">
        <f>IF(op!H210="","",op!H210)</f>
        <v/>
      </c>
      <c r="I322" s="170" t="str">
        <f>IF(op!I210=0,"-",op!I210)</f>
        <v/>
      </c>
      <c r="J322" s="567" t="str">
        <f>IF(E322="","",IF(op!J210&gt;LOOKUP(I322,schaal2011,regels2011),J210-1,IF(op!J210=LOOKUP(I322,schaal2011,regels2011),op!J210,J210+1)))</f>
        <v/>
      </c>
      <c r="K322" s="568" t="str">
        <f>IF(op!K210="","",op!K210)</f>
        <v/>
      </c>
      <c r="L322" s="569" t="str">
        <f>IF(op!L210="","",op!L210)</f>
        <v/>
      </c>
      <c r="M322" s="570" t="str">
        <f t="shared" si="85"/>
        <v/>
      </c>
      <c r="N322" s="155"/>
      <c r="O322" s="571" t="str">
        <f>IF(I322="","",VLOOKUP(I322,tab!$A$119:$V$159,J322+3,FALSE))</f>
        <v/>
      </c>
      <c r="P322" s="572">
        <f t="shared" si="86"/>
        <v>0</v>
      </c>
      <c r="Q322" s="589">
        <f t="shared" si="93"/>
        <v>0.6</v>
      </c>
      <c r="R322" s="573">
        <f t="shared" si="94"/>
        <v>0</v>
      </c>
      <c r="S322" s="332">
        <f>IF(L322="",0,O322*12*L322*(1+tab!$D$108)*tab!$E$110)</f>
        <v>0</v>
      </c>
      <c r="T322" s="580">
        <f t="shared" si="95"/>
        <v>0</v>
      </c>
      <c r="U322" s="243">
        <f t="shared" si="87"/>
        <v>0</v>
      </c>
      <c r="V322" s="332">
        <f t="shared" si="88"/>
        <v>0</v>
      </c>
      <c r="W322" s="136"/>
      <c r="Z322" s="647" t="e">
        <f t="shared" si="89"/>
        <v>#VALUE!</v>
      </c>
      <c r="AA322" s="647" t="e">
        <f t="shared" si="90"/>
        <v>#VALUE!</v>
      </c>
      <c r="AB322" s="67">
        <f t="shared" si="91"/>
        <v>30</v>
      </c>
      <c r="AC322" s="67">
        <f t="shared" si="83"/>
        <v>30</v>
      </c>
      <c r="AD322" s="84">
        <f t="shared" si="92"/>
        <v>0</v>
      </c>
      <c r="AJ322" s="405"/>
    </row>
    <row r="323" spans="3:36" ht="12.75" customHeight="1">
      <c r="C323" s="131"/>
      <c r="D323" s="169" t="str">
        <f>IF(op!D211="","",op!D211)</f>
        <v/>
      </c>
      <c r="E323" s="169" t="str">
        <f>IF(op!E211=0,"",op!E211)</f>
        <v/>
      </c>
      <c r="F323" s="169" t="str">
        <f>IF(op!F211=0,"",op!F211)</f>
        <v/>
      </c>
      <c r="G323" s="170" t="str">
        <f>IF(op!G211="","",op!G211+1)</f>
        <v/>
      </c>
      <c r="H323" s="566" t="str">
        <f>IF(op!H211="","",op!H211)</f>
        <v/>
      </c>
      <c r="I323" s="170" t="str">
        <f>IF(op!I211=0,"-",op!I211)</f>
        <v/>
      </c>
      <c r="J323" s="567" t="str">
        <f>IF(E323="","",IF(op!J211&gt;LOOKUP(I323,schaal2011,regels2011),J211-1,IF(op!J211=LOOKUP(I323,schaal2011,regels2011),op!J211,J211+1)))</f>
        <v/>
      </c>
      <c r="K323" s="568" t="str">
        <f>IF(op!K211="","",op!K211)</f>
        <v/>
      </c>
      <c r="L323" s="569" t="str">
        <f>IF(op!L211="","",op!L211)</f>
        <v/>
      </c>
      <c r="M323" s="570" t="str">
        <f t="shared" si="85"/>
        <v/>
      </c>
      <c r="N323" s="155"/>
      <c r="O323" s="571" t="str">
        <f>IF(I323="","",VLOOKUP(I323,tab!$A$119:$V$159,J323+3,FALSE))</f>
        <v/>
      </c>
      <c r="P323" s="572">
        <f t="shared" si="86"/>
        <v>0</v>
      </c>
      <c r="Q323" s="589">
        <f t="shared" si="93"/>
        <v>0.6</v>
      </c>
      <c r="R323" s="573">
        <f t="shared" si="94"/>
        <v>0</v>
      </c>
      <c r="S323" s="332">
        <f>IF(L323="",0,O323*12*L323*(1+tab!$D$108)*tab!$E$110)</f>
        <v>0</v>
      </c>
      <c r="T323" s="580">
        <f t="shared" si="95"/>
        <v>0</v>
      </c>
      <c r="U323" s="243">
        <f t="shared" si="87"/>
        <v>0</v>
      </c>
      <c r="V323" s="332">
        <f t="shared" si="88"/>
        <v>0</v>
      </c>
      <c r="W323" s="136"/>
      <c r="Z323" s="647" t="e">
        <f t="shared" si="89"/>
        <v>#VALUE!</v>
      </c>
      <c r="AA323" s="647" t="e">
        <f t="shared" si="90"/>
        <v>#VALUE!</v>
      </c>
      <c r="AB323" s="67">
        <f t="shared" si="91"/>
        <v>30</v>
      </c>
      <c r="AC323" s="67">
        <f t="shared" si="83"/>
        <v>30</v>
      </c>
      <c r="AD323" s="84">
        <f t="shared" si="92"/>
        <v>0</v>
      </c>
      <c r="AJ323" s="405"/>
    </row>
    <row r="324" spans="3:36" ht="12.75" customHeight="1">
      <c r="C324" s="131"/>
      <c r="D324" s="169" t="str">
        <f>IF(op!D212="","",op!D212)</f>
        <v/>
      </c>
      <c r="E324" s="169" t="str">
        <f>IF(op!E212=0,"",op!E212)</f>
        <v/>
      </c>
      <c r="F324" s="169" t="str">
        <f>IF(op!F212=0,"",op!F212)</f>
        <v/>
      </c>
      <c r="G324" s="170" t="str">
        <f>IF(op!G212="","",op!G212+1)</f>
        <v/>
      </c>
      <c r="H324" s="566" t="str">
        <f>IF(op!H212="","",op!H212)</f>
        <v/>
      </c>
      <c r="I324" s="170" t="str">
        <f>IF(op!I212=0,"-",op!I212)</f>
        <v/>
      </c>
      <c r="J324" s="567" t="str">
        <f>IF(E324="","",IF(op!J212&gt;LOOKUP(I324,schaal2011,regels2011),J212-1,IF(op!J212=LOOKUP(I324,schaal2011,regels2011),op!J212,J212+1)))</f>
        <v/>
      </c>
      <c r="K324" s="568" t="str">
        <f>IF(op!K212="","",op!K212)</f>
        <v/>
      </c>
      <c r="L324" s="569" t="str">
        <f>IF(op!L212="","",op!L212)</f>
        <v/>
      </c>
      <c r="M324" s="570" t="str">
        <f t="shared" si="85"/>
        <v/>
      </c>
      <c r="N324" s="155"/>
      <c r="O324" s="571" t="str">
        <f>IF(I324="","",VLOOKUP(I324,tab!$A$119:$V$159,J324+3,FALSE))</f>
        <v/>
      </c>
      <c r="P324" s="572">
        <f t="shared" si="86"/>
        <v>0</v>
      </c>
      <c r="Q324" s="589">
        <f t="shared" si="93"/>
        <v>0.6</v>
      </c>
      <c r="R324" s="573">
        <f t="shared" si="94"/>
        <v>0</v>
      </c>
      <c r="S324" s="332">
        <f>IF(L324="",0,O324*12*L324*(1+tab!$D$108)*tab!$E$110)</f>
        <v>0</v>
      </c>
      <c r="T324" s="580">
        <f t="shared" si="95"/>
        <v>0</v>
      </c>
      <c r="U324" s="243">
        <f t="shared" si="87"/>
        <v>0</v>
      </c>
      <c r="V324" s="332">
        <f t="shared" si="88"/>
        <v>0</v>
      </c>
      <c r="W324" s="136"/>
      <c r="Z324" s="647" t="e">
        <f t="shared" si="89"/>
        <v>#VALUE!</v>
      </c>
      <c r="AA324" s="647" t="e">
        <f t="shared" si="90"/>
        <v>#VALUE!</v>
      </c>
      <c r="AB324" s="67">
        <f t="shared" si="91"/>
        <v>30</v>
      </c>
      <c r="AC324" s="67">
        <f t="shared" si="83"/>
        <v>30</v>
      </c>
      <c r="AD324" s="84">
        <f t="shared" si="92"/>
        <v>0</v>
      </c>
      <c r="AJ324" s="405"/>
    </row>
    <row r="325" spans="3:36" ht="12.75" customHeight="1">
      <c r="C325" s="131"/>
      <c r="D325" s="169" t="str">
        <f>IF(op!D213="","",op!D213)</f>
        <v/>
      </c>
      <c r="E325" s="169" t="str">
        <f>IF(op!E213=0,"",op!E213)</f>
        <v/>
      </c>
      <c r="F325" s="169" t="str">
        <f>IF(op!F213=0,"",op!F213)</f>
        <v/>
      </c>
      <c r="G325" s="170" t="str">
        <f>IF(op!G213="","",op!G213+1)</f>
        <v/>
      </c>
      <c r="H325" s="566" t="str">
        <f>IF(op!H213="","",op!H213)</f>
        <v/>
      </c>
      <c r="I325" s="170" t="str">
        <f>IF(op!I213=0,"-",op!I213)</f>
        <v/>
      </c>
      <c r="J325" s="567" t="str">
        <f>IF(E325="","",IF(op!J213&gt;LOOKUP(I325,schaal2011,regels2011),J213-1,IF(op!J213=LOOKUP(I325,schaal2011,regels2011),op!J213,J213+1)))</f>
        <v/>
      </c>
      <c r="K325" s="568" t="str">
        <f>IF(op!K213="","",op!K213)</f>
        <v/>
      </c>
      <c r="L325" s="569" t="str">
        <f>IF(op!L213="","",op!L213)</f>
        <v/>
      </c>
      <c r="M325" s="570" t="str">
        <f t="shared" si="85"/>
        <v/>
      </c>
      <c r="N325" s="155"/>
      <c r="O325" s="571" t="str">
        <f>IF(I325="","",VLOOKUP(I325,tab!$A$119:$V$159,J325+3,FALSE))</f>
        <v/>
      </c>
      <c r="P325" s="572">
        <f t="shared" si="86"/>
        <v>0</v>
      </c>
      <c r="Q325" s="589">
        <f t="shared" si="93"/>
        <v>0.6</v>
      </c>
      <c r="R325" s="573">
        <f t="shared" si="94"/>
        <v>0</v>
      </c>
      <c r="S325" s="332">
        <f>IF(L325="",0,O325*12*L325*(1+tab!$D$108)*tab!$E$110)</f>
        <v>0</v>
      </c>
      <c r="T325" s="580">
        <f t="shared" si="95"/>
        <v>0</v>
      </c>
      <c r="U325" s="243">
        <f t="shared" si="87"/>
        <v>0</v>
      </c>
      <c r="V325" s="332">
        <f t="shared" si="88"/>
        <v>0</v>
      </c>
      <c r="W325" s="136"/>
      <c r="Z325" s="647" t="e">
        <f t="shared" si="89"/>
        <v>#VALUE!</v>
      </c>
      <c r="AA325" s="647" t="e">
        <f t="shared" si="90"/>
        <v>#VALUE!</v>
      </c>
      <c r="AB325" s="67">
        <f t="shared" si="91"/>
        <v>30</v>
      </c>
      <c r="AC325" s="67">
        <f t="shared" si="83"/>
        <v>30</v>
      </c>
      <c r="AD325" s="84">
        <f t="shared" si="92"/>
        <v>0</v>
      </c>
      <c r="AJ325" s="405"/>
    </row>
    <row r="326" spans="3:36" ht="12.75" customHeight="1">
      <c r="C326" s="131"/>
      <c r="D326" s="169" t="str">
        <f>IF(op!D214="","",op!D214)</f>
        <v/>
      </c>
      <c r="E326" s="169" t="str">
        <f>IF(op!E214=0,"",op!E214)</f>
        <v/>
      </c>
      <c r="F326" s="169" t="str">
        <f>IF(op!F214=0,"",op!F214)</f>
        <v/>
      </c>
      <c r="G326" s="170" t="str">
        <f>IF(op!G214="","",op!G214+1)</f>
        <v/>
      </c>
      <c r="H326" s="566" t="str">
        <f>IF(op!H214="","",op!H214)</f>
        <v/>
      </c>
      <c r="I326" s="170" t="str">
        <f>IF(op!I214=0,"-",op!I214)</f>
        <v/>
      </c>
      <c r="J326" s="567" t="str">
        <f>IF(E326="","",IF(op!J214&gt;LOOKUP(I326,schaal2011,regels2011),J214-1,IF(op!J214=LOOKUP(I326,schaal2011,regels2011),op!J214,J214+1)))</f>
        <v/>
      </c>
      <c r="K326" s="568" t="str">
        <f>IF(op!K214="","",op!K214)</f>
        <v/>
      </c>
      <c r="L326" s="569" t="str">
        <f>IF(op!L214="","",op!L214)</f>
        <v/>
      </c>
      <c r="M326" s="570" t="str">
        <f t="shared" si="85"/>
        <v/>
      </c>
      <c r="N326" s="155"/>
      <c r="O326" s="571" t="str">
        <f>IF(I326="","",VLOOKUP(I326,tab!$A$119:$V$159,J326+3,FALSE))</f>
        <v/>
      </c>
      <c r="P326" s="572">
        <f t="shared" si="86"/>
        <v>0</v>
      </c>
      <c r="Q326" s="589">
        <f t="shared" si="93"/>
        <v>0.6</v>
      </c>
      <c r="R326" s="573">
        <f t="shared" si="94"/>
        <v>0</v>
      </c>
      <c r="S326" s="332">
        <f>IF(L326="",0,O326*12*L326*(1+tab!$D$108)*tab!$E$110)</f>
        <v>0</v>
      </c>
      <c r="T326" s="580">
        <f t="shared" si="95"/>
        <v>0</v>
      </c>
      <c r="U326" s="243">
        <f t="shared" si="87"/>
        <v>0</v>
      </c>
      <c r="V326" s="332">
        <f t="shared" si="88"/>
        <v>0</v>
      </c>
      <c r="W326" s="136"/>
      <c r="Z326" s="647" t="e">
        <f t="shared" si="89"/>
        <v>#VALUE!</v>
      </c>
      <c r="AA326" s="647" t="e">
        <f t="shared" si="90"/>
        <v>#VALUE!</v>
      </c>
      <c r="AB326" s="67">
        <f t="shared" si="91"/>
        <v>30</v>
      </c>
      <c r="AC326" s="67">
        <f t="shared" si="83"/>
        <v>30</v>
      </c>
      <c r="AD326" s="84">
        <f t="shared" si="92"/>
        <v>0</v>
      </c>
      <c r="AJ326" s="405"/>
    </row>
    <row r="327" spans="3:36" ht="12.75" customHeight="1">
      <c r="C327" s="131"/>
      <c r="D327" s="169" t="str">
        <f>IF(op!D215="","",op!D215)</f>
        <v/>
      </c>
      <c r="E327" s="169" t="str">
        <f>IF(op!E215=0,"",op!E215)</f>
        <v/>
      </c>
      <c r="F327" s="169" t="str">
        <f>IF(op!F215=0,"",op!F215)</f>
        <v/>
      </c>
      <c r="G327" s="170" t="str">
        <f>IF(op!G215="","",op!G215+1)</f>
        <v/>
      </c>
      <c r="H327" s="566" t="str">
        <f>IF(op!H215="","",op!H215)</f>
        <v/>
      </c>
      <c r="I327" s="170" t="str">
        <f>IF(op!I215=0,"-",op!I215)</f>
        <v/>
      </c>
      <c r="J327" s="567" t="str">
        <f>IF(E327="","",IF(op!J215&gt;LOOKUP(I327,schaal2011,regels2011),J215-1,IF(op!J215=LOOKUP(I327,schaal2011,regels2011),op!J215,J215+1)))</f>
        <v/>
      </c>
      <c r="K327" s="568" t="str">
        <f>IF(op!K215="","",op!K215)</f>
        <v/>
      </c>
      <c r="L327" s="569" t="str">
        <f>IF(op!L215="","",op!L215)</f>
        <v/>
      </c>
      <c r="M327" s="570" t="str">
        <f t="shared" si="85"/>
        <v/>
      </c>
      <c r="N327" s="155"/>
      <c r="O327" s="571" t="str">
        <f>IF(I327="","",VLOOKUP(I327,tab!$A$119:$V$159,J327+3,FALSE))</f>
        <v/>
      </c>
      <c r="P327" s="572">
        <f t="shared" si="86"/>
        <v>0</v>
      </c>
      <c r="Q327" s="589">
        <f t="shared" si="93"/>
        <v>0.6</v>
      </c>
      <c r="R327" s="573">
        <f t="shared" si="94"/>
        <v>0</v>
      </c>
      <c r="S327" s="332">
        <f>IF(L327="",0,O327*12*L327*(1+tab!$D$108)*tab!$E$110)</f>
        <v>0</v>
      </c>
      <c r="T327" s="580">
        <f t="shared" si="95"/>
        <v>0</v>
      </c>
      <c r="U327" s="243">
        <f t="shared" si="87"/>
        <v>0</v>
      </c>
      <c r="V327" s="332">
        <f t="shared" si="88"/>
        <v>0</v>
      </c>
      <c r="W327" s="136"/>
      <c r="Z327" s="647" t="e">
        <f t="shared" si="89"/>
        <v>#VALUE!</v>
      </c>
      <c r="AA327" s="647" t="e">
        <f t="shared" si="90"/>
        <v>#VALUE!</v>
      </c>
      <c r="AB327" s="67">
        <f t="shared" si="91"/>
        <v>30</v>
      </c>
      <c r="AC327" s="67">
        <f t="shared" si="83"/>
        <v>30</v>
      </c>
      <c r="AD327" s="84">
        <f t="shared" si="92"/>
        <v>0</v>
      </c>
      <c r="AJ327" s="405"/>
    </row>
    <row r="328" spans="3:36" ht="12.75" customHeight="1">
      <c r="C328" s="131"/>
      <c r="D328" s="169" t="str">
        <f>IF(op!D216="","",op!D216)</f>
        <v/>
      </c>
      <c r="E328" s="169" t="str">
        <f>IF(op!E216=0,"",op!E216)</f>
        <v/>
      </c>
      <c r="F328" s="169" t="str">
        <f>IF(op!F216=0,"",op!F216)</f>
        <v/>
      </c>
      <c r="G328" s="170" t="str">
        <f>IF(op!G216="","",op!G216+1)</f>
        <v/>
      </c>
      <c r="H328" s="566" t="str">
        <f>IF(op!H216="","",op!H216)</f>
        <v/>
      </c>
      <c r="I328" s="170" t="str">
        <f>IF(op!I216=0,"-",op!I216)</f>
        <v/>
      </c>
      <c r="J328" s="567" t="str">
        <f>IF(E328="","",IF(op!J216&gt;LOOKUP(I328,schaal2011,regels2011),J216-1,IF(op!J216=LOOKUP(I328,schaal2011,regels2011),op!J216,J216+1)))</f>
        <v/>
      </c>
      <c r="K328" s="568" t="str">
        <f>IF(op!K216="","",op!K216)</f>
        <v/>
      </c>
      <c r="L328" s="569" t="str">
        <f>IF(op!L216="","",op!L216)</f>
        <v/>
      </c>
      <c r="M328" s="570" t="str">
        <f t="shared" si="85"/>
        <v/>
      </c>
      <c r="N328" s="155"/>
      <c r="O328" s="571" t="str">
        <f>IF(I328="","",VLOOKUP(I328,tab!$A$119:$V$159,J328+3,FALSE))</f>
        <v/>
      </c>
      <c r="P328" s="572">
        <f t="shared" si="86"/>
        <v>0</v>
      </c>
      <c r="Q328" s="589">
        <f t="shared" si="93"/>
        <v>0.6</v>
      </c>
      <c r="R328" s="573">
        <f t="shared" si="94"/>
        <v>0</v>
      </c>
      <c r="S328" s="332">
        <f>IF(L328="",0,O328*12*L328*(1+tab!$D$108)*tab!$E$110)</f>
        <v>0</v>
      </c>
      <c r="T328" s="580">
        <f t="shared" si="95"/>
        <v>0</v>
      </c>
      <c r="U328" s="243">
        <f t="shared" si="87"/>
        <v>0</v>
      </c>
      <c r="V328" s="332">
        <f t="shared" si="88"/>
        <v>0</v>
      </c>
      <c r="W328" s="136"/>
      <c r="Z328" s="647" t="e">
        <f t="shared" si="89"/>
        <v>#VALUE!</v>
      </c>
      <c r="AA328" s="647" t="e">
        <f t="shared" si="90"/>
        <v>#VALUE!</v>
      </c>
      <c r="AB328" s="67">
        <f t="shared" si="91"/>
        <v>30</v>
      </c>
      <c r="AC328" s="67">
        <f t="shared" si="83"/>
        <v>30</v>
      </c>
      <c r="AD328" s="84">
        <f t="shared" si="92"/>
        <v>0</v>
      </c>
      <c r="AJ328" s="405"/>
    </row>
    <row r="329" spans="3:36" ht="12.75" customHeight="1">
      <c r="C329" s="131"/>
      <c r="D329" s="169" t="str">
        <f>IF(op!D217="","",op!D217)</f>
        <v/>
      </c>
      <c r="E329" s="169" t="str">
        <f>IF(op!E217=0,"",op!E217)</f>
        <v/>
      </c>
      <c r="F329" s="169" t="str">
        <f>IF(op!F217=0,"",op!F217)</f>
        <v/>
      </c>
      <c r="G329" s="170" t="str">
        <f>IF(op!G217="","",op!G217+1)</f>
        <v/>
      </c>
      <c r="H329" s="566" t="str">
        <f>IF(op!H217="","",op!H217)</f>
        <v/>
      </c>
      <c r="I329" s="170" t="str">
        <f>IF(op!I217=0,"-",op!I217)</f>
        <v/>
      </c>
      <c r="J329" s="567" t="str">
        <f>IF(E329="","",IF(op!J217&gt;LOOKUP(I329,schaal2011,regels2011),J217-1,IF(op!J217=LOOKUP(I329,schaal2011,regels2011),op!J217,J217+1)))</f>
        <v/>
      </c>
      <c r="K329" s="568" t="str">
        <f>IF(op!K217="","",op!K217)</f>
        <v/>
      </c>
      <c r="L329" s="569" t="str">
        <f>IF(op!L217="","",op!L217)</f>
        <v/>
      </c>
      <c r="M329" s="570" t="str">
        <f t="shared" si="85"/>
        <v/>
      </c>
      <c r="N329" s="155"/>
      <c r="O329" s="571" t="str">
        <f>IF(I329="","",VLOOKUP(I329,tab!$A$119:$V$159,J329+3,FALSE))</f>
        <v/>
      </c>
      <c r="P329" s="572">
        <f t="shared" si="86"/>
        <v>0</v>
      </c>
      <c r="Q329" s="589">
        <f t="shared" si="93"/>
        <v>0.6</v>
      </c>
      <c r="R329" s="573">
        <f t="shared" si="94"/>
        <v>0</v>
      </c>
      <c r="S329" s="332">
        <f>IF(L329="",0,O329*12*L329*(1+tab!$D$108)*tab!$E$110)</f>
        <v>0</v>
      </c>
      <c r="T329" s="580">
        <f t="shared" si="95"/>
        <v>0</v>
      </c>
      <c r="U329" s="243">
        <f t="shared" si="87"/>
        <v>0</v>
      </c>
      <c r="V329" s="332">
        <f t="shared" si="88"/>
        <v>0</v>
      </c>
      <c r="W329" s="136"/>
      <c r="Z329" s="647" t="e">
        <f t="shared" si="89"/>
        <v>#VALUE!</v>
      </c>
      <c r="AA329" s="647" t="e">
        <f t="shared" si="90"/>
        <v>#VALUE!</v>
      </c>
      <c r="AB329" s="67">
        <f t="shared" si="91"/>
        <v>30</v>
      </c>
      <c r="AC329" s="67">
        <f t="shared" si="83"/>
        <v>30</v>
      </c>
      <c r="AD329" s="84">
        <f t="shared" si="92"/>
        <v>0</v>
      </c>
      <c r="AJ329" s="405"/>
    </row>
    <row r="330" spans="3:36" ht="12.75" customHeight="1">
      <c r="C330" s="131"/>
      <c r="D330" s="169" t="str">
        <f>IF(op!D218="","",op!D218)</f>
        <v/>
      </c>
      <c r="E330" s="169" t="str">
        <f>IF(op!E218=0,"",op!E218)</f>
        <v/>
      </c>
      <c r="F330" s="169" t="str">
        <f>IF(op!F218=0,"",op!F218)</f>
        <v/>
      </c>
      <c r="G330" s="170" t="str">
        <f>IF(op!G218="","",op!G218+1)</f>
        <v/>
      </c>
      <c r="H330" s="566" t="str">
        <f>IF(op!H218="","",op!H218)</f>
        <v/>
      </c>
      <c r="I330" s="170" t="str">
        <f>IF(op!I218=0,"-",op!I218)</f>
        <v/>
      </c>
      <c r="J330" s="567" t="str">
        <f>IF(E330="","",IF(op!J218&gt;LOOKUP(I330,schaal2011,regels2011),J218-1,IF(op!J218=LOOKUP(I330,schaal2011,regels2011),op!J218,J218+1)))</f>
        <v/>
      </c>
      <c r="K330" s="568" t="str">
        <f>IF(op!K218="","",op!K218)</f>
        <v/>
      </c>
      <c r="L330" s="569" t="str">
        <f>IF(op!L218="","",op!L218)</f>
        <v/>
      </c>
      <c r="M330" s="570" t="str">
        <f t="shared" si="85"/>
        <v/>
      </c>
      <c r="N330" s="155"/>
      <c r="O330" s="571" t="str">
        <f>IF(I330="","",VLOOKUP(I330,tab!$A$119:$V$159,J330+3,FALSE))</f>
        <v/>
      </c>
      <c r="P330" s="572">
        <f t="shared" si="86"/>
        <v>0</v>
      </c>
      <c r="Q330" s="589">
        <f t="shared" si="93"/>
        <v>0.6</v>
      </c>
      <c r="R330" s="573">
        <f t="shared" si="94"/>
        <v>0</v>
      </c>
      <c r="S330" s="332">
        <f>IF(L330="",0,O330*12*L330*(1+tab!$D$108)*tab!$E$110)</f>
        <v>0</v>
      </c>
      <c r="T330" s="580">
        <f t="shared" si="95"/>
        <v>0</v>
      </c>
      <c r="U330" s="243">
        <f t="shared" si="87"/>
        <v>0</v>
      </c>
      <c r="V330" s="332">
        <f t="shared" si="88"/>
        <v>0</v>
      </c>
      <c r="W330" s="136"/>
      <c r="Z330" s="647" t="e">
        <f t="shared" si="89"/>
        <v>#VALUE!</v>
      </c>
      <c r="AA330" s="647" t="e">
        <f t="shared" si="90"/>
        <v>#VALUE!</v>
      </c>
      <c r="AB330" s="67">
        <f t="shared" si="91"/>
        <v>30</v>
      </c>
      <c r="AC330" s="67">
        <f t="shared" si="83"/>
        <v>30</v>
      </c>
      <c r="AD330" s="84">
        <f t="shared" si="92"/>
        <v>0</v>
      </c>
      <c r="AJ330" s="405"/>
    </row>
    <row r="331" spans="3:36" ht="12.75" customHeight="1">
      <c r="C331" s="131"/>
      <c r="D331" s="169" t="str">
        <f>IF(op!D219="","",op!D219)</f>
        <v/>
      </c>
      <c r="E331" s="169" t="str">
        <f>IF(op!E219=0,"",op!E219)</f>
        <v/>
      </c>
      <c r="F331" s="169" t="str">
        <f>IF(op!F219=0,"",op!F219)</f>
        <v/>
      </c>
      <c r="G331" s="170" t="str">
        <f>IF(op!G219="","",op!G219+1)</f>
        <v/>
      </c>
      <c r="H331" s="566" t="str">
        <f>IF(op!H219="","",op!H219)</f>
        <v/>
      </c>
      <c r="I331" s="170" t="str">
        <f>IF(op!I219=0,"-",op!I219)</f>
        <v/>
      </c>
      <c r="J331" s="567" t="str">
        <f>IF(E331="","",IF(op!J219&gt;LOOKUP(I331,schaal2011,regels2011),J219-1,IF(op!J219=LOOKUP(I331,schaal2011,regels2011),op!J219,J219+1)))</f>
        <v/>
      </c>
      <c r="K331" s="568" t="str">
        <f>IF(op!K219="","",op!K219)</f>
        <v/>
      </c>
      <c r="L331" s="569" t="str">
        <f>IF(op!L219="","",op!L219)</f>
        <v/>
      </c>
      <c r="M331" s="570" t="str">
        <f t="shared" si="85"/>
        <v/>
      </c>
      <c r="N331" s="155"/>
      <c r="O331" s="571" t="str">
        <f>IF(I331="","",VLOOKUP(I331,tab!$A$119:$V$159,J331+3,FALSE))</f>
        <v/>
      </c>
      <c r="P331" s="572">
        <f t="shared" si="86"/>
        <v>0</v>
      </c>
      <c r="Q331" s="589">
        <f t="shared" si="93"/>
        <v>0.6</v>
      </c>
      <c r="R331" s="573">
        <f t="shared" si="94"/>
        <v>0</v>
      </c>
      <c r="S331" s="332">
        <f>IF(L331="",0,O331*12*L331*(1+tab!$D$108)*tab!$E$110)</f>
        <v>0</v>
      </c>
      <c r="T331" s="580">
        <f t="shared" si="95"/>
        <v>0</v>
      </c>
      <c r="U331" s="243">
        <f t="shared" si="87"/>
        <v>0</v>
      </c>
      <c r="V331" s="332">
        <f t="shared" si="88"/>
        <v>0</v>
      </c>
      <c r="W331" s="136"/>
      <c r="Z331" s="647" t="e">
        <f t="shared" si="89"/>
        <v>#VALUE!</v>
      </c>
      <c r="AA331" s="647" t="e">
        <f t="shared" si="90"/>
        <v>#VALUE!</v>
      </c>
      <c r="AB331" s="67">
        <f t="shared" si="91"/>
        <v>30</v>
      </c>
      <c r="AC331" s="67">
        <f t="shared" si="83"/>
        <v>30</v>
      </c>
      <c r="AD331" s="84">
        <f t="shared" si="92"/>
        <v>0</v>
      </c>
      <c r="AJ331" s="405"/>
    </row>
    <row r="332" spans="3:36" ht="12.75" customHeight="1">
      <c r="C332" s="131"/>
      <c r="D332" s="169" t="str">
        <f>IF(op!D220="","",op!D220)</f>
        <v/>
      </c>
      <c r="E332" s="169" t="str">
        <f>IF(op!E220=0,"",op!E220)</f>
        <v/>
      </c>
      <c r="F332" s="169" t="str">
        <f>IF(op!F220=0,"",op!F220)</f>
        <v/>
      </c>
      <c r="G332" s="170" t="str">
        <f>IF(op!G220="","",op!G220+1)</f>
        <v/>
      </c>
      <c r="H332" s="566" t="str">
        <f>IF(op!H220="","",op!H220)</f>
        <v/>
      </c>
      <c r="I332" s="170" t="str">
        <f>IF(op!I220=0,"-",op!I220)</f>
        <v/>
      </c>
      <c r="J332" s="567" t="str">
        <f>IF(E332="","",IF(op!J220&gt;LOOKUP(I332,schaal2011,regels2011),J220-1,IF(op!J220=LOOKUP(I332,schaal2011,regels2011),op!J220,J220+1)))</f>
        <v/>
      </c>
      <c r="K332" s="568" t="str">
        <f>IF(op!K220="","",op!K220)</f>
        <v/>
      </c>
      <c r="L332" s="569" t="str">
        <f>IF(op!L220="","",op!L220)</f>
        <v/>
      </c>
      <c r="M332" s="570" t="str">
        <f t="shared" si="85"/>
        <v/>
      </c>
      <c r="N332" s="155"/>
      <c r="O332" s="571" t="str">
        <f>IF(I332="","",VLOOKUP(I332,tab!$A$119:$V$159,J332+3,FALSE))</f>
        <v/>
      </c>
      <c r="P332" s="572">
        <f t="shared" si="86"/>
        <v>0</v>
      </c>
      <c r="Q332" s="589">
        <f t="shared" si="93"/>
        <v>0.6</v>
      </c>
      <c r="R332" s="573">
        <f t="shared" si="94"/>
        <v>0</v>
      </c>
      <c r="S332" s="332">
        <f>IF(L332="",0,O332*12*L332*(1+tab!$D$108)*tab!$E$110)</f>
        <v>0</v>
      </c>
      <c r="T332" s="580">
        <f t="shared" si="95"/>
        <v>0</v>
      </c>
      <c r="U332" s="243">
        <f t="shared" si="87"/>
        <v>0</v>
      </c>
      <c r="V332" s="332">
        <f t="shared" si="88"/>
        <v>0</v>
      </c>
      <c r="W332" s="136"/>
      <c r="Z332" s="647" t="e">
        <f t="shared" si="89"/>
        <v>#VALUE!</v>
      </c>
      <c r="AA332" s="647" t="e">
        <f t="shared" si="90"/>
        <v>#VALUE!</v>
      </c>
      <c r="AB332" s="67">
        <f t="shared" si="91"/>
        <v>30</v>
      </c>
      <c r="AC332" s="67">
        <f t="shared" si="83"/>
        <v>30</v>
      </c>
      <c r="AD332" s="84">
        <f t="shared" si="92"/>
        <v>0</v>
      </c>
      <c r="AJ332" s="405"/>
    </row>
    <row r="333" spans="3:36" ht="12.75" customHeight="1">
      <c r="C333" s="131"/>
      <c r="D333" s="169" t="str">
        <f>IF(op!D221="","",op!D221)</f>
        <v/>
      </c>
      <c r="E333" s="169" t="str">
        <f>IF(op!E221=0,"",op!E221)</f>
        <v/>
      </c>
      <c r="F333" s="169" t="str">
        <f>IF(op!F221=0,"",op!F221)</f>
        <v/>
      </c>
      <c r="G333" s="170" t="str">
        <f>IF(op!G221="","",op!G221+1)</f>
        <v/>
      </c>
      <c r="H333" s="566" t="str">
        <f>IF(op!H221="","",op!H221)</f>
        <v/>
      </c>
      <c r="I333" s="170" t="str">
        <f>IF(op!I221=0,"-",op!I221)</f>
        <v/>
      </c>
      <c r="J333" s="567" t="str">
        <f>IF(E333="","",IF(op!J221&gt;LOOKUP(I333,schaal2011,regels2011),J221-1,IF(op!J221=LOOKUP(I333,schaal2011,regels2011),op!J221,J221+1)))</f>
        <v/>
      </c>
      <c r="K333" s="568" t="str">
        <f>IF(op!K221="","",op!K221)</f>
        <v/>
      </c>
      <c r="L333" s="569" t="str">
        <f>IF(op!L221="","",op!L221)</f>
        <v/>
      </c>
      <c r="M333" s="570" t="str">
        <f t="shared" si="85"/>
        <v/>
      </c>
      <c r="N333" s="155"/>
      <c r="O333" s="571" t="str">
        <f>IF(I333="","",VLOOKUP(I333,tab!$A$119:$V$159,J333+3,FALSE))</f>
        <v/>
      </c>
      <c r="P333" s="572">
        <f t="shared" si="86"/>
        <v>0</v>
      </c>
      <c r="Q333" s="589">
        <f t="shared" si="93"/>
        <v>0.6</v>
      </c>
      <c r="R333" s="573">
        <f t="shared" si="94"/>
        <v>0</v>
      </c>
      <c r="S333" s="332">
        <f>IF(L333="",0,O333*12*L333*(1+tab!$D$108)*tab!$E$110)</f>
        <v>0</v>
      </c>
      <c r="T333" s="580">
        <f t="shared" si="95"/>
        <v>0</v>
      </c>
      <c r="U333" s="243">
        <f t="shared" si="87"/>
        <v>0</v>
      </c>
      <c r="V333" s="332">
        <f t="shared" si="88"/>
        <v>0</v>
      </c>
      <c r="W333" s="136"/>
      <c r="Z333" s="647" t="e">
        <f t="shared" si="89"/>
        <v>#VALUE!</v>
      </c>
      <c r="AA333" s="647" t="e">
        <f t="shared" si="90"/>
        <v>#VALUE!</v>
      </c>
      <c r="AB333" s="67">
        <f t="shared" si="91"/>
        <v>30</v>
      </c>
      <c r="AC333" s="67">
        <f t="shared" si="83"/>
        <v>30</v>
      </c>
      <c r="AD333" s="84">
        <f t="shared" si="92"/>
        <v>0</v>
      </c>
      <c r="AJ333" s="405"/>
    </row>
    <row r="334" spans="3:36" ht="12.75" customHeight="1">
      <c r="C334" s="131"/>
      <c r="D334" s="169" t="str">
        <f>IF(op!D222="","",op!D222)</f>
        <v/>
      </c>
      <c r="E334" s="169" t="str">
        <f>IF(op!E222=0,"",op!E222)</f>
        <v/>
      </c>
      <c r="F334" s="169" t="str">
        <f>IF(op!F222=0,"",op!F222)</f>
        <v/>
      </c>
      <c r="G334" s="170" t="str">
        <f>IF(op!G222="","",op!G222+1)</f>
        <v/>
      </c>
      <c r="H334" s="566" t="str">
        <f>IF(op!H222="","",op!H222)</f>
        <v/>
      </c>
      <c r="I334" s="170" t="str">
        <f>IF(op!I222=0,"-",op!I222)</f>
        <v/>
      </c>
      <c r="J334" s="567" t="str">
        <f>IF(E334="","",IF(op!J222&gt;LOOKUP(I334,schaal2011,regels2011),J222-1,IF(op!J222=LOOKUP(I334,schaal2011,regels2011),op!J222,J222+1)))</f>
        <v/>
      </c>
      <c r="K334" s="568" t="str">
        <f>IF(op!K222="","",op!K222)</f>
        <v/>
      </c>
      <c r="L334" s="569" t="str">
        <f>IF(op!L222="","",op!L222)</f>
        <v/>
      </c>
      <c r="M334" s="570" t="str">
        <f t="shared" si="85"/>
        <v/>
      </c>
      <c r="N334" s="155"/>
      <c r="O334" s="571" t="str">
        <f>IF(I334="","",VLOOKUP(I334,tab!$A$119:$V$159,J334+3,FALSE))</f>
        <v/>
      </c>
      <c r="P334" s="572">
        <f t="shared" si="86"/>
        <v>0</v>
      </c>
      <c r="Q334" s="589">
        <f t="shared" si="93"/>
        <v>0.6</v>
      </c>
      <c r="R334" s="573">
        <f t="shared" si="94"/>
        <v>0</v>
      </c>
      <c r="S334" s="332">
        <f>IF(L334="",0,O334*12*L334*(1+tab!$D$108)*tab!$E$110)</f>
        <v>0</v>
      </c>
      <c r="T334" s="580">
        <f t="shared" si="95"/>
        <v>0</v>
      </c>
      <c r="U334" s="243">
        <f t="shared" si="87"/>
        <v>0</v>
      </c>
      <c r="V334" s="332">
        <f t="shared" si="88"/>
        <v>0</v>
      </c>
      <c r="W334" s="136"/>
      <c r="Z334" s="647" t="e">
        <f t="shared" si="89"/>
        <v>#VALUE!</v>
      </c>
      <c r="AA334" s="647" t="e">
        <f t="shared" si="90"/>
        <v>#VALUE!</v>
      </c>
      <c r="AB334" s="67">
        <f t="shared" si="91"/>
        <v>30</v>
      </c>
      <c r="AC334" s="67">
        <f t="shared" si="83"/>
        <v>30</v>
      </c>
      <c r="AD334" s="84">
        <f t="shared" si="92"/>
        <v>0</v>
      </c>
      <c r="AJ334" s="405"/>
    </row>
    <row r="335" spans="3:36" ht="12.75" customHeight="1">
      <c r="C335" s="131"/>
      <c r="D335" s="169" t="str">
        <f>IF(op!D223="","",op!D223)</f>
        <v/>
      </c>
      <c r="E335" s="169" t="str">
        <f>IF(op!E223=0,"",op!E223)</f>
        <v/>
      </c>
      <c r="F335" s="169" t="str">
        <f>IF(op!F223=0,"",op!F223)</f>
        <v/>
      </c>
      <c r="G335" s="170" t="str">
        <f>IF(op!G223="","",op!G223+1)</f>
        <v/>
      </c>
      <c r="H335" s="566" t="str">
        <f>IF(op!H223="","",op!H223)</f>
        <v/>
      </c>
      <c r="I335" s="170" t="str">
        <f>IF(op!I223=0,"-",op!I223)</f>
        <v/>
      </c>
      <c r="J335" s="567" t="str">
        <f>IF(E335="","",IF(op!J223&gt;LOOKUP(I335,schaal2011,regels2011),J223-1,IF(op!J223=LOOKUP(I335,schaal2011,regels2011),op!J223,J223+1)))</f>
        <v/>
      </c>
      <c r="K335" s="568" t="str">
        <f>IF(op!K223="","",op!K223)</f>
        <v/>
      </c>
      <c r="L335" s="569" t="str">
        <f>IF(op!L223="","",op!L223)</f>
        <v/>
      </c>
      <c r="M335" s="570" t="str">
        <f>(IF(L335="",(K335),(K335)-L335))</f>
        <v/>
      </c>
      <c r="N335" s="155"/>
      <c r="O335" s="571" t="str">
        <f>IF(I335="","",VLOOKUP(I335,tab!$A$119:$V$159,J335+3,FALSE))</f>
        <v/>
      </c>
      <c r="P335" s="572">
        <f t="shared" si="86"/>
        <v>0</v>
      </c>
      <c r="Q335" s="589">
        <f t="shared" si="93"/>
        <v>0.6</v>
      </c>
      <c r="R335" s="573">
        <f t="shared" si="94"/>
        <v>0</v>
      </c>
      <c r="S335" s="332">
        <f>IF(L335="",0,O335*12*L335*(1+tab!$D$108)*tab!$E$110)</f>
        <v>0</v>
      </c>
      <c r="T335" s="580">
        <f t="shared" si="95"/>
        <v>0</v>
      </c>
      <c r="U335" s="243">
        <f t="shared" si="87"/>
        <v>0</v>
      </c>
      <c r="V335" s="332">
        <f t="shared" si="88"/>
        <v>0</v>
      </c>
      <c r="W335" s="136"/>
      <c r="Z335" s="647" t="e">
        <f t="shared" si="89"/>
        <v>#VALUE!</v>
      </c>
      <c r="AA335" s="647" t="e">
        <f t="shared" si="90"/>
        <v>#VALUE!</v>
      </c>
      <c r="AB335" s="67">
        <f t="shared" si="91"/>
        <v>30</v>
      </c>
      <c r="AC335" s="67">
        <f t="shared" si="83"/>
        <v>30</v>
      </c>
      <c r="AD335" s="84">
        <f t="shared" si="92"/>
        <v>0</v>
      </c>
      <c r="AJ335" s="405"/>
    </row>
    <row r="336" spans="3:36" ht="12.75" customHeight="1">
      <c r="C336" s="131"/>
      <c r="D336" s="169" t="str">
        <f>IF(op!D224="","",op!D224)</f>
        <v/>
      </c>
      <c r="E336" s="169" t="str">
        <f>IF(op!E224=0,"",op!E224)</f>
        <v/>
      </c>
      <c r="F336" s="169" t="str">
        <f>IF(op!F224=0,"",op!F224)</f>
        <v/>
      </c>
      <c r="G336" s="170" t="str">
        <f>IF(op!G224="","",op!G224+1)</f>
        <v/>
      </c>
      <c r="H336" s="566" t="str">
        <f>IF(op!H224="","",op!H224)</f>
        <v/>
      </c>
      <c r="I336" s="170" t="str">
        <f>IF(op!I224=0,"-",op!I224)</f>
        <v/>
      </c>
      <c r="J336" s="567" t="str">
        <f>IF(E336="","",IF(op!J224&gt;LOOKUP(I336,schaal2011,regels2011),J224-1,IF(op!J224=LOOKUP(I336,schaal2011,regels2011),op!J224,J224+1)))</f>
        <v/>
      </c>
      <c r="K336" s="568" t="str">
        <f>IF(op!K224="","",op!K224)</f>
        <v/>
      </c>
      <c r="L336" s="569" t="str">
        <f>IF(op!L224="","",op!L224)</f>
        <v/>
      </c>
      <c r="M336" s="570" t="str">
        <f>(IF(L336="",(K336),(K336)-L336))</f>
        <v/>
      </c>
      <c r="N336" s="155"/>
      <c r="O336" s="571" t="str">
        <f>IF(I336="","",VLOOKUP(I336,tab!$A$119:$V$159,J336+3,FALSE))</f>
        <v/>
      </c>
      <c r="P336" s="572">
        <f>IF(E336="",0,(O336*M336*12))</f>
        <v>0</v>
      </c>
      <c r="Q336" s="589">
        <f t="shared" si="93"/>
        <v>0.6</v>
      </c>
      <c r="R336" s="573">
        <f t="shared" si="94"/>
        <v>0</v>
      </c>
      <c r="S336" s="332">
        <f>IF(L336="",0,O336*12*L336*(1+tab!$D$108)*tab!$E$110)</f>
        <v>0</v>
      </c>
      <c r="T336" s="580">
        <f t="shared" si="95"/>
        <v>0</v>
      </c>
      <c r="U336" s="243">
        <f t="shared" si="87"/>
        <v>0</v>
      </c>
      <c r="V336" s="332">
        <f>IF(U336=25,(O336*1.08*(K336)/2),IF(U336=40,(O336*1.08*(K336)),IF(U336=0,0)))</f>
        <v>0</v>
      </c>
      <c r="W336" s="136"/>
      <c r="Z336" s="647" t="e">
        <f t="shared" si="89"/>
        <v>#VALUE!</v>
      </c>
      <c r="AA336" s="647" t="e">
        <f>YEAR($E$233)-YEAR(H336)-Z336</f>
        <v>#VALUE!</v>
      </c>
      <c r="AB336" s="67">
        <f>IF((H336=""),30,AA336)</f>
        <v>30</v>
      </c>
      <c r="AC336" s="67">
        <f t="shared" si="83"/>
        <v>30</v>
      </c>
      <c r="AD336" s="84">
        <f>(AC336*(SUM(K336:K336)))</f>
        <v>0</v>
      </c>
      <c r="AJ336" s="405"/>
    </row>
    <row r="337" spans="1:41" ht="12.75" customHeight="1">
      <c r="C337" s="131"/>
      <c r="D337" s="169" t="str">
        <f>IF(op!D225="","",op!D225)</f>
        <v/>
      </c>
      <c r="E337" s="169" t="str">
        <f>IF(op!E225=0,"",op!E225)</f>
        <v/>
      </c>
      <c r="F337" s="169" t="str">
        <f>IF(op!F225=0,"",op!F225)</f>
        <v/>
      </c>
      <c r="G337" s="170" t="str">
        <f>IF(op!G225="","",op!G225+1)</f>
        <v/>
      </c>
      <c r="H337" s="566" t="str">
        <f>IF(op!H225="","",op!H225)</f>
        <v/>
      </c>
      <c r="I337" s="170" t="str">
        <f>IF(op!I225=0,"-",op!I225)</f>
        <v/>
      </c>
      <c r="J337" s="567" t="str">
        <f>IF(E337="","",IF(op!J225&gt;LOOKUP(I337,schaal2011,regels2011),J225-1,IF(op!J225=LOOKUP(I337,schaal2011,regels2011),op!J225,J225+1)))</f>
        <v/>
      </c>
      <c r="K337" s="568" t="str">
        <f>IF(op!K225="","",op!K225)</f>
        <v/>
      </c>
      <c r="L337" s="569" t="str">
        <f>IF(op!L225="","",op!L225)</f>
        <v/>
      </c>
      <c r="M337" s="570" t="str">
        <f>(IF(L337="",(K337),(K337)-L337))</f>
        <v/>
      </c>
      <c r="N337" s="155"/>
      <c r="O337" s="571" t="str">
        <f>IF(I337="","",VLOOKUP(I337,tab!$A$119:$V$159,J337+3,FALSE))</f>
        <v/>
      </c>
      <c r="P337" s="572">
        <f>IF(E337="",0,(O337*M337*12))</f>
        <v>0</v>
      </c>
      <c r="Q337" s="589">
        <f t="shared" si="93"/>
        <v>0.6</v>
      </c>
      <c r="R337" s="573">
        <f t="shared" si="94"/>
        <v>0</v>
      </c>
      <c r="S337" s="332">
        <f>IF(L337="",0,O337*12*L337*(1+tab!$D$108)*tab!$E$110)</f>
        <v>0</v>
      </c>
      <c r="T337" s="580">
        <f t="shared" si="95"/>
        <v>0</v>
      </c>
      <c r="U337" s="243">
        <f t="shared" si="87"/>
        <v>0</v>
      </c>
      <c r="V337" s="332">
        <f>IF(U337=25,(O337*1.08*(K337)/2),IF(U337=40,(O337*1.08*(K337)),IF(U337=0,0)))</f>
        <v>0</v>
      </c>
      <c r="W337" s="136"/>
      <c r="Z337" s="647" t="e">
        <f t="shared" si="89"/>
        <v>#VALUE!</v>
      </c>
      <c r="AA337" s="647" t="e">
        <f>YEAR($E$233)-YEAR(H337)-Z337</f>
        <v>#VALUE!</v>
      </c>
      <c r="AB337" s="67">
        <f>IF((H337=""),30,AA337)</f>
        <v>30</v>
      </c>
      <c r="AC337" s="67">
        <f t="shared" si="83"/>
        <v>30</v>
      </c>
      <c r="AD337" s="84">
        <f>(AC337*(SUM(K337:K337)))</f>
        <v>0</v>
      </c>
      <c r="AJ337" s="405"/>
    </row>
    <row r="338" spans="1:41" ht="12.75" customHeight="1">
      <c r="C338" s="131"/>
      <c r="D338" s="169" t="str">
        <f>IF(op!D226="","",op!D226)</f>
        <v/>
      </c>
      <c r="E338" s="169" t="str">
        <f>IF(op!E226=0,"",op!E226)</f>
        <v/>
      </c>
      <c r="F338" s="169" t="str">
        <f>IF(op!F226=0,"",op!F226)</f>
        <v/>
      </c>
      <c r="G338" s="170" t="str">
        <f>IF(op!G226="","",op!G226+1)</f>
        <v/>
      </c>
      <c r="H338" s="566" t="str">
        <f>IF(op!H226="","",op!H226)</f>
        <v/>
      </c>
      <c r="I338" s="170" t="str">
        <f>IF(op!I226=0,"-",op!I226)</f>
        <v/>
      </c>
      <c r="J338" s="567" t="str">
        <f>IF(E338="","",IF(op!J226&gt;LOOKUP(I338,schaal2011,regels2011),J226-1,IF(op!J226=LOOKUP(I338,schaal2011,regels2011),op!J226,J226+1)))</f>
        <v/>
      </c>
      <c r="K338" s="568" t="str">
        <f>IF(op!K226="","",op!K226)</f>
        <v/>
      </c>
      <c r="L338" s="569" t="str">
        <f>IF(op!L226="","",op!L226)</f>
        <v/>
      </c>
      <c r="M338" s="570" t="str">
        <f>(IF(L338="",(K338),(K338)-L338))</f>
        <v/>
      </c>
      <c r="N338" s="155"/>
      <c r="O338" s="571" t="str">
        <f>IF(I338="","",VLOOKUP(I338,tab!$A$119:$V$159,J338+3,FALSE))</f>
        <v/>
      </c>
      <c r="P338" s="572">
        <f>IF(E338="",0,(O338*M338*12))</f>
        <v>0</v>
      </c>
      <c r="Q338" s="589">
        <f t="shared" si="93"/>
        <v>0.6</v>
      </c>
      <c r="R338" s="573">
        <f t="shared" si="94"/>
        <v>0</v>
      </c>
      <c r="S338" s="332">
        <f>IF(L338="",0,O338*12*L338*(1+tab!$D$108)*tab!$E$110)</f>
        <v>0</v>
      </c>
      <c r="T338" s="580">
        <f t="shared" si="95"/>
        <v>0</v>
      </c>
      <c r="U338" s="243">
        <f t="shared" si="87"/>
        <v>0</v>
      </c>
      <c r="V338" s="332">
        <f>IF(U338=25,(O338*1.08*(K338)/2),IF(U338=40,(O338*1.08*(K338)),IF(U338=0,0)))</f>
        <v>0</v>
      </c>
      <c r="W338" s="136"/>
      <c r="Z338" s="647" t="e">
        <f t="shared" si="89"/>
        <v>#VALUE!</v>
      </c>
      <c r="AA338" s="647" t="e">
        <f>YEAR($E$233)-YEAR(H338)-Z338</f>
        <v>#VALUE!</v>
      </c>
      <c r="AB338" s="67">
        <f>IF((H338=""),30,AA338)</f>
        <v>30</v>
      </c>
      <c r="AC338" s="67">
        <f t="shared" si="83"/>
        <v>30</v>
      </c>
      <c r="AD338" s="84">
        <f>(AC338*(SUM(K338:K338)))</f>
        <v>0</v>
      </c>
      <c r="AJ338" s="405"/>
    </row>
    <row r="339" spans="1:41" ht="12.75" customHeight="1">
      <c r="C339" s="131"/>
      <c r="D339" s="169" t="str">
        <f>IF(op!D227="","",op!D227)</f>
        <v/>
      </c>
      <c r="E339" s="169" t="str">
        <f>IF(op!E227=0,"",op!E227)</f>
        <v/>
      </c>
      <c r="F339" s="169" t="str">
        <f>IF(op!F227=0,"",op!F227)</f>
        <v/>
      </c>
      <c r="G339" s="170" t="str">
        <f>IF(op!G227="","",op!G227+1)</f>
        <v/>
      </c>
      <c r="H339" s="566" t="str">
        <f>IF(op!H227="","",op!H227)</f>
        <v/>
      </c>
      <c r="I339" s="170" t="str">
        <f>IF(op!I227=0,"-",op!I227)</f>
        <v/>
      </c>
      <c r="J339" s="567" t="str">
        <f>IF(E339="","",IF(op!J227&gt;LOOKUP(I339,schaal2011,regels2011),J227-1,IF(op!J227=LOOKUP(I339,schaal2011,regels2011),op!J227,J227+1)))</f>
        <v/>
      </c>
      <c r="K339" s="568" t="str">
        <f>IF(op!K227="","",op!K227)</f>
        <v/>
      </c>
      <c r="L339" s="569" t="str">
        <f>IF(op!L227="","",op!L227)</f>
        <v/>
      </c>
      <c r="M339" s="570" t="str">
        <f>(IF(L339="",(K339),(K339)-L339))</f>
        <v/>
      </c>
      <c r="N339" s="155"/>
      <c r="O339" s="571" t="str">
        <f>IF(I339="","",VLOOKUP(I339,tab!$A$119:$V$159,J339+3,FALSE))</f>
        <v/>
      </c>
      <c r="P339" s="572">
        <f>IF(E339="",0,(O339*M339*12))</f>
        <v>0</v>
      </c>
      <c r="Q339" s="589">
        <f t="shared" si="93"/>
        <v>0.6</v>
      </c>
      <c r="R339" s="573">
        <f t="shared" si="94"/>
        <v>0</v>
      </c>
      <c r="S339" s="332">
        <f>IF(L339="",0,O339*12*L339*(1+tab!$D$108)*tab!$E$110)</f>
        <v>0</v>
      </c>
      <c r="T339" s="580">
        <f t="shared" si="95"/>
        <v>0</v>
      </c>
      <c r="U339" s="243">
        <f t="shared" si="87"/>
        <v>0</v>
      </c>
      <c r="V339" s="332">
        <f>IF(U339=25,(O339*1.08*(K339)/2),IF(U339=40,(O339*1.08*(K339)),IF(U339=0,0)))</f>
        <v>0</v>
      </c>
      <c r="W339" s="136"/>
      <c r="Z339" s="647" t="e">
        <f t="shared" si="89"/>
        <v>#VALUE!</v>
      </c>
      <c r="AA339" s="647" t="e">
        <f>YEAR($E$233)-YEAR(H339)-Z339</f>
        <v>#VALUE!</v>
      </c>
      <c r="AB339" s="67">
        <f>IF((H339=""),30,AA339)</f>
        <v>30</v>
      </c>
      <c r="AC339" s="67">
        <f t="shared" si="83"/>
        <v>30</v>
      </c>
      <c r="AD339" s="84">
        <f>(AC339*(SUM(K339:K339)))</f>
        <v>0</v>
      </c>
      <c r="AJ339" s="405"/>
    </row>
    <row r="340" spans="1:41">
      <c r="C340" s="131"/>
      <c r="D340" s="319"/>
      <c r="E340" s="139"/>
      <c r="F340" s="319"/>
      <c r="G340" s="319"/>
      <c r="H340" s="556"/>
      <c r="I340" s="139"/>
      <c r="J340" s="625"/>
      <c r="K340" s="575">
        <f>SUM(K240:K339)</f>
        <v>1</v>
      </c>
      <c r="L340" s="575">
        <f>SUM(L240:L339)</f>
        <v>0</v>
      </c>
      <c r="M340" s="575">
        <f>SUM(M240:M339)</f>
        <v>1</v>
      </c>
      <c r="N340" s="319"/>
      <c r="O340" s="309">
        <f t="shared" ref="O340:V340" si="96">SUM(O240:O339)</f>
        <v>3597</v>
      </c>
      <c r="P340" s="309">
        <f t="shared" si="96"/>
        <v>43164</v>
      </c>
      <c r="Q340" s="297"/>
      <c r="R340" s="344">
        <f t="shared" si="96"/>
        <v>25898.399999999998</v>
      </c>
      <c r="S340" s="344">
        <f t="shared" si="96"/>
        <v>0</v>
      </c>
      <c r="T340" s="309">
        <f t="shared" si="96"/>
        <v>69062.399999999994</v>
      </c>
      <c r="U340" s="574">
        <f t="shared" si="96"/>
        <v>0</v>
      </c>
      <c r="V340" s="344">
        <f t="shared" si="96"/>
        <v>0</v>
      </c>
      <c r="W340" s="136"/>
      <c r="Z340" s="86"/>
      <c r="AA340" s="86"/>
      <c r="AJ340" s="405"/>
    </row>
    <row r="341" spans="1:41">
      <c r="C341" s="141"/>
      <c r="D341" s="557"/>
      <c r="E341" s="557"/>
      <c r="F341" s="557"/>
      <c r="G341" s="557"/>
      <c r="H341" s="558"/>
      <c r="I341" s="146"/>
      <c r="J341" s="559"/>
      <c r="K341" s="560"/>
      <c r="L341" s="559"/>
      <c r="M341" s="560"/>
      <c r="N341" s="557"/>
      <c r="O341" s="559"/>
      <c r="P341" s="299"/>
      <c r="Q341" s="299"/>
      <c r="R341" s="299"/>
      <c r="S341" s="562"/>
      <c r="T341" s="299"/>
      <c r="U341" s="563"/>
      <c r="V341" s="562"/>
      <c r="W341" s="147"/>
      <c r="AJ341" s="405"/>
    </row>
    <row r="344" spans="1:41">
      <c r="C344" s="68" t="s">
        <v>290</v>
      </c>
      <c r="E344" s="370" t="str">
        <f>dir!E90</f>
        <v>2015/16</v>
      </c>
    </row>
    <row r="345" spans="1:41">
      <c r="C345" s="68" t="s">
        <v>291</v>
      </c>
      <c r="E345" s="370">
        <f>dir!E91</f>
        <v>42278</v>
      </c>
    </row>
    <row r="347" spans="1:41" ht="12.75" customHeight="1">
      <c r="C347" s="124"/>
      <c r="D347" s="514"/>
      <c r="E347" s="515"/>
      <c r="F347" s="516"/>
      <c r="G347" s="129"/>
      <c r="H347" s="517"/>
      <c r="I347" s="518"/>
      <c r="J347" s="518"/>
      <c r="K347" s="519"/>
      <c r="L347" s="518"/>
      <c r="M347" s="520"/>
      <c r="N347" s="127"/>
      <c r="O347" s="521"/>
      <c r="P347" s="127"/>
      <c r="Q347" s="127"/>
      <c r="R347" s="127"/>
      <c r="S347" s="522"/>
      <c r="T347" s="302"/>
      <c r="U347" s="523"/>
      <c r="V347" s="522"/>
      <c r="W347" s="130"/>
      <c r="AE347" s="348"/>
      <c r="AF347" s="348"/>
      <c r="AG347" s="348"/>
      <c r="AH347" s="348"/>
      <c r="AI347" s="349"/>
      <c r="AJ347" s="350"/>
      <c r="AK347" s="351"/>
      <c r="AL347" s="368"/>
      <c r="AM347" s="349"/>
    </row>
    <row r="348" spans="1:41" ht="12.75" customHeight="1">
      <c r="C348" s="659"/>
      <c r="D348" s="1176" t="s">
        <v>292</v>
      </c>
      <c r="E348" s="1177"/>
      <c r="F348" s="1177"/>
      <c r="G348" s="1177"/>
      <c r="H348" s="1177"/>
      <c r="I348" s="1178"/>
      <c r="J348" s="1178"/>
      <c r="K348" s="1178"/>
      <c r="L348" s="1178"/>
      <c r="M348" s="1178"/>
      <c r="N348" s="525"/>
      <c r="O348" s="1176" t="s">
        <v>293</v>
      </c>
      <c r="P348" s="1178"/>
      <c r="Q348" s="1178"/>
      <c r="R348" s="1178"/>
      <c r="S348" s="1178"/>
      <c r="T348" s="1178"/>
      <c r="U348" s="526"/>
      <c r="V348" s="242"/>
      <c r="W348" s="660"/>
      <c r="X348" s="393"/>
      <c r="Y348" s="393"/>
      <c r="Z348" s="67"/>
      <c r="AA348" s="67"/>
      <c r="AD348" s="67"/>
      <c r="AL348" s="68"/>
      <c r="AM348" s="68"/>
      <c r="AN348" s="393"/>
      <c r="AO348" s="393"/>
    </row>
    <row r="349" spans="1:41" ht="12.75" customHeight="1">
      <c r="C349" s="665"/>
      <c r="D349" s="528" t="s">
        <v>541</v>
      </c>
      <c r="E349" s="528" t="s">
        <v>294</v>
      </c>
      <c r="F349" s="528" t="s">
        <v>295</v>
      </c>
      <c r="G349" s="529" t="s">
        <v>296</v>
      </c>
      <c r="H349" s="530" t="s">
        <v>297</v>
      </c>
      <c r="I349" s="529" t="s">
        <v>302</v>
      </c>
      <c r="J349" s="529" t="s">
        <v>303</v>
      </c>
      <c r="K349" s="531" t="s">
        <v>305</v>
      </c>
      <c r="L349" s="532" t="s">
        <v>306</v>
      </c>
      <c r="M349" s="531" t="s">
        <v>307</v>
      </c>
      <c r="N349" s="528"/>
      <c r="O349" s="535" t="s">
        <v>304</v>
      </c>
      <c r="P349" s="535" t="s">
        <v>738</v>
      </c>
      <c r="Q349" s="587" t="s">
        <v>739</v>
      </c>
      <c r="R349" s="510"/>
      <c r="S349" s="536" t="s">
        <v>306</v>
      </c>
      <c r="T349" s="576" t="s">
        <v>308</v>
      </c>
      <c r="U349" s="537" t="s">
        <v>309</v>
      </c>
      <c r="V349" s="242" t="s">
        <v>740</v>
      </c>
      <c r="W349" s="666"/>
      <c r="X349" s="394"/>
      <c r="Y349" s="394"/>
      <c r="Z349" s="82" t="s">
        <v>298</v>
      </c>
      <c r="AA349" s="82" t="s">
        <v>299</v>
      </c>
      <c r="AB349" s="82" t="s">
        <v>300</v>
      </c>
      <c r="AC349" s="646" t="s">
        <v>301</v>
      </c>
      <c r="AD349" s="391" t="s">
        <v>178</v>
      </c>
      <c r="AL349" s="68"/>
      <c r="AM349" s="68"/>
      <c r="AN349" s="393"/>
      <c r="AO349" s="394"/>
    </row>
    <row r="350" spans="1:41" s="403" customFormat="1" ht="12.75" customHeight="1">
      <c r="A350" s="402"/>
      <c r="B350" s="402"/>
      <c r="C350" s="669"/>
      <c r="D350" s="540"/>
      <c r="E350" s="528"/>
      <c r="F350" s="532"/>
      <c r="G350" s="529" t="s">
        <v>312</v>
      </c>
      <c r="H350" s="530" t="s">
        <v>313</v>
      </c>
      <c r="I350" s="529"/>
      <c r="J350" s="529"/>
      <c r="K350" s="531" t="s">
        <v>316</v>
      </c>
      <c r="L350" s="532" t="s">
        <v>317</v>
      </c>
      <c r="M350" s="531" t="s">
        <v>318</v>
      </c>
      <c r="N350" s="528"/>
      <c r="O350" s="535" t="s">
        <v>315</v>
      </c>
      <c r="P350" s="535" t="s">
        <v>741</v>
      </c>
      <c r="Q350" s="577">
        <f>Q238</f>
        <v>0.6</v>
      </c>
      <c r="R350" s="510" t="s">
        <v>742</v>
      </c>
      <c r="S350" s="536" t="s">
        <v>310</v>
      </c>
      <c r="T350" s="576" t="s">
        <v>391</v>
      </c>
      <c r="U350" s="537"/>
      <c r="V350" s="536" t="s">
        <v>310</v>
      </c>
      <c r="W350" s="670"/>
      <c r="Z350" s="384" t="s">
        <v>314</v>
      </c>
      <c r="AA350" s="384" t="s">
        <v>314</v>
      </c>
      <c r="AB350" s="383"/>
      <c r="AC350" s="385" t="s">
        <v>178</v>
      </c>
      <c r="AD350" s="388"/>
      <c r="AO350" s="404"/>
    </row>
    <row r="351" spans="1:41" ht="12.75" customHeight="1">
      <c r="C351" s="131"/>
      <c r="D351" s="155"/>
      <c r="E351" s="155"/>
      <c r="F351" s="155"/>
      <c r="G351" s="155"/>
      <c r="H351" s="543"/>
      <c r="I351" s="544"/>
      <c r="J351" s="544"/>
      <c r="K351" s="545"/>
      <c r="L351" s="542"/>
      <c r="M351" s="545"/>
      <c r="N351" s="155"/>
      <c r="O351" s="546"/>
      <c r="P351" s="547"/>
      <c r="Q351" s="547"/>
      <c r="R351" s="547"/>
      <c r="S351" s="548"/>
      <c r="T351" s="547"/>
      <c r="U351" s="549"/>
      <c r="V351" s="548"/>
      <c r="W351" s="136"/>
      <c r="AD351" s="391"/>
      <c r="AL351" s="68"/>
      <c r="AM351" s="68"/>
      <c r="AO351" s="395"/>
    </row>
    <row r="352" spans="1:41" ht="12.75" customHeight="1">
      <c r="C352" s="131"/>
      <c r="D352" s="169" t="str">
        <f>IF(op!D240=0,"",op!D240)</f>
        <v/>
      </c>
      <c r="E352" s="169" t="str">
        <f>IF(op!E240=0,"",op!E240)</f>
        <v>nn</v>
      </c>
      <c r="F352" s="169" t="str">
        <f>IF(op!F240=0,"",op!F240)</f>
        <v>nn</v>
      </c>
      <c r="G352" s="170" t="str">
        <f>IF(op!G240="","",op!G240+1)</f>
        <v/>
      </c>
      <c r="H352" s="566">
        <f>IF(op!H240="","",op!H240)</f>
        <v>18264</v>
      </c>
      <c r="I352" s="170" t="str">
        <f>IF(op!I240=0,"",op!I240)</f>
        <v>LB</v>
      </c>
      <c r="J352" s="567">
        <f>IF(E352="","",IF(op!J240&gt;LOOKUP(I352,schaal2011,regels2011),J240-1,IF(op!J240=LOOKUP(I352,schaal2011,regels2011),op!J240,J240+1)))</f>
        <v>15</v>
      </c>
      <c r="K352" s="568">
        <f>IF(op!K240="","",op!K240)</f>
        <v>1</v>
      </c>
      <c r="L352" s="569" t="str">
        <f>IF(op!L240="","",op!L240)</f>
        <v/>
      </c>
      <c r="M352" s="570">
        <f t="shared" ref="M352:M383" si="97">(IF(L352="",(K352),(K352)-L352))</f>
        <v>1</v>
      </c>
      <c r="N352" s="155"/>
      <c r="O352" s="571">
        <f>IF(I352="","",VLOOKUP(I352,tab!$A$119:$V$159,J352+3,FALSE))</f>
        <v>3597</v>
      </c>
      <c r="P352" s="572">
        <f t="shared" ref="P352:P383" si="98">IF(E352="",0,(O352*M352*12))</f>
        <v>43164</v>
      </c>
      <c r="Q352" s="589">
        <f>$Q$350</f>
        <v>0.6</v>
      </c>
      <c r="R352" s="573">
        <f>IF(E352=0,"",(P352)*Q352)</f>
        <v>25898.399999999998</v>
      </c>
      <c r="S352" s="332">
        <f>IF(L352="",0,O352*12*L352*(1+tab!$D$108)*tab!$E$110)</f>
        <v>0</v>
      </c>
      <c r="T352" s="580">
        <f>IF(E352=0,0,(P352+R352+S352))</f>
        <v>69062.399999999994</v>
      </c>
      <c r="U352" s="243">
        <f t="shared" ref="U352:U415" si="99">IF(G352&lt;25,0,IF(G352=25,25,IF(G352&lt;40,0,IF(G352=40,40,IF(G352&gt;=40,0)))))</f>
        <v>0</v>
      </c>
      <c r="V352" s="332">
        <f t="shared" ref="V352:V383" si="100">IF(U352=25,(O352*1.08*(K352)/2),IF(U352=40,(O352*1.08*(K352)),IF(U352=0,0)))</f>
        <v>0</v>
      </c>
      <c r="W352" s="553"/>
      <c r="Z352" s="647" t="b">
        <f t="shared" ref="Z352:Z383" si="101">DATE(YEAR($E$345),MONTH(H352),DAY(H352))&gt;$E$345</f>
        <v>0</v>
      </c>
      <c r="AA352" s="647">
        <f t="shared" ref="AA352:AA383" si="102">YEAR($E$345)-YEAR(H352)-Z352</f>
        <v>65</v>
      </c>
      <c r="AB352" s="67">
        <f t="shared" ref="AB352:AB383" si="103">IF((H352=""),30,AA352)</f>
        <v>65</v>
      </c>
      <c r="AC352" s="67">
        <f t="shared" ref="AC352:AC383" si="104">IF((AB352)&gt;50,50,(AB352))</f>
        <v>50</v>
      </c>
      <c r="AD352" s="84">
        <f t="shared" ref="AD352:AD383" si="105">(AC352*(SUM(K352:K352)))</f>
        <v>50</v>
      </c>
      <c r="AJ352" s="405"/>
    </row>
    <row r="353" spans="3:36" ht="12.75" customHeight="1">
      <c r="C353" s="131"/>
      <c r="D353" s="169" t="str">
        <f>IF(op!D241=0,"",op!D241)</f>
        <v/>
      </c>
      <c r="E353" s="169" t="str">
        <f>IF(op!E241=0,"",op!E241)</f>
        <v/>
      </c>
      <c r="F353" s="169" t="str">
        <f>IF(op!F241=0,"",op!F241)</f>
        <v/>
      </c>
      <c r="G353" s="170" t="str">
        <f>IF(op!G241="","",op!G241+1)</f>
        <v/>
      </c>
      <c r="H353" s="566" t="str">
        <f>IF(op!H241="","",op!H241)</f>
        <v/>
      </c>
      <c r="I353" s="170" t="str">
        <f>IF(op!I241=0,"",op!I241)</f>
        <v/>
      </c>
      <c r="J353" s="567" t="str">
        <f>IF(E353="","",IF(op!J241&gt;LOOKUP(I353,schaal2011,regels2011),J241-1,IF(op!J241=LOOKUP(I353,schaal2011,regels2011),op!J241,J241+1)))</f>
        <v/>
      </c>
      <c r="K353" s="568" t="str">
        <f>IF(op!K241="","",op!K241)</f>
        <v/>
      </c>
      <c r="L353" s="569" t="str">
        <f>IF(op!L241="","",op!L241)</f>
        <v/>
      </c>
      <c r="M353" s="570" t="str">
        <f t="shared" si="97"/>
        <v/>
      </c>
      <c r="N353" s="155"/>
      <c r="O353" s="571" t="str">
        <f>IF(I353="","",VLOOKUP(I353,tab!$A$119:$V$159,J353+3,FALSE))</f>
        <v/>
      </c>
      <c r="P353" s="572">
        <f t="shared" si="98"/>
        <v>0</v>
      </c>
      <c r="Q353" s="589">
        <f t="shared" ref="Q353:Q416" si="106">$Q$350</f>
        <v>0.6</v>
      </c>
      <c r="R353" s="573">
        <f t="shared" ref="R353:R416" si="107">IF(E353=0,"",(P353)*Q353)</f>
        <v>0</v>
      </c>
      <c r="S353" s="332">
        <f>IF(L353="",0,O353*12*L353*(1+tab!$D$108)*tab!$E$110)</f>
        <v>0</v>
      </c>
      <c r="T353" s="580">
        <f t="shared" ref="T353:T416" si="108">IF(E353=0,0,(P353+R353+S353))</f>
        <v>0</v>
      </c>
      <c r="U353" s="243">
        <f t="shared" si="99"/>
        <v>0</v>
      </c>
      <c r="V353" s="332">
        <f t="shared" si="100"/>
        <v>0</v>
      </c>
      <c r="W353" s="553"/>
      <c r="Z353" s="647" t="e">
        <f t="shared" si="101"/>
        <v>#VALUE!</v>
      </c>
      <c r="AA353" s="647" t="e">
        <f t="shared" si="102"/>
        <v>#VALUE!</v>
      </c>
      <c r="AB353" s="67">
        <f t="shared" si="103"/>
        <v>30</v>
      </c>
      <c r="AC353" s="67">
        <f t="shared" si="104"/>
        <v>30</v>
      </c>
      <c r="AD353" s="84">
        <f t="shared" si="105"/>
        <v>0</v>
      </c>
      <c r="AJ353" s="405"/>
    </row>
    <row r="354" spans="3:36" ht="12.75" customHeight="1">
      <c r="C354" s="131"/>
      <c r="D354" s="169" t="str">
        <f>IF(op!D242=0,"",op!D242)</f>
        <v/>
      </c>
      <c r="E354" s="169" t="str">
        <f>IF(op!E242=0,"",op!E242)</f>
        <v/>
      </c>
      <c r="F354" s="169" t="str">
        <f>IF(op!F242=0,"",op!F242)</f>
        <v/>
      </c>
      <c r="G354" s="170" t="str">
        <f>IF(op!G242="","",op!G242+1)</f>
        <v/>
      </c>
      <c r="H354" s="566" t="str">
        <f>IF(op!H242="","",op!H242)</f>
        <v/>
      </c>
      <c r="I354" s="170" t="str">
        <f>IF(op!I242=0,"",op!I242)</f>
        <v/>
      </c>
      <c r="J354" s="567" t="str">
        <f>IF(E354="","",IF(op!J242&gt;LOOKUP(I354,schaal2011,regels2011),J242-1,IF(op!J242=LOOKUP(I354,schaal2011,regels2011),op!J242,J242+1)))</f>
        <v/>
      </c>
      <c r="K354" s="568" t="str">
        <f>IF(op!K242="","",op!K242)</f>
        <v/>
      </c>
      <c r="L354" s="569" t="str">
        <f>IF(op!L242="","",op!L242)</f>
        <v/>
      </c>
      <c r="M354" s="570" t="str">
        <f t="shared" si="97"/>
        <v/>
      </c>
      <c r="N354" s="155"/>
      <c r="O354" s="571" t="str">
        <f>IF(I354="","",VLOOKUP(I354,tab!$A$119:$V$159,J354+3,FALSE))</f>
        <v/>
      </c>
      <c r="P354" s="572">
        <f t="shared" si="98"/>
        <v>0</v>
      </c>
      <c r="Q354" s="589">
        <f t="shared" si="106"/>
        <v>0.6</v>
      </c>
      <c r="R354" s="573">
        <f t="shared" si="107"/>
        <v>0</v>
      </c>
      <c r="S354" s="332">
        <f>IF(L354="",0,O354*12*L354*(1+tab!$D$108)*tab!$E$110)</f>
        <v>0</v>
      </c>
      <c r="T354" s="580">
        <f t="shared" si="108"/>
        <v>0</v>
      </c>
      <c r="U354" s="243">
        <f t="shared" si="99"/>
        <v>0</v>
      </c>
      <c r="V354" s="332">
        <f t="shared" si="100"/>
        <v>0</v>
      </c>
      <c r="W354" s="554"/>
      <c r="Z354" s="647" t="e">
        <f t="shared" si="101"/>
        <v>#VALUE!</v>
      </c>
      <c r="AA354" s="647" t="e">
        <f t="shared" si="102"/>
        <v>#VALUE!</v>
      </c>
      <c r="AB354" s="67">
        <f t="shared" si="103"/>
        <v>30</v>
      </c>
      <c r="AC354" s="67">
        <f t="shared" si="104"/>
        <v>30</v>
      </c>
      <c r="AD354" s="84">
        <f t="shared" si="105"/>
        <v>0</v>
      </c>
      <c r="AJ354" s="405"/>
    </row>
    <row r="355" spans="3:36" ht="12.75" customHeight="1">
      <c r="C355" s="131"/>
      <c r="D355" s="169" t="str">
        <f>IF(op!D243=0,"",op!D243)</f>
        <v/>
      </c>
      <c r="E355" s="169" t="str">
        <f>IF(op!E243=0,"",op!E243)</f>
        <v/>
      </c>
      <c r="F355" s="169" t="str">
        <f>IF(op!F243=0,"",op!F243)</f>
        <v/>
      </c>
      <c r="G355" s="170" t="str">
        <f>IF(op!G243="","",op!G243+1)</f>
        <v/>
      </c>
      <c r="H355" s="566" t="str">
        <f>IF(op!H243="","",op!H243)</f>
        <v/>
      </c>
      <c r="I355" s="170" t="str">
        <f>IF(op!I243=0,"",op!I243)</f>
        <v/>
      </c>
      <c r="J355" s="567" t="str">
        <f>IF(E355="","",IF(op!J243&gt;LOOKUP(I355,schaal2011,regels2011),J243-1,IF(op!J243=LOOKUP(I355,schaal2011,regels2011),op!J243,J243+1)))</f>
        <v/>
      </c>
      <c r="K355" s="568" t="str">
        <f>IF(op!K243="","",op!K243)</f>
        <v/>
      </c>
      <c r="L355" s="569" t="str">
        <f>IF(op!L243="","",op!L243)</f>
        <v/>
      </c>
      <c r="M355" s="570" t="str">
        <f t="shared" si="97"/>
        <v/>
      </c>
      <c r="N355" s="155"/>
      <c r="O355" s="571" t="str">
        <f>IF(I355="","",VLOOKUP(I355,tab!$A$119:$V$159,J355+3,FALSE))</f>
        <v/>
      </c>
      <c r="P355" s="572">
        <f t="shared" si="98"/>
        <v>0</v>
      </c>
      <c r="Q355" s="589">
        <f t="shared" si="106"/>
        <v>0.6</v>
      </c>
      <c r="R355" s="573">
        <f t="shared" si="107"/>
        <v>0</v>
      </c>
      <c r="S355" s="332">
        <f>IF(L355="",0,O355*12*L355*(1+tab!$D$108)*tab!$E$110)</f>
        <v>0</v>
      </c>
      <c r="T355" s="580">
        <f t="shared" si="108"/>
        <v>0</v>
      </c>
      <c r="U355" s="243">
        <f t="shared" si="99"/>
        <v>0</v>
      </c>
      <c r="V355" s="332">
        <f t="shared" si="100"/>
        <v>0</v>
      </c>
      <c r="W355" s="554"/>
      <c r="Z355" s="647" t="e">
        <f t="shared" si="101"/>
        <v>#VALUE!</v>
      </c>
      <c r="AA355" s="647" t="e">
        <f t="shared" si="102"/>
        <v>#VALUE!</v>
      </c>
      <c r="AB355" s="67">
        <f t="shared" si="103"/>
        <v>30</v>
      </c>
      <c r="AC355" s="67">
        <f t="shared" si="104"/>
        <v>30</v>
      </c>
      <c r="AD355" s="84">
        <f t="shared" si="105"/>
        <v>0</v>
      </c>
      <c r="AJ355" s="405"/>
    </row>
    <row r="356" spans="3:36" ht="12.75" customHeight="1">
      <c r="C356" s="131"/>
      <c r="D356" s="169" t="str">
        <f>IF(op!D244=0,"",op!D244)</f>
        <v/>
      </c>
      <c r="E356" s="169" t="str">
        <f>IF(op!E244=0,"",op!E244)</f>
        <v/>
      </c>
      <c r="F356" s="169" t="str">
        <f>IF(op!F244=0,"",op!F244)</f>
        <v/>
      </c>
      <c r="G356" s="170" t="str">
        <f>IF(op!G244="","",op!G244+1)</f>
        <v/>
      </c>
      <c r="H356" s="566" t="str">
        <f>IF(op!H244="","",op!H244)</f>
        <v/>
      </c>
      <c r="I356" s="170" t="str">
        <f>IF(op!I244=0,"",op!I244)</f>
        <v/>
      </c>
      <c r="J356" s="567" t="str">
        <f>IF(E356="","",IF(op!J244&gt;LOOKUP(I356,schaal2011,regels2011),J244-1,IF(op!J244=LOOKUP(I356,schaal2011,regels2011),op!J244,J244+1)))</f>
        <v/>
      </c>
      <c r="K356" s="568" t="str">
        <f>IF(op!K244="","",op!K244)</f>
        <v/>
      </c>
      <c r="L356" s="569" t="str">
        <f>IF(op!L244="","",op!L244)</f>
        <v/>
      </c>
      <c r="M356" s="570" t="str">
        <f t="shared" si="97"/>
        <v/>
      </c>
      <c r="N356" s="155"/>
      <c r="O356" s="571" t="str">
        <f>IF(I356="","",VLOOKUP(I356,tab!$A$119:$V$159,J356+3,FALSE))</f>
        <v/>
      </c>
      <c r="P356" s="572">
        <f t="shared" si="98"/>
        <v>0</v>
      </c>
      <c r="Q356" s="589">
        <f t="shared" si="106"/>
        <v>0.6</v>
      </c>
      <c r="R356" s="573">
        <f t="shared" si="107"/>
        <v>0</v>
      </c>
      <c r="S356" s="332">
        <f>IF(L356="",0,O356*12*L356*(1+tab!$D$108)*tab!$E$110)</f>
        <v>0</v>
      </c>
      <c r="T356" s="580">
        <f t="shared" si="108"/>
        <v>0</v>
      </c>
      <c r="U356" s="243">
        <f t="shared" si="99"/>
        <v>0</v>
      </c>
      <c r="V356" s="332">
        <f t="shared" si="100"/>
        <v>0</v>
      </c>
      <c r="W356" s="553"/>
      <c r="Z356" s="647" t="e">
        <f t="shared" si="101"/>
        <v>#VALUE!</v>
      </c>
      <c r="AA356" s="647" t="e">
        <f t="shared" si="102"/>
        <v>#VALUE!</v>
      </c>
      <c r="AB356" s="67">
        <f t="shared" si="103"/>
        <v>30</v>
      </c>
      <c r="AC356" s="67">
        <f t="shared" si="104"/>
        <v>30</v>
      </c>
      <c r="AD356" s="84">
        <f t="shared" si="105"/>
        <v>0</v>
      </c>
      <c r="AJ356" s="405"/>
    </row>
    <row r="357" spans="3:36" ht="12.75" customHeight="1">
      <c r="C357" s="131"/>
      <c r="D357" s="169" t="str">
        <f>IF(op!D245=0,"",op!D245)</f>
        <v/>
      </c>
      <c r="E357" s="169" t="str">
        <f>IF(op!E245=0,"",op!E245)</f>
        <v/>
      </c>
      <c r="F357" s="169" t="str">
        <f>IF(op!F245=0,"",op!F245)</f>
        <v/>
      </c>
      <c r="G357" s="170" t="str">
        <f>IF(op!G245="","",op!G245+1)</f>
        <v/>
      </c>
      <c r="H357" s="566" t="str">
        <f>IF(op!H245="","",op!H245)</f>
        <v/>
      </c>
      <c r="I357" s="170" t="str">
        <f>IF(op!I245=0,"",op!I245)</f>
        <v/>
      </c>
      <c r="J357" s="567" t="str">
        <f>IF(E357="","",IF(op!J245&gt;LOOKUP(I357,schaal2011,regels2011),J245-1,IF(op!J245=LOOKUP(I357,schaal2011,regels2011),op!J245,J245+1)))</f>
        <v/>
      </c>
      <c r="K357" s="568" t="str">
        <f>IF(op!K245="","",op!K245)</f>
        <v/>
      </c>
      <c r="L357" s="569" t="str">
        <f>IF(op!L245="","",op!L245)</f>
        <v/>
      </c>
      <c r="M357" s="570" t="str">
        <f t="shared" si="97"/>
        <v/>
      </c>
      <c r="N357" s="155"/>
      <c r="O357" s="571" t="str">
        <f>IF(I357="","",VLOOKUP(I357,tab!$A$119:$V$159,J357+3,FALSE))</f>
        <v/>
      </c>
      <c r="P357" s="572">
        <f t="shared" si="98"/>
        <v>0</v>
      </c>
      <c r="Q357" s="589">
        <f t="shared" si="106"/>
        <v>0.6</v>
      </c>
      <c r="R357" s="573">
        <f t="shared" si="107"/>
        <v>0</v>
      </c>
      <c r="S357" s="332">
        <f>IF(L357="",0,O357*12*L357*(1+tab!$D$108)*tab!$E$110)</f>
        <v>0</v>
      </c>
      <c r="T357" s="580">
        <f t="shared" si="108"/>
        <v>0</v>
      </c>
      <c r="U357" s="243">
        <f t="shared" si="99"/>
        <v>0</v>
      </c>
      <c r="V357" s="332">
        <f t="shared" si="100"/>
        <v>0</v>
      </c>
      <c r="W357" s="553"/>
      <c r="Z357" s="647" t="e">
        <f t="shared" si="101"/>
        <v>#VALUE!</v>
      </c>
      <c r="AA357" s="647" t="e">
        <f t="shared" si="102"/>
        <v>#VALUE!</v>
      </c>
      <c r="AB357" s="67">
        <f t="shared" si="103"/>
        <v>30</v>
      </c>
      <c r="AC357" s="67">
        <f t="shared" si="104"/>
        <v>30</v>
      </c>
      <c r="AD357" s="84">
        <f t="shared" si="105"/>
        <v>0</v>
      </c>
      <c r="AJ357" s="405"/>
    </row>
    <row r="358" spans="3:36" ht="12.75" customHeight="1">
      <c r="C358" s="131"/>
      <c r="D358" s="169" t="str">
        <f>IF(op!D246=0,"",op!D246)</f>
        <v/>
      </c>
      <c r="E358" s="169" t="str">
        <f>IF(op!E246=0,"",op!E246)</f>
        <v/>
      </c>
      <c r="F358" s="169" t="str">
        <f>IF(op!F246=0,"",op!F246)</f>
        <v/>
      </c>
      <c r="G358" s="170" t="str">
        <f>IF(op!G246="","",op!G246+1)</f>
        <v/>
      </c>
      <c r="H358" s="566" t="str">
        <f>IF(op!H246="","",op!H246)</f>
        <v/>
      </c>
      <c r="I358" s="170" t="str">
        <f>IF(op!I246=0,"",op!I246)</f>
        <v/>
      </c>
      <c r="J358" s="567" t="str">
        <f>IF(E358="","",IF(op!J246&gt;LOOKUP(I358,schaal2011,regels2011),J246-1,IF(op!J246=LOOKUP(I358,schaal2011,regels2011),op!J246,J246+1)))</f>
        <v/>
      </c>
      <c r="K358" s="568" t="str">
        <f>IF(op!K246="","",op!K246)</f>
        <v/>
      </c>
      <c r="L358" s="569" t="str">
        <f>IF(op!L246="","",op!L246)</f>
        <v/>
      </c>
      <c r="M358" s="570" t="str">
        <f t="shared" si="97"/>
        <v/>
      </c>
      <c r="N358" s="155"/>
      <c r="O358" s="571" t="str">
        <f>IF(I358="","",VLOOKUP(I358,tab!$A$119:$V$159,J358+3,FALSE))</f>
        <v/>
      </c>
      <c r="P358" s="572">
        <f t="shared" si="98"/>
        <v>0</v>
      </c>
      <c r="Q358" s="589">
        <f t="shared" si="106"/>
        <v>0.6</v>
      </c>
      <c r="R358" s="573">
        <f t="shared" si="107"/>
        <v>0</v>
      </c>
      <c r="S358" s="332">
        <f>IF(L358="",0,O358*12*L358*(1+tab!$D$108)*tab!$E$110)</f>
        <v>0</v>
      </c>
      <c r="T358" s="580">
        <f t="shared" si="108"/>
        <v>0</v>
      </c>
      <c r="U358" s="243">
        <f t="shared" si="99"/>
        <v>0</v>
      </c>
      <c r="V358" s="332">
        <f t="shared" si="100"/>
        <v>0</v>
      </c>
      <c r="W358" s="136"/>
      <c r="Z358" s="647" t="e">
        <f t="shared" si="101"/>
        <v>#VALUE!</v>
      </c>
      <c r="AA358" s="647" t="e">
        <f t="shared" si="102"/>
        <v>#VALUE!</v>
      </c>
      <c r="AB358" s="67">
        <f t="shared" si="103"/>
        <v>30</v>
      </c>
      <c r="AC358" s="67">
        <f t="shared" si="104"/>
        <v>30</v>
      </c>
      <c r="AD358" s="84">
        <f t="shared" si="105"/>
        <v>0</v>
      </c>
      <c r="AJ358" s="405"/>
    </row>
    <row r="359" spans="3:36" ht="12.75" customHeight="1">
      <c r="C359" s="131"/>
      <c r="D359" s="169" t="str">
        <f>IF(op!D247=0,"",op!D247)</f>
        <v/>
      </c>
      <c r="E359" s="169" t="str">
        <f>IF(op!E247=0,"",op!E247)</f>
        <v/>
      </c>
      <c r="F359" s="169" t="str">
        <f>IF(op!F247=0,"",op!F247)</f>
        <v/>
      </c>
      <c r="G359" s="170" t="str">
        <f>IF(op!G247="","",op!G247+1)</f>
        <v/>
      </c>
      <c r="H359" s="566" t="str">
        <f>IF(op!H247="","",op!H247)</f>
        <v/>
      </c>
      <c r="I359" s="170" t="str">
        <f>IF(op!I247=0,"",op!I247)</f>
        <v/>
      </c>
      <c r="J359" s="567" t="str">
        <f>IF(E359="","",IF(op!J247&gt;LOOKUP(I359,schaal2011,regels2011),J247-1,IF(op!J247=LOOKUP(I359,schaal2011,regels2011),op!J247,J247+1)))</f>
        <v/>
      </c>
      <c r="K359" s="568" t="str">
        <f>IF(op!K247="","",op!K247)</f>
        <v/>
      </c>
      <c r="L359" s="569" t="str">
        <f>IF(op!L247="","",op!L247)</f>
        <v/>
      </c>
      <c r="M359" s="570" t="str">
        <f t="shared" si="97"/>
        <v/>
      </c>
      <c r="N359" s="155"/>
      <c r="O359" s="571" t="str">
        <f>IF(I359="","",VLOOKUP(I359,tab!$A$119:$V$159,J359+3,FALSE))</f>
        <v/>
      </c>
      <c r="P359" s="572">
        <f t="shared" si="98"/>
        <v>0</v>
      </c>
      <c r="Q359" s="589">
        <f t="shared" si="106"/>
        <v>0.6</v>
      </c>
      <c r="R359" s="573">
        <f t="shared" si="107"/>
        <v>0</v>
      </c>
      <c r="S359" s="332">
        <f>IF(L359="",0,O359*12*L359*(1+tab!$D$108)*tab!$E$110)</f>
        <v>0</v>
      </c>
      <c r="T359" s="580">
        <f t="shared" si="108"/>
        <v>0</v>
      </c>
      <c r="U359" s="243">
        <f t="shared" si="99"/>
        <v>0</v>
      </c>
      <c r="V359" s="332">
        <f t="shared" si="100"/>
        <v>0</v>
      </c>
      <c r="W359" s="136"/>
      <c r="Z359" s="647" t="e">
        <f t="shared" si="101"/>
        <v>#VALUE!</v>
      </c>
      <c r="AA359" s="647" t="e">
        <f t="shared" si="102"/>
        <v>#VALUE!</v>
      </c>
      <c r="AB359" s="67">
        <f t="shared" si="103"/>
        <v>30</v>
      </c>
      <c r="AC359" s="67">
        <f t="shared" si="104"/>
        <v>30</v>
      </c>
      <c r="AD359" s="84">
        <f t="shared" si="105"/>
        <v>0</v>
      </c>
      <c r="AJ359" s="405"/>
    </row>
    <row r="360" spans="3:36" ht="12.75" customHeight="1">
      <c r="C360" s="131"/>
      <c r="D360" s="169" t="str">
        <f>IF(op!D248=0,"",op!D248)</f>
        <v/>
      </c>
      <c r="E360" s="169" t="str">
        <f>IF(op!E248=0,"",op!E248)</f>
        <v/>
      </c>
      <c r="F360" s="169" t="str">
        <f>IF(op!F248=0,"",op!F248)</f>
        <v/>
      </c>
      <c r="G360" s="170" t="str">
        <f>IF(op!G248="","",op!G248+1)</f>
        <v/>
      </c>
      <c r="H360" s="566" t="str">
        <f>IF(op!H248="","",op!H248)</f>
        <v/>
      </c>
      <c r="I360" s="170" t="str">
        <f>IF(op!I248=0,"",op!I248)</f>
        <v/>
      </c>
      <c r="J360" s="567" t="str">
        <f>IF(E360="","",IF(op!J248&gt;LOOKUP(I360,schaal2011,regels2011),J248-1,IF(op!J248=LOOKUP(I360,schaal2011,regels2011),op!J248,J248+1)))</f>
        <v/>
      </c>
      <c r="K360" s="568" t="str">
        <f>IF(op!K248="","",op!K248)</f>
        <v/>
      </c>
      <c r="L360" s="569" t="str">
        <f>IF(op!L248="","",op!L248)</f>
        <v/>
      </c>
      <c r="M360" s="570" t="str">
        <f t="shared" si="97"/>
        <v/>
      </c>
      <c r="N360" s="155"/>
      <c r="O360" s="571" t="str">
        <f>IF(I360="","",VLOOKUP(I360,tab!$A$119:$V$159,J360+3,FALSE))</f>
        <v/>
      </c>
      <c r="P360" s="572">
        <f t="shared" si="98"/>
        <v>0</v>
      </c>
      <c r="Q360" s="589">
        <f t="shared" si="106"/>
        <v>0.6</v>
      </c>
      <c r="R360" s="573">
        <f t="shared" si="107"/>
        <v>0</v>
      </c>
      <c r="S360" s="332">
        <f>IF(L360="",0,O360*12*L360*(1+tab!$D$108)*tab!$E$110)</f>
        <v>0</v>
      </c>
      <c r="T360" s="580">
        <f t="shared" si="108"/>
        <v>0</v>
      </c>
      <c r="U360" s="243">
        <f t="shared" si="99"/>
        <v>0</v>
      </c>
      <c r="V360" s="332">
        <f t="shared" si="100"/>
        <v>0</v>
      </c>
      <c r="W360" s="136"/>
      <c r="Z360" s="647" t="e">
        <f t="shared" si="101"/>
        <v>#VALUE!</v>
      </c>
      <c r="AA360" s="647" t="e">
        <f t="shared" si="102"/>
        <v>#VALUE!</v>
      </c>
      <c r="AB360" s="67">
        <f t="shared" si="103"/>
        <v>30</v>
      </c>
      <c r="AC360" s="67">
        <f t="shared" si="104"/>
        <v>30</v>
      </c>
      <c r="AD360" s="84">
        <f t="shared" si="105"/>
        <v>0</v>
      </c>
      <c r="AJ360" s="405"/>
    </row>
    <row r="361" spans="3:36" ht="12.75" customHeight="1">
      <c r="C361" s="131"/>
      <c r="D361" s="169" t="str">
        <f>IF(op!D249=0,"",op!D249)</f>
        <v/>
      </c>
      <c r="E361" s="169" t="str">
        <f>IF(op!E249=0,"",op!E249)</f>
        <v/>
      </c>
      <c r="F361" s="169" t="str">
        <f>IF(op!F249=0,"",op!F249)</f>
        <v/>
      </c>
      <c r="G361" s="170" t="str">
        <f>IF(op!G249="","",op!G249+1)</f>
        <v/>
      </c>
      <c r="H361" s="566" t="str">
        <f>IF(op!H249="","",op!H249)</f>
        <v/>
      </c>
      <c r="I361" s="170" t="str">
        <f>IF(op!I249=0,"",op!I249)</f>
        <v/>
      </c>
      <c r="J361" s="567" t="str">
        <f>IF(E361="","",IF(op!J249&gt;LOOKUP(I361,schaal2011,regels2011),J249-1,IF(op!J249=LOOKUP(I361,schaal2011,regels2011),op!J249,J249+1)))</f>
        <v/>
      </c>
      <c r="K361" s="568" t="str">
        <f>IF(op!K249="","",op!K249)</f>
        <v/>
      </c>
      <c r="L361" s="569" t="str">
        <f>IF(op!L249="","",op!L249)</f>
        <v/>
      </c>
      <c r="M361" s="570" t="str">
        <f t="shared" si="97"/>
        <v/>
      </c>
      <c r="N361" s="155"/>
      <c r="O361" s="571" t="str">
        <f>IF(I361="","",VLOOKUP(I361,tab!$A$119:$V$159,J361+3,FALSE))</f>
        <v/>
      </c>
      <c r="P361" s="572">
        <f t="shared" si="98"/>
        <v>0</v>
      </c>
      <c r="Q361" s="589">
        <f t="shared" si="106"/>
        <v>0.6</v>
      </c>
      <c r="R361" s="573">
        <f t="shared" si="107"/>
        <v>0</v>
      </c>
      <c r="S361" s="332">
        <f>IF(L361="",0,O361*12*L361*(1+tab!$D$108)*tab!$E$110)</f>
        <v>0</v>
      </c>
      <c r="T361" s="580">
        <f t="shared" si="108"/>
        <v>0</v>
      </c>
      <c r="U361" s="243">
        <f t="shared" si="99"/>
        <v>0</v>
      </c>
      <c r="V361" s="332">
        <f t="shared" si="100"/>
        <v>0</v>
      </c>
      <c r="W361" s="136"/>
      <c r="Z361" s="647" t="e">
        <f t="shared" si="101"/>
        <v>#VALUE!</v>
      </c>
      <c r="AA361" s="647" t="e">
        <f t="shared" si="102"/>
        <v>#VALUE!</v>
      </c>
      <c r="AB361" s="67">
        <f t="shared" si="103"/>
        <v>30</v>
      </c>
      <c r="AC361" s="67">
        <f t="shared" si="104"/>
        <v>30</v>
      </c>
      <c r="AD361" s="84">
        <f t="shared" si="105"/>
        <v>0</v>
      </c>
      <c r="AJ361" s="405"/>
    </row>
    <row r="362" spans="3:36" ht="12.75" customHeight="1">
      <c r="C362" s="131"/>
      <c r="D362" s="169" t="str">
        <f>IF(op!D250=0,"",op!D250)</f>
        <v/>
      </c>
      <c r="E362" s="169" t="str">
        <f>IF(op!E250=0,"",op!E250)</f>
        <v/>
      </c>
      <c r="F362" s="169" t="str">
        <f>IF(op!F250=0,"",op!F250)</f>
        <v/>
      </c>
      <c r="G362" s="170" t="str">
        <f>IF(op!G250="","",op!G250+1)</f>
        <v/>
      </c>
      <c r="H362" s="566" t="str">
        <f>IF(op!H250="","",op!H250)</f>
        <v/>
      </c>
      <c r="I362" s="170" t="str">
        <f>IF(op!I250=0,"",op!I250)</f>
        <v/>
      </c>
      <c r="J362" s="567" t="str">
        <f>IF(E362="","",IF(op!J250&gt;LOOKUP(I362,schaal2011,regels2011),J250-1,IF(op!J250=LOOKUP(I362,schaal2011,regels2011),op!J250,J250+1)))</f>
        <v/>
      </c>
      <c r="K362" s="568" t="str">
        <f>IF(op!K250="","",op!K250)</f>
        <v/>
      </c>
      <c r="L362" s="569" t="str">
        <f>IF(op!L250="","",op!L250)</f>
        <v/>
      </c>
      <c r="M362" s="570" t="str">
        <f t="shared" si="97"/>
        <v/>
      </c>
      <c r="N362" s="155"/>
      <c r="O362" s="571" t="str">
        <f>IF(I362="","",VLOOKUP(I362,tab!$A$119:$V$159,J362+3,FALSE))</f>
        <v/>
      </c>
      <c r="P362" s="572">
        <f t="shared" si="98"/>
        <v>0</v>
      </c>
      <c r="Q362" s="589">
        <f t="shared" si="106"/>
        <v>0.6</v>
      </c>
      <c r="R362" s="573">
        <f t="shared" si="107"/>
        <v>0</v>
      </c>
      <c r="S362" s="332">
        <f>IF(L362="",0,O362*12*L362*(1+tab!$D$108)*tab!$E$110)</f>
        <v>0</v>
      </c>
      <c r="T362" s="580">
        <f t="shared" si="108"/>
        <v>0</v>
      </c>
      <c r="U362" s="243">
        <f t="shared" si="99"/>
        <v>0</v>
      </c>
      <c r="V362" s="332">
        <f t="shared" si="100"/>
        <v>0</v>
      </c>
      <c r="W362" s="136"/>
      <c r="Z362" s="647" t="e">
        <f t="shared" si="101"/>
        <v>#VALUE!</v>
      </c>
      <c r="AA362" s="647" t="e">
        <f t="shared" si="102"/>
        <v>#VALUE!</v>
      </c>
      <c r="AB362" s="67">
        <f t="shared" si="103"/>
        <v>30</v>
      </c>
      <c r="AC362" s="67">
        <f t="shared" si="104"/>
        <v>30</v>
      </c>
      <c r="AD362" s="84">
        <f t="shared" si="105"/>
        <v>0</v>
      </c>
      <c r="AJ362" s="405"/>
    </row>
    <row r="363" spans="3:36" ht="12.75" customHeight="1">
      <c r="C363" s="131"/>
      <c r="D363" s="169" t="str">
        <f>IF(op!D251=0,"",op!D251)</f>
        <v/>
      </c>
      <c r="E363" s="169" t="str">
        <f>IF(op!E251=0,"",op!E251)</f>
        <v/>
      </c>
      <c r="F363" s="169" t="str">
        <f>IF(op!F251=0,"",op!F251)</f>
        <v/>
      </c>
      <c r="G363" s="170" t="str">
        <f>IF(op!G251="","",op!G251+1)</f>
        <v/>
      </c>
      <c r="H363" s="566" t="str">
        <f>IF(op!H251="","",op!H251)</f>
        <v/>
      </c>
      <c r="I363" s="170" t="str">
        <f>IF(op!I251=0,"",op!I251)</f>
        <v/>
      </c>
      <c r="J363" s="567" t="str">
        <f>IF(E363="","",IF(op!J251&gt;LOOKUP(I363,schaal2011,regels2011),J251-1,IF(op!J251=LOOKUP(I363,schaal2011,regels2011),op!J251,J251+1)))</f>
        <v/>
      </c>
      <c r="K363" s="568" t="str">
        <f>IF(op!K251="","",op!K251)</f>
        <v/>
      </c>
      <c r="L363" s="569" t="str">
        <f>IF(op!L251="","",op!L251)</f>
        <v/>
      </c>
      <c r="M363" s="570" t="str">
        <f t="shared" si="97"/>
        <v/>
      </c>
      <c r="N363" s="155"/>
      <c r="O363" s="571" t="str">
        <f>IF(I363="","",VLOOKUP(I363,tab!$A$119:$V$159,J363+3,FALSE))</f>
        <v/>
      </c>
      <c r="P363" s="572">
        <f t="shared" si="98"/>
        <v>0</v>
      </c>
      <c r="Q363" s="589">
        <f t="shared" si="106"/>
        <v>0.6</v>
      </c>
      <c r="R363" s="573">
        <f t="shared" si="107"/>
        <v>0</v>
      </c>
      <c r="S363" s="332">
        <f>IF(L363="",0,O363*12*L363*(1+tab!$D$108)*tab!$E$110)</f>
        <v>0</v>
      </c>
      <c r="T363" s="580">
        <f t="shared" si="108"/>
        <v>0</v>
      </c>
      <c r="U363" s="243">
        <f t="shared" si="99"/>
        <v>0</v>
      </c>
      <c r="V363" s="332">
        <f t="shared" si="100"/>
        <v>0</v>
      </c>
      <c r="W363" s="136"/>
      <c r="Z363" s="647" t="e">
        <f t="shared" si="101"/>
        <v>#VALUE!</v>
      </c>
      <c r="AA363" s="647" t="e">
        <f t="shared" si="102"/>
        <v>#VALUE!</v>
      </c>
      <c r="AB363" s="67">
        <f t="shared" si="103"/>
        <v>30</v>
      </c>
      <c r="AC363" s="67">
        <f t="shared" si="104"/>
        <v>30</v>
      </c>
      <c r="AD363" s="84">
        <f t="shared" si="105"/>
        <v>0</v>
      </c>
      <c r="AJ363" s="405"/>
    </row>
    <row r="364" spans="3:36" ht="12.75" customHeight="1">
      <c r="C364" s="131"/>
      <c r="D364" s="169" t="str">
        <f>IF(op!D252=0,"",op!D252)</f>
        <v/>
      </c>
      <c r="E364" s="169" t="str">
        <f>IF(op!E252=0,"",op!E252)</f>
        <v/>
      </c>
      <c r="F364" s="169" t="str">
        <f>IF(op!F252=0,"",op!F252)</f>
        <v/>
      </c>
      <c r="G364" s="170" t="str">
        <f>IF(op!G252="","",op!G252+1)</f>
        <v/>
      </c>
      <c r="H364" s="566" t="str">
        <f>IF(op!H252="","",op!H252)</f>
        <v/>
      </c>
      <c r="I364" s="170" t="str">
        <f>IF(op!I252=0,"",op!I252)</f>
        <v/>
      </c>
      <c r="J364" s="567" t="str">
        <f>IF(E364="","",IF(op!J252&gt;LOOKUP(I364,schaal2011,regels2011),J252-1,IF(op!J252=LOOKUP(I364,schaal2011,regels2011),op!J252,J252+1)))</f>
        <v/>
      </c>
      <c r="K364" s="568" t="str">
        <f>IF(op!K252="","",op!K252)</f>
        <v/>
      </c>
      <c r="L364" s="569" t="str">
        <f>IF(op!L252="","",op!L252)</f>
        <v/>
      </c>
      <c r="M364" s="570" t="str">
        <f t="shared" si="97"/>
        <v/>
      </c>
      <c r="N364" s="155"/>
      <c r="O364" s="571" t="str">
        <f>IF(I364="","",VLOOKUP(I364,tab!$A$119:$V$159,J364+3,FALSE))</f>
        <v/>
      </c>
      <c r="P364" s="572">
        <f t="shared" si="98"/>
        <v>0</v>
      </c>
      <c r="Q364" s="589">
        <f t="shared" si="106"/>
        <v>0.6</v>
      </c>
      <c r="R364" s="573">
        <f t="shared" si="107"/>
        <v>0</v>
      </c>
      <c r="S364" s="332">
        <f>IF(L364="",0,O364*12*L364*(1+tab!$D$108)*tab!$E$110)</f>
        <v>0</v>
      </c>
      <c r="T364" s="580">
        <f t="shared" si="108"/>
        <v>0</v>
      </c>
      <c r="U364" s="243">
        <f t="shared" si="99"/>
        <v>0</v>
      </c>
      <c r="V364" s="332">
        <f t="shared" si="100"/>
        <v>0</v>
      </c>
      <c r="W364" s="136"/>
      <c r="Z364" s="647" t="e">
        <f t="shared" si="101"/>
        <v>#VALUE!</v>
      </c>
      <c r="AA364" s="647" t="e">
        <f t="shared" si="102"/>
        <v>#VALUE!</v>
      </c>
      <c r="AB364" s="67">
        <f t="shared" si="103"/>
        <v>30</v>
      </c>
      <c r="AC364" s="67">
        <f t="shared" si="104"/>
        <v>30</v>
      </c>
      <c r="AD364" s="84">
        <f t="shared" si="105"/>
        <v>0</v>
      </c>
      <c r="AJ364" s="405"/>
    </row>
    <row r="365" spans="3:36" ht="12.75" customHeight="1">
      <c r="C365" s="131"/>
      <c r="D365" s="169" t="str">
        <f>IF(op!D253=0,"",op!D253)</f>
        <v/>
      </c>
      <c r="E365" s="169" t="str">
        <f>IF(op!E253=0,"",op!E253)</f>
        <v/>
      </c>
      <c r="F365" s="169" t="str">
        <f>IF(op!F253=0,"",op!F253)</f>
        <v/>
      </c>
      <c r="G365" s="170" t="str">
        <f>IF(op!G253="","",op!G253+1)</f>
        <v/>
      </c>
      <c r="H365" s="566" t="str">
        <f>IF(op!H253="","",op!H253)</f>
        <v/>
      </c>
      <c r="I365" s="170" t="str">
        <f>IF(op!I253=0,"",op!I253)</f>
        <v/>
      </c>
      <c r="J365" s="567" t="str">
        <f>IF(E365="","",IF(op!J253&gt;LOOKUP(I365,schaal2011,regels2011),J253-1,IF(op!J253=LOOKUP(I365,schaal2011,regels2011),op!J253,J253+1)))</f>
        <v/>
      </c>
      <c r="K365" s="568" t="str">
        <f>IF(op!K253="","",op!K253)</f>
        <v/>
      </c>
      <c r="L365" s="569" t="str">
        <f>IF(op!L253="","",op!L253)</f>
        <v/>
      </c>
      <c r="M365" s="570" t="str">
        <f t="shared" si="97"/>
        <v/>
      </c>
      <c r="N365" s="155"/>
      <c r="O365" s="571" t="str">
        <f>IF(I365="","",VLOOKUP(I365,tab!$A$119:$V$159,J365+3,FALSE))</f>
        <v/>
      </c>
      <c r="P365" s="572">
        <f t="shared" si="98"/>
        <v>0</v>
      </c>
      <c r="Q365" s="589">
        <f t="shared" si="106"/>
        <v>0.6</v>
      </c>
      <c r="R365" s="573">
        <f t="shared" si="107"/>
        <v>0</v>
      </c>
      <c r="S365" s="332">
        <f>IF(L365="",0,O365*12*L365*(1+tab!$D$108)*tab!$E$110)</f>
        <v>0</v>
      </c>
      <c r="T365" s="580">
        <f t="shared" si="108"/>
        <v>0</v>
      </c>
      <c r="U365" s="243">
        <f t="shared" si="99"/>
        <v>0</v>
      </c>
      <c r="V365" s="332">
        <f t="shared" si="100"/>
        <v>0</v>
      </c>
      <c r="W365" s="136"/>
      <c r="Z365" s="647" t="e">
        <f t="shared" si="101"/>
        <v>#VALUE!</v>
      </c>
      <c r="AA365" s="647" t="e">
        <f t="shared" si="102"/>
        <v>#VALUE!</v>
      </c>
      <c r="AB365" s="67">
        <f t="shared" si="103"/>
        <v>30</v>
      </c>
      <c r="AC365" s="67">
        <f t="shared" si="104"/>
        <v>30</v>
      </c>
      <c r="AD365" s="84">
        <f t="shared" si="105"/>
        <v>0</v>
      </c>
      <c r="AJ365" s="405"/>
    </row>
    <row r="366" spans="3:36" ht="12.75" customHeight="1">
      <c r="C366" s="131"/>
      <c r="D366" s="169" t="str">
        <f>IF(op!D254=0,"",op!D254)</f>
        <v/>
      </c>
      <c r="E366" s="169" t="str">
        <f>IF(op!E254=0,"",op!E254)</f>
        <v/>
      </c>
      <c r="F366" s="169" t="str">
        <f>IF(op!F254=0,"",op!F254)</f>
        <v/>
      </c>
      <c r="G366" s="170" t="str">
        <f>IF(op!G254="","",op!G254+1)</f>
        <v/>
      </c>
      <c r="H366" s="566" t="str">
        <f>IF(op!H254="","",op!H254)</f>
        <v/>
      </c>
      <c r="I366" s="170" t="str">
        <f>IF(op!I254=0,"",op!I254)</f>
        <v/>
      </c>
      <c r="J366" s="567" t="str">
        <f>IF(E366="","",IF(op!J254&gt;LOOKUP(I366,schaal2011,regels2011),J254-1,IF(op!J254=LOOKUP(I366,schaal2011,regels2011),op!J254,J254+1)))</f>
        <v/>
      </c>
      <c r="K366" s="568" t="str">
        <f>IF(op!K254="","",op!K254)</f>
        <v/>
      </c>
      <c r="L366" s="569" t="str">
        <f>IF(op!L254="","",op!L254)</f>
        <v/>
      </c>
      <c r="M366" s="570" t="str">
        <f t="shared" si="97"/>
        <v/>
      </c>
      <c r="N366" s="155"/>
      <c r="O366" s="571" t="str">
        <f>IF(I366="","",VLOOKUP(I366,tab!$A$119:$V$159,J366+3,FALSE))</f>
        <v/>
      </c>
      <c r="P366" s="572">
        <f t="shared" si="98"/>
        <v>0</v>
      </c>
      <c r="Q366" s="589">
        <f t="shared" si="106"/>
        <v>0.6</v>
      </c>
      <c r="R366" s="573">
        <f t="shared" si="107"/>
        <v>0</v>
      </c>
      <c r="S366" s="332">
        <f>IF(L366="",0,O366*12*L366*(1+tab!$D$108)*tab!$E$110)</f>
        <v>0</v>
      </c>
      <c r="T366" s="580">
        <f t="shared" si="108"/>
        <v>0</v>
      </c>
      <c r="U366" s="243">
        <f t="shared" si="99"/>
        <v>0</v>
      </c>
      <c r="V366" s="332">
        <f t="shared" si="100"/>
        <v>0</v>
      </c>
      <c r="W366" s="136"/>
      <c r="Z366" s="647" t="e">
        <f t="shared" si="101"/>
        <v>#VALUE!</v>
      </c>
      <c r="AA366" s="647" t="e">
        <f t="shared" si="102"/>
        <v>#VALUE!</v>
      </c>
      <c r="AB366" s="67">
        <f t="shared" si="103"/>
        <v>30</v>
      </c>
      <c r="AC366" s="67">
        <f t="shared" si="104"/>
        <v>30</v>
      </c>
      <c r="AD366" s="84">
        <f t="shared" si="105"/>
        <v>0</v>
      </c>
      <c r="AJ366" s="405"/>
    </row>
    <row r="367" spans="3:36" ht="12.75" customHeight="1">
      <c r="C367" s="131"/>
      <c r="D367" s="169" t="str">
        <f>IF(op!D255=0,"",op!D255)</f>
        <v/>
      </c>
      <c r="E367" s="169" t="str">
        <f>IF(op!E255=0,"",op!E255)</f>
        <v/>
      </c>
      <c r="F367" s="169" t="str">
        <f>IF(op!F255=0,"",op!F255)</f>
        <v/>
      </c>
      <c r="G367" s="170" t="str">
        <f>IF(op!G255="","",op!G255+1)</f>
        <v/>
      </c>
      <c r="H367" s="566" t="str">
        <f>IF(op!H255="","",op!H255)</f>
        <v/>
      </c>
      <c r="I367" s="170" t="str">
        <f>IF(op!I255=0,"",op!I255)</f>
        <v/>
      </c>
      <c r="J367" s="567" t="str">
        <f>IF(E367="","",IF(op!J255&gt;LOOKUP(I367,schaal2011,regels2011),J255-1,IF(op!J255=LOOKUP(I367,schaal2011,regels2011),op!J255,J255+1)))</f>
        <v/>
      </c>
      <c r="K367" s="568" t="str">
        <f>IF(op!K255="","",op!K255)</f>
        <v/>
      </c>
      <c r="L367" s="569" t="str">
        <f>IF(op!L255="","",op!L255)</f>
        <v/>
      </c>
      <c r="M367" s="570" t="str">
        <f t="shared" si="97"/>
        <v/>
      </c>
      <c r="N367" s="155"/>
      <c r="O367" s="571" t="str">
        <f>IF(I367="","",VLOOKUP(I367,tab!$A$119:$V$159,J367+3,FALSE))</f>
        <v/>
      </c>
      <c r="P367" s="572">
        <f t="shared" si="98"/>
        <v>0</v>
      </c>
      <c r="Q367" s="589">
        <f t="shared" si="106"/>
        <v>0.6</v>
      </c>
      <c r="R367" s="573">
        <f t="shared" si="107"/>
        <v>0</v>
      </c>
      <c r="S367" s="332">
        <f>IF(L367="",0,O367*12*L367*(1+tab!$D$108)*tab!$E$110)</f>
        <v>0</v>
      </c>
      <c r="T367" s="580">
        <f t="shared" si="108"/>
        <v>0</v>
      </c>
      <c r="U367" s="243">
        <f t="shared" si="99"/>
        <v>0</v>
      </c>
      <c r="V367" s="332">
        <f t="shared" si="100"/>
        <v>0</v>
      </c>
      <c r="W367" s="136"/>
      <c r="Z367" s="647" t="e">
        <f t="shared" si="101"/>
        <v>#VALUE!</v>
      </c>
      <c r="AA367" s="647" t="e">
        <f t="shared" si="102"/>
        <v>#VALUE!</v>
      </c>
      <c r="AB367" s="67">
        <f t="shared" si="103"/>
        <v>30</v>
      </c>
      <c r="AC367" s="67">
        <f t="shared" si="104"/>
        <v>30</v>
      </c>
      <c r="AD367" s="84">
        <f t="shared" si="105"/>
        <v>0</v>
      </c>
      <c r="AJ367" s="405"/>
    </row>
    <row r="368" spans="3:36" ht="12.75" customHeight="1">
      <c r="C368" s="131"/>
      <c r="D368" s="169" t="str">
        <f>IF(op!D256=0,"",op!D256)</f>
        <v/>
      </c>
      <c r="E368" s="169" t="str">
        <f>IF(op!E256=0,"",op!E256)</f>
        <v/>
      </c>
      <c r="F368" s="169" t="str">
        <f>IF(op!F256=0,"",op!F256)</f>
        <v/>
      </c>
      <c r="G368" s="170" t="str">
        <f>IF(op!G256="","",op!G256+1)</f>
        <v/>
      </c>
      <c r="H368" s="566" t="str">
        <f>IF(op!H256="","",op!H256)</f>
        <v/>
      </c>
      <c r="I368" s="170" t="str">
        <f>IF(op!I256=0,"",op!I256)</f>
        <v/>
      </c>
      <c r="J368" s="567" t="str">
        <f>IF(E368="","",IF(op!J256&gt;LOOKUP(I368,schaal2011,regels2011),J256-1,IF(op!J256=LOOKUP(I368,schaal2011,regels2011),op!J256,J256+1)))</f>
        <v/>
      </c>
      <c r="K368" s="568" t="str">
        <f>IF(op!K256="","",op!K256)</f>
        <v/>
      </c>
      <c r="L368" s="569" t="str">
        <f>IF(op!L256="","",op!L256)</f>
        <v/>
      </c>
      <c r="M368" s="570" t="str">
        <f t="shared" si="97"/>
        <v/>
      </c>
      <c r="N368" s="155"/>
      <c r="O368" s="571" t="str">
        <f>IF(I368="","",VLOOKUP(I368,tab!$A$119:$V$159,J368+3,FALSE))</f>
        <v/>
      </c>
      <c r="P368" s="572">
        <f t="shared" si="98"/>
        <v>0</v>
      </c>
      <c r="Q368" s="589">
        <f t="shared" si="106"/>
        <v>0.6</v>
      </c>
      <c r="R368" s="573">
        <f t="shared" si="107"/>
        <v>0</v>
      </c>
      <c r="S368" s="332">
        <f>IF(L368="",0,O368*12*L368*(1+tab!$D$108)*tab!$E$110)</f>
        <v>0</v>
      </c>
      <c r="T368" s="580">
        <f t="shared" si="108"/>
        <v>0</v>
      </c>
      <c r="U368" s="243">
        <f t="shared" si="99"/>
        <v>0</v>
      </c>
      <c r="V368" s="332">
        <f t="shared" si="100"/>
        <v>0</v>
      </c>
      <c r="W368" s="136"/>
      <c r="Z368" s="647" t="e">
        <f t="shared" si="101"/>
        <v>#VALUE!</v>
      </c>
      <c r="AA368" s="647" t="e">
        <f t="shared" si="102"/>
        <v>#VALUE!</v>
      </c>
      <c r="AB368" s="67">
        <f t="shared" si="103"/>
        <v>30</v>
      </c>
      <c r="AC368" s="67">
        <f t="shared" si="104"/>
        <v>30</v>
      </c>
      <c r="AD368" s="84">
        <f t="shared" si="105"/>
        <v>0</v>
      </c>
      <c r="AJ368" s="405"/>
    </row>
    <row r="369" spans="3:36" ht="12.75" customHeight="1">
      <c r="C369" s="131"/>
      <c r="D369" s="169" t="str">
        <f>IF(op!D257=0,"",op!D257)</f>
        <v/>
      </c>
      <c r="E369" s="169" t="str">
        <f>IF(op!E257=0,"",op!E257)</f>
        <v/>
      </c>
      <c r="F369" s="169" t="str">
        <f>IF(op!F257=0,"",op!F257)</f>
        <v/>
      </c>
      <c r="G369" s="170" t="str">
        <f>IF(op!G257="","",op!G257+1)</f>
        <v/>
      </c>
      <c r="H369" s="566" t="str">
        <f>IF(op!H257="","",op!H257)</f>
        <v/>
      </c>
      <c r="I369" s="170" t="str">
        <f>IF(op!I257=0,"",op!I257)</f>
        <v/>
      </c>
      <c r="J369" s="567" t="str">
        <f>IF(E369="","",IF(op!J257&gt;LOOKUP(I369,schaal2011,regels2011),J257-1,IF(op!J257=LOOKUP(I369,schaal2011,regels2011),op!J257,J257+1)))</f>
        <v/>
      </c>
      <c r="K369" s="568" t="str">
        <f>IF(op!K257="","",op!K257)</f>
        <v/>
      </c>
      <c r="L369" s="569" t="str">
        <f>IF(op!L257="","",op!L257)</f>
        <v/>
      </c>
      <c r="M369" s="570" t="str">
        <f t="shared" si="97"/>
        <v/>
      </c>
      <c r="N369" s="155"/>
      <c r="O369" s="571" t="str">
        <f>IF(I369="","",VLOOKUP(I369,tab!$A$119:$V$159,J369+3,FALSE))</f>
        <v/>
      </c>
      <c r="P369" s="572">
        <f t="shared" si="98"/>
        <v>0</v>
      </c>
      <c r="Q369" s="589">
        <f t="shared" si="106"/>
        <v>0.6</v>
      </c>
      <c r="R369" s="573">
        <f t="shared" si="107"/>
        <v>0</v>
      </c>
      <c r="S369" s="332">
        <f>IF(L369="",0,O369*12*L369*(1+tab!$D$108)*tab!$E$110)</f>
        <v>0</v>
      </c>
      <c r="T369" s="580">
        <f t="shared" si="108"/>
        <v>0</v>
      </c>
      <c r="U369" s="243">
        <f t="shared" si="99"/>
        <v>0</v>
      </c>
      <c r="V369" s="332">
        <f t="shared" si="100"/>
        <v>0</v>
      </c>
      <c r="W369" s="136"/>
      <c r="Z369" s="647" t="e">
        <f t="shared" si="101"/>
        <v>#VALUE!</v>
      </c>
      <c r="AA369" s="647" t="e">
        <f t="shared" si="102"/>
        <v>#VALUE!</v>
      </c>
      <c r="AB369" s="67">
        <f t="shared" si="103"/>
        <v>30</v>
      </c>
      <c r="AC369" s="67">
        <f t="shared" si="104"/>
        <v>30</v>
      </c>
      <c r="AD369" s="84">
        <f t="shared" si="105"/>
        <v>0</v>
      </c>
      <c r="AJ369" s="405"/>
    </row>
    <row r="370" spans="3:36" ht="12.75" customHeight="1">
      <c r="C370" s="131"/>
      <c r="D370" s="169" t="str">
        <f>IF(op!D258=0,"",op!D258)</f>
        <v/>
      </c>
      <c r="E370" s="169" t="str">
        <f>IF(op!E258=0,"",op!E258)</f>
        <v/>
      </c>
      <c r="F370" s="169" t="str">
        <f>IF(op!F258=0,"",op!F258)</f>
        <v/>
      </c>
      <c r="G370" s="170" t="str">
        <f>IF(op!G258="","",op!G258+1)</f>
        <v/>
      </c>
      <c r="H370" s="566" t="str">
        <f>IF(op!H258="","",op!H258)</f>
        <v/>
      </c>
      <c r="I370" s="170" t="str">
        <f>IF(op!I258=0,"",op!I258)</f>
        <v/>
      </c>
      <c r="J370" s="567" t="str">
        <f>IF(E370="","",IF(op!J258&gt;LOOKUP(I370,schaal2011,regels2011),J258-1,IF(op!J258=LOOKUP(I370,schaal2011,regels2011),op!J258,J258+1)))</f>
        <v/>
      </c>
      <c r="K370" s="568" t="str">
        <f>IF(op!K258="","",op!K258)</f>
        <v/>
      </c>
      <c r="L370" s="569" t="str">
        <f>IF(op!L258="","",op!L258)</f>
        <v/>
      </c>
      <c r="M370" s="570" t="str">
        <f t="shared" si="97"/>
        <v/>
      </c>
      <c r="N370" s="155"/>
      <c r="O370" s="571" t="str">
        <f>IF(I370="","",VLOOKUP(I370,tab!$A$119:$V$159,J370+3,FALSE))</f>
        <v/>
      </c>
      <c r="P370" s="572">
        <f t="shared" si="98"/>
        <v>0</v>
      </c>
      <c r="Q370" s="589">
        <f t="shared" si="106"/>
        <v>0.6</v>
      </c>
      <c r="R370" s="573">
        <f t="shared" si="107"/>
        <v>0</v>
      </c>
      <c r="S370" s="332">
        <f>IF(L370="",0,O370*12*L370*(1+tab!$D$108)*tab!$E$110)</f>
        <v>0</v>
      </c>
      <c r="T370" s="580">
        <f t="shared" si="108"/>
        <v>0</v>
      </c>
      <c r="U370" s="243">
        <f t="shared" si="99"/>
        <v>0</v>
      </c>
      <c r="V370" s="332">
        <f t="shared" si="100"/>
        <v>0</v>
      </c>
      <c r="W370" s="136"/>
      <c r="Z370" s="647" t="e">
        <f t="shared" si="101"/>
        <v>#VALUE!</v>
      </c>
      <c r="AA370" s="647" t="e">
        <f t="shared" si="102"/>
        <v>#VALUE!</v>
      </c>
      <c r="AB370" s="67">
        <f t="shared" si="103"/>
        <v>30</v>
      </c>
      <c r="AC370" s="67">
        <f t="shared" si="104"/>
        <v>30</v>
      </c>
      <c r="AD370" s="84">
        <f t="shared" si="105"/>
        <v>0</v>
      </c>
      <c r="AJ370" s="405"/>
    </row>
    <row r="371" spans="3:36" ht="12.75" customHeight="1">
      <c r="C371" s="131"/>
      <c r="D371" s="169" t="str">
        <f>IF(op!D259=0,"",op!D259)</f>
        <v/>
      </c>
      <c r="E371" s="169" t="str">
        <f>IF(op!E259=0,"",op!E259)</f>
        <v/>
      </c>
      <c r="F371" s="169" t="str">
        <f>IF(op!F259=0,"",op!F259)</f>
        <v/>
      </c>
      <c r="G371" s="170" t="str">
        <f>IF(op!G259="","",op!G259+1)</f>
        <v/>
      </c>
      <c r="H371" s="566" t="str">
        <f>IF(op!H259="","",op!H259)</f>
        <v/>
      </c>
      <c r="I371" s="170" t="str">
        <f>IF(op!I259=0,"",op!I259)</f>
        <v/>
      </c>
      <c r="J371" s="567" t="str">
        <f>IF(E371="","",IF(op!J259&gt;LOOKUP(I371,schaal2011,regels2011),J259-1,IF(op!J259=LOOKUP(I371,schaal2011,regels2011),op!J259,J259+1)))</f>
        <v/>
      </c>
      <c r="K371" s="568" t="str">
        <f>IF(op!K259="","",op!K259)</f>
        <v/>
      </c>
      <c r="L371" s="569" t="str">
        <f>IF(op!L259="","",op!L259)</f>
        <v/>
      </c>
      <c r="M371" s="570" t="str">
        <f t="shared" si="97"/>
        <v/>
      </c>
      <c r="N371" s="155"/>
      <c r="O371" s="571" t="str">
        <f>IF(I371="","",VLOOKUP(I371,tab!$A$119:$V$159,J371+3,FALSE))</f>
        <v/>
      </c>
      <c r="P371" s="572">
        <f t="shared" si="98"/>
        <v>0</v>
      </c>
      <c r="Q371" s="589">
        <f t="shared" si="106"/>
        <v>0.6</v>
      </c>
      <c r="R371" s="573">
        <f t="shared" si="107"/>
        <v>0</v>
      </c>
      <c r="S371" s="332">
        <f>IF(L371="",0,O371*12*L371*(1+tab!$D$108)*tab!$E$110)</f>
        <v>0</v>
      </c>
      <c r="T371" s="580">
        <f t="shared" si="108"/>
        <v>0</v>
      </c>
      <c r="U371" s="243">
        <f t="shared" si="99"/>
        <v>0</v>
      </c>
      <c r="V371" s="332">
        <f t="shared" si="100"/>
        <v>0</v>
      </c>
      <c r="W371" s="136"/>
      <c r="Z371" s="647" t="e">
        <f t="shared" si="101"/>
        <v>#VALUE!</v>
      </c>
      <c r="AA371" s="647" t="e">
        <f t="shared" si="102"/>
        <v>#VALUE!</v>
      </c>
      <c r="AB371" s="67">
        <f t="shared" si="103"/>
        <v>30</v>
      </c>
      <c r="AC371" s="67">
        <f t="shared" si="104"/>
        <v>30</v>
      </c>
      <c r="AD371" s="84">
        <f t="shared" si="105"/>
        <v>0</v>
      </c>
      <c r="AJ371" s="405"/>
    </row>
    <row r="372" spans="3:36" ht="12.75" customHeight="1">
      <c r="C372" s="131"/>
      <c r="D372" s="169" t="str">
        <f>IF(op!D260=0,"",op!D260)</f>
        <v/>
      </c>
      <c r="E372" s="169" t="str">
        <f>IF(op!E260=0,"",op!E260)</f>
        <v/>
      </c>
      <c r="F372" s="169" t="str">
        <f>IF(op!F260=0,"",op!F260)</f>
        <v/>
      </c>
      <c r="G372" s="170" t="str">
        <f>IF(op!G260="","",op!G260+1)</f>
        <v/>
      </c>
      <c r="H372" s="566" t="str">
        <f>IF(op!H260="","",op!H260)</f>
        <v/>
      </c>
      <c r="I372" s="170" t="str">
        <f>IF(op!I260=0,"",op!I260)</f>
        <v/>
      </c>
      <c r="J372" s="567" t="str">
        <f>IF(E372="","",IF(op!J260&gt;LOOKUP(I372,schaal2011,regels2011),J260-1,IF(op!J260=LOOKUP(I372,schaal2011,regels2011),op!J260,J260+1)))</f>
        <v/>
      </c>
      <c r="K372" s="568" t="str">
        <f>IF(op!K260="","",op!K260)</f>
        <v/>
      </c>
      <c r="L372" s="569" t="str">
        <f>IF(op!L260="","",op!L260)</f>
        <v/>
      </c>
      <c r="M372" s="570" t="str">
        <f t="shared" si="97"/>
        <v/>
      </c>
      <c r="N372" s="155"/>
      <c r="O372" s="571" t="str">
        <f>IF(I372="","",VLOOKUP(I372,tab!$A$119:$V$159,J372+3,FALSE))</f>
        <v/>
      </c>
      <c r="P372" s="572">
        <f t="shared" si="98"/>
        <v>0</v>
      </c>
      <c r="Q372" s="589">
        <f t="shared" si="106"/>
        <v>0.6</v>
      </c>
      <c r="R372" s="573">
        <f t="shared" si="107"/>
        <v>0</v>
      </c>
      <c r="S372" s="332">
        <f>IF(L372="",0,O372*12*L372*(1+tab!$D$108)*tab!$E$110)</f>
        <v>0</v>
      </c>
      <c r="T372" s="580">
        <f t="shared" si="108"/>
        <v>0</v>
      </c>
      <c r="U372" s="243">
        <f t="shared" si="99"/>
        <v>0</v>
      </c>
      <c r="V372" s="332">
        <f t="shared" si="100"/>
        <v>0</v>
      </c>
      <c r="W372" s="136"/>
      <c r="Z372" s="647" t="e">
        <f t="shared" si="101"/>
        <v>#VALUE!</v>
      </c>
      <c r="AA372" s="647" t="e">
        <f t="shared" si="102"/>
        <v>#VALUE!</v>
      </c>
      <c r="AB372" s="67">
        <f t="shared" si="103"/>
        <v>30</v>
      </c>
      <c r="AC372" s="67">
        <f t="shared" si="104"/>
        <v>30</v>
      </c>
      <c r="AD372" s="84">
        <f t="shared" si="105"/>
        <v>0</v>
      </c>
      <c r="AJ372" s="405"/>
    </row>
    <row r="373" spans="3:36" ht="12.75" customHeight="1">
      <c r="C373" s="131"/>
      <c r="D373" s="169" t="str">
        <f>IF(op!D261=0,"",op!D261)</f>
        <v/>
      </c>
      <c r="E373" s="169" t="str">
        <f>IF(op!E261=0,"",op!E261)</f>
        <v/>
      </c>
      <c r="F373" s="169" t="str">
        <f>IF(op!F261=0,"",op!F261)</f>
        <v/>
      </c>
      <c r="G373" s="170" t="str">
        <f>IF(op!G261="","",op!G261+1)</f>
        <v/>
      </c>
      <c r="H373" s="566" t="str">
        <f>IF(op!H261="","",op!H261)</f>
        <v/>
      </c>
      <c r="I373" s="170" t="str">
        <f>IF(op!I261=0,"",op!I261)</f>
        <v/>
      </c>
      <c r="J373" s="567" t="str">
        <f>IF(E373="","",IF(op!J261&gt;LOOKUP(I373,schaal2011,regels2011),J261-1,IF(op!J261=LOOKUP(I373,schaal2011,regels2011),op!J261,J261+1)))</f>
        <v/>
      </c>
      <c r="K373" s="568" t="str">
        <f>IF(op!K261="","",op!K261)</f>
        <v/>
      </c>
      <c r="L373" s="569" t="str">
        <f>IF(op!L261="","",op!L261)</f>
        <v/>
      </c>
      <c r="M373" s="570" t="str">
        <f t="shared" si="97"/>
        <v/>
      </c>
      <c r="N373" s="155"/>
      <c r="O373" s="571" t="str">
        <f>IF(I373="","",VLOOKUP(I373,tab!$A$119:$V$159,J373+3,FALSE))</f>
        <v/>
      </c>
      <c r="P373" s="572">
        <f t="shared" si="98"/>
        <v>0</v>
      </c>
      <c r="Q373" s="589">
        <f t="shared" si="106"/>
        <v>0.6</v>
      </c>
      <c r="R373" s="573">
        <f t="shared" si="107"/>
        <v>0</v>
      </c>
      <c r="S373" s="332">
        <f>IF(L373="",0,O373*12*L373*(1+tab!$D$108)*tab!$E$110)</f>
        <v>0</v>
      </c>
      <c r="T373" s="580">
        <f t="shared" si="108"/>
        <v>0</v>
      </c>
      <c r="U373" s="243">
        <f t="shared" si="99"/>
        <v>0</v>
      </c>
      <c r="V373" s="332">
        <f t="shared" si="100"/>
        <v>0</v>
      </c>
      <c r="W373" s="136"/>
      <c r="Z373" s="647" t="e">
        <f t="shared" si="101"/>
        <v>#VALUE!</v>
      </c>
      <c r="AA373" s="647" t="e">
        <f t="shared" si="102"/>
        <v>#VALUE!</v>
      </c>
      <c r="AB373" s="67">
        <f t="shared" si="103"/>
        <v>30</v>
      </c>
      <c r="AC373" s="67">
        <f t="shared" si="104"/>
        <v>30</v>
      </c>
      <c r="AD373" s="84">
        <f t="shared" si="105"/>
        <v>0</v>
      </c>
      <c r="AJ373" s="405"/>
    </row>
    <row r="374" spans="3:36" ht="12.75" customHeight="1">
      <c r="C374" s="131"/>
      <c r="D374" s="169" t="str">
        <f>IF(op!D262=0,"",op!D262)</f>
        <v/>
      </c>
      <c r="E374" s="169" t="str">
        <f>IF(op!E262=0,"",op!E262)</f>
        <v/>
      </c>
      <c r="F374" s="169" t="str">
        <f>IF(op!F262=0,"",op!F262)</f>
        <v/>
      </c>
      <c r="G374" s="170" t="str">
        <f>IF(op!G262="","",op!G262+1)</f>
        <v/>
      </c>
      <c r="H374" s="566" t="str">
        <f>IF(op!H262="","",op!H262)</f>
        <v/>
      </c>
      <c r="I374" s="170" t="str">
        <f>IF(op!I262=0,"",op!I262)</f>
        <v/>
      </c>
      <c r="J374" s="567" t="str">
        <f>IF(E374="","",IF(op!J262&gt;LOOKUP(I374,schaal2011,regels2011),J262-1,IF(op!J262=LOOKUP(I374,schaal2011,regels2011),op!J262,J262+1)))</f>
        <v/>
      </c>
      <c r="K374" s="568" t="str">
        <f>IF(op!K262="","",op!K262)</f>
        <v/>
      </c>
      <c r="L374" s="569" t="str">
        <f>IF(op!L262="","",op!L262)</f>
        <v/>
      </c>
      <c r="M374" s="570" t="str">
        <f t="shared" si="97"/>
        <v/>
      </c>
      <c r="N374" s="155"/>
      <c r="O374" s="571" t="str">
        <f>IF(I374="","",VLOOKUP(I374,tab!$A$119:$V$159,J374+3,FALSE))</f>
        <v/>
      </c>
      <c r="P374" s="572">
        <f t="shared" si="98"/>
        <v>0</v>
      </c>
      <c r="Q374" s="589">
        <f t="shared" si="106"/>
        <v>0.6</v>
      </c>
      <c r="R374" s="573">
        <f t="shared" si="107"/>
        <v>0</v>
      </c>
      <c r="S374" s="332">
        <f>IF(L374="",0,O374*12*L374*(1+tab!$D$108)*tab!$E$110)</f>
        <v>0</v>
      </c>
      <c r="T374" s="580">
        <f t="shared" si="108"/>
        <v>0</v>
      </c>
      <c r="U374" s="243">
        <f t="shared" si="99"/>
        <v>0</v>
      </c>
      <c r="V374" s="332">
        <f t="shared" si="100"/>
        <v>0</v>
      </c>
      <c r="W374" s="136"/>
      <c r="Z374" s="647" t="e">
        <f t="shared" si="101"/>
        <v>#VALUE!</v>
      </c>
      <c r="AA374" s="647" t="e">
        <f t="shared" si="102"/>
        <v>#VALUE!</v>
      </c>
      <c r="AB374" s="67">
        <f t="shared" si="103"/>
        <v>30</v>
      </c>
      <c r="AC374" s="67">
        <f t="shared" si="104"/>
        <v>30</v>
      </c>
      <c r="AD374" s="84">
        <f t="shared" si="105"/>
        <v>0</v>
      </c>
      <c r="AJ374" s="405"/>
    </row>
    <row r="375" spans="3:36" ht="12.75" customHeight="1">
      <c r="C375" s="131"/>
      <c r="D375" s="169" t="str">
        <f>IF(op!D263=0,"",op!D263)</f>
        <v/>
      </c>
      <c r="E375" s="169" t="str">
        <f>IF(op!E263=0,"",op!E263)</f>
        <v/>
      </c>
      <c r="F375" s="169" t="str">
        <f>IF(op!F263=0,"",op!F263)</f>
        <v/>
      </c>
      <c r="G375" s="170" t="str">
        <f>IF(op!G263="","",op!G263+1)</f>
        <v/>
      </c>
      <c r="H375" s="566" t="str">
        <f>IF(op!H263="","",op!H263)</f>
        <v/>
      </c>
      <c r="I375" s="170" t="str">
        <f>IF(op!I263=0,"",op!I263)</f>
        <v/>
      </c>
      <c r="J375" s="567" t="str">
        <f>IF(E375="","",IF(op!J263&gt;LOOKUP(I375,schaal2011,regels2011),J263-1,IF(op!J263=LOOKUP(I375,schaal2011,regels2011),op!J263,J263+1)))</f>
        <v/>
      </c>
      <c r="K375" s="568" t="str">
        <f>IF(op!K263="","",op!K263)</f>
        <v/>
      </c>
      <c r="L375" s="569" t="str">
        <f>IF(op!L263="","",op!L263)</f>
        <v/>
      </c>
      <c r="M375" s="570" t="str">
        <f t="shared" si="97"/>
        <v/>
      </c>
      <c r="N375" s="155"/>
      <c r="O375" s="571" t="str">
        <f>IF(I375="","",VLOOKUP(I375,tab!$A$119:$V$159,J375+3,FALSE))</f>
        <v/>
      </c>
      <c r="P375" s="572">
        <f t="shared" si="98"/>
        <v>0</v>
      </c>
      <c r="Q375" s="589">
        <f t="shared" si="106"/>
        <v>0.6</v>
      </c>
      <c r="R375" s="573">
        <f t="shared" si="107"/>
        <v>0</v>
      </c>
      <c r="S375" s="332">
        <f>IF(L375="",0,O375*12*L375*(1+tab!$D$108)*tab!$E$110)</f>
        <v>0</v>
      </c>
      <c r="T375" s="580">
        <f t="shared" si="108"/>
        <v>0</v>
      </c>
      <c r="U375" s="243">
        <f t="shared" si="99"/>
        <v>0</v>
      </c>
      <c r="V375" s="332">
        <f t="shared" si="100"/>
        <v>0</v>
      </c>
      <c r="W375" s="136"/>
      <c r="Z375" s="647" t="e">
        <f t="shared" si="101"/>
        <v>#VALUE!</v>
      </c>
      <c r="AA375" s="647" t="e">
        <f t="shared" si="102"/>
        <v>#VALUE!</v>
      </c>
      <c r="AB375" s="67">
        <f t="shared" si="103"/>
        <v>30</v>
      </c>
      <c r="AC375" s="67">
        <f t="shared" si="104"/>
        <v>30</v>
      </c>
      <c r="AD375" s="84">
        <f t="shared" si="105"/>
        <v>0</v>
      </c>
      <c r="AJ375" s="405"/>
    </row>
    <row r="376" spans="3:36" ht="12.75" customHeight="1">
      <c r="C376" s="131"/>
      <c r="D376" s="169" t="str">
        <f>IF(op!D264=0,"",op!D264)</f>
        <v/>
      </c>
      <c r="E376" s="169" t="str">
        <f>IF(op!E264=0,"",op!E264)</f>
        <v/>
      </c>
      <c r="F376" s="169" t="str">
        <f>IF(op!F264=0,"",op!F264)</f>
        <v/>
      </c>
      <c r="G376" s="170" t="str">
        <f>IF(op!G264="","",op!G264+1)</f>
        <v/>
      </c>
      <c r="H376" s="566" t="str">
        <f>IF(op!H264="","",op!H264)</f>
        <v/>
      </c>
      <c r="I376" s="170" t="str">
        <f>IF(op!I264=0,"",op!I264)</f>
        <v/>
      </c>
      <c r="J376" s="567" t="str">
        <f>IF(E376="","",IF(op!J264&gt;LOOKUP(I376,schaal2011,regels2011),J264-1,IF(op!J264=LOOKUP(I376,schaal2011,regels2011),op!J264,J264+1)))</f>
        <v/>
      </c>
      <c r="K376" s="568" t="str">
        <f>IF(op!K264="","",op!K264)</f>
        <v/>
      </c>
      <c r="L376" s="569" t="str">
        <f>IF(op!L264="","",op!L264)</f>
        <v/>
      </c>
      <c r="M376" s="570" t="str">
        <f t="shared" si="97"/>
        <v/>
      </c>
      <c r="N376" s="155"/>
      <c r="O376" s="571" t="str">
        <f>IF(I376="","",VLOOKUP(I376,tab!$A$119:$V$159,J376+3,FALSE))</f>
        <v/>
      </c>
      <c r="P376" s="572">
        <f t="shared" si="98"/>
        <v>0</v>
      </c>
      <c r="Q376" s="589">
        <f t="shared" si="106"/>
        <v>0.6</v>
      </c>
      <c r="R376" s="573">
        <f t="shared" si="107"/>
        <v>0</v>
      </c>
      <c r="S376" s="332">
        <f>IF(L376="",0,O376*12*L376*(1+tab!$D$108)*tab!$E$110)</f>
        <v>0</v>
      </c>
      <c r="T376" s="580">
        <f t="shared" si="108"/>
        <v>0</v>
      </c>
      <c r="U376" s="243">
        <f t="shared" si="99"/>
        <v>0</v>
      </c>
      <c r="V376" s="332">
        <f t="shared" si="100"/>
        <v>0</v>
      </c>
      <c r="W376" s="136"/>
      <c r="Z376" s="647" t="e">
        <f t="shared" si="101"/>
        <v>#VALUE!</v>
      </c>
      <c r="AA376" s="647" t="e">
        <f t="shared" si="102"/>
        <v>#VALUE!</v>
      </c>
      <c r="AB376" s="67">
        <f t="shared" si="103"/>
        <v>30</v>
      </c>
      <c r="AC376" s="67">
        <f t="shared" si="104"/>
        <v>30</v>
      </c>
      <c r="AD376" s="84">
        <f t="shared" si="105"/>
        <v>0</v>
      </c>
      <c r="AJ376" s="405"/>
    </row>
    <row r="377" spans="3:36" ht="12.75" customHeight="1">
      <c r="C377" s="131"/>
      <c r="D377" s="169" t="str">
        <f>IF(op!D265=0,"",op!D265)</f>
        <v/>
      </c>
      <c r="E377" s="169" t="str">
        <f>IF(op!E265=0,"",op!E265)</f>
        <v/>
      </c>
      <c r="F377" s="169" t="str">
        <f>IF(op!F265=0,"",op!F265)</f>
        <v/>
      </c>
      <c r="G377" s="170" t="str">
        <f>IF(op!G265="","",op!G265+1)</f>
        <v/>
      </c>
      <c r="H377" s="566" t="str">
        <f>IF(op!H265="","",op!H265)</f>
        <v/>
      </c>
      <c r="I377" s="170" t="str">
        <f>IF(op!I265=0,"",op!I265)</f>
        <v/>
      </c>
      <c r="J377" s="567" t="str">
        <f>IF(E377="","",IF(op!J265&gt;LOOKUP(I377,schaal2011,regels2011),J265-1,IF(op!J265=LOOKUP(I377,schaal2011,regels2011),op!J265,J265+1)))</f>
        <v/>
      </c>
      <c r="K377" s="568" t="str">
        <f>IF(op!K265="","",op!K265)</f>
        <v/>
      </c>
      <c r="L377" s="569" t="str">
        <f>IF(op!L265="","",op!L265)</f>
        <v/>
      </c>
      <c r="M377" s="570" t="str">
        <f t="shared" si="97"/>
        <v/>
      </c>
      <c r="N377" s="155"/>
      <c r="O377" s="571" t="str">
        <f>IF(I377="","",VLOOKUP(I377,tab!$A$119:$V$159,J377+3,FALSE))</f>
        <v/>
      </c>
      <c r="P377" s="572">
        <f t="shared" si="98"/>
        <v>0</v>
      </c>
      <c r="Q377" s="589">
        <f t="shared" si="106"/>
        <v>0.6</v>
      </c>
      <c r="R377" s="573">
        <f t="shared" si="107"/>
        <v>0</v>
      </c>
      <c r="S377" s="332">
        <f>IF(L377="",0,O377*12*L377*(1+tab!$D$108)*tab!$E$110)</f>
        <v>0</v>
      </c>
      <c r="T377" s="580">
        <f t="shared" si="108"/>
        <v>0</v>
      </c>
      <c r="U377" s="243">
        <f t="shared" si="99"/>
        <v>0</v>
      </c>
      <c r="V377" s="332">
        <f t="shared" si="100"/>
        <v>0</v>
      </c>
      <c r="W377" s="136"/>
      <c r="Z377" s="647" t="e">
        <f t="shared" si="101"/>
        <v>#VALUE!</v>
      </c>
      <c r="AA377" s="647" t="e">
        <f t="shared" si="102"/>
        <v>#VALUE!</v>
      </c>
      <c r="AB377" s="67">
        <f t="shared" si="103"/>
        <v>30</v>
      </c>
      <c r="AC377" s="67">
        <f t="shared" si="104"/>
        <v>30</v>
      </c>
      <c r="AD377" s="84">
        <f t="shared" si="105"/>
        <v>0</v>
      </c>
      <c r="AJ377" s="405"/>
    </row>
    <row r="378" spans="3:36" ht="12.75" customHeight="1">
      <c r="C378" s="131"/>
      <c r="D378" s="169" t="str">
        <f>IF(op!D266=0,"",op!D266)</f>
        <v/>
      </c>
      <c r="E378" s="169" t="str">
        <f>IF(op!E266=0,"",op!E266)</f>
        <v/>
      </c>
      <c r="F378" s="169" t="str">
        <f>IF(op!F266=0,"",op!F266)</f>
        <v/>
      </c>
      <c r="G378" s="170" t="str">
        <f>IF(op!G266="","",op!G266+1)</f>
        <v/>
      </c>
      <c r="H378" s="566" t="str">
        <f>IF(op!H266="","",op!H266)</f>
        <v/>
      </c>
      <c r="I378" s="170" t="str">
        <f>IF(op!I266=0,"",op!I266)</f>
        <v/>
      </c>
      <c r="J378" s="567" t="str">
        <f>IF(E378="","",IF(op!J266&gt;LOOKUP(I378,schaal2011,regels2011),J266-1,IF(op!J266=LOOKUP(I378,schaal2011,regels2011),op!J266,J266+1)))</f>
        <v/>
      </c>
      <c r="K378" s="568" t="str">
        <f>IF(op!K266="","",op!K266)</f>
        <v/>
      </c>
      <c r="L378" s="569" t="str">
        <f>IF(op!L266="","",op!L266)</f>
        <v/>
      </c>
      <c r="M378" s="570" t="str">
        <f t="shared" si="97"/>
        <v/>
      </c>
      <c r="N378" s="155"/>
      <c r="O378" s="571" t="str">
        <f>IF(I378="","",VLOOKUP(I378,tab!$A$119:$V$159,J378+3,FALSE))</f>
        <v/>
      </c>
      <c r="P378" s="572">
        <f t="shared" si="98"/>
        <v>0</v>
      </c>
      <c r="Q378" s="589">
        <f t="shared" si="106"/>
        <v>0.6</v>
      </c>
      <c r="R378" s="573">
        <f t="shared" si="107"/>
        <v>0</v>
      </c>
      <c r="S378" s="332">
        <f>IF(L378="",0,O378*12*L378*(1+tab!$D$108)*tab!$E$110)</f>
        <v>0</v>
      </c>
      <c r="T378" s="580">
        <f t="shared" si="108"/>
        <v>0</v>
      </c>
      <c r="U378" s="243">
        <f t="shared" si="99"/>
        <v>0</v>
      </c>
      <c r="V378" s="332">
        <f t="shared" si="100"/>
        <v>0</v>
      </c>
      <c r="W378" s="136"/>
      <c r="Z378" s="647" t="e">
        <f t="shared" si="101"/>
        <v>#VALUE!</v>
      </c>
      <c r="AA378" s="647" t="e">
        <f t="shared" si="102"/>
        <v>#VALUE!</v>
      </c>
      <c r="AB378" s="67">
        <f t="shared" si="103"/>
        <v>30</v>
      </c>
      <c r="AC378" s="67">
        <f t="shared" si="104"/>
        <v>30</v>
      </c>
      <c r="AD378" s="84">
        <f t="shared" si="105"/>
        <v>0</v>
      </c>
      <c r="AJ378" s="405"/>
    </row>
    <row r="379" spans="3:36" ht="12.75" customHeight="1">
      <c r="C379" s="131"/>
      <c r="D379" s="169" t="str">
        <f>IF(op!D267=0,"",op!D267)</f>
        <v/>
      </c>
      <c r="E379" s="169" t="str">
        <f>IF(op!E267=0,"",op!E267)</f>
        <v/>
      </c>
      <c r="F379" s="169" t="str">
        <f>IF(op!F267=0,"",op!F267)</f>
        <v/>
      </c>
      <c r="G379" s="170" t="str">
        <f>IF(op!G267="","",op!G267+1)</f>
        <v/>
      </c>
      <c r="H379" s="566" t="str">
        <f>IF(op!H267="","",op!H267)</f>
        <v/>
      </c>
      <c r="I379" s="170" t="str">
        <f>IF(op!I267=0,"",op!I267)</f>
        <v/>
      </c>
      <c r="J379" s="567" t="str">
        <f>IF(E379="","",IF(op!J267&gt;LOOKUP(I379,schaal2011,regels2011),J267-1,IF(op!J267=LOOKUP(I379,schaal2011,regels2011),op!J267,J267+1)))</f>
        <v/>
      </c>
      <c r="K379" s="568" t="str">
        <f>IF(op!K267="","",op!K267)</f>
        <v/>
      </c>
      <c r="L379" s="569" t="str">
        <f>IF(op!L267="","",op!L267)</f>
        <v/>
      </c>
      <c r="M379" s="570" t="str">
        <f t="shared" si="97"/>
        <v/>
      </c>
      <c r="N379" s="155"/>
      <c r="O379" s="571" t="str">
        <f>IF(I379="","",VLOOKUP(I379,tab!$A$119:$V$159,J379+3,FALSE))</f>
        <v/>
      </c>
      <c r="P379" s="572">
        <f t="shared" si="98"/>
        <v>0</v>
      </c>
      <c r="Q379" s="589">
        <f t="shared" si="106"/>
        <v>0.6</v>
      </c>
      <c r="R379" s="573">
        <f t="shared" si="107"/>
        <v>0</v>
      </c>
      <c r="S379" s="332">
        <f>IF(L379="",0,O379*12*L379*(1+tab!$D$108)*tab!$E$110)</f>
        <v>0</v>
      </c>
      <c r="T379" s="580">
        <f t="shared" si="108"/>
        <v>0</v>
      </c>
      <c r="U379" s="243">
        <f t="shared" si="99"/>
        <v>0</v>
      </c>
      <c r="V379" s="332">
        <f t="shared" si="100"/>
        <v>0</v>
      </c>
      <c r="W379" s="136"/>
      <c r="Z379" s="647" t="e">
        <f t="shared" si="101"/>
        <v>#VALUE!</v>
      </c>
      <c r="AA379" s="647" t="e">
        <f t="shared" si="102"/>
        <v>#VALUE!</v>
      </c>
      <c r="AB379" s="67">
        <f t="shared" si="103"/>
        <v>30</v>
      </c>
      <c r="AC379" s="67">
        <f t="shared" si="104"/>
        <v>30</v>
      </c>
      <c r="AD379" s="84">
        <f t="shared" si="105"/>
        <v>0</v>
      </c>
      <c r="AJ379" s="405"/>
    </row>
    <row r="380" spans="3:36" ht="12.75" customHeight="1">
      <c r="C380" s="131"/>
      <c r="D380" s="169" t="str">
        <f>IF(op!D268=0,"",op!D268)</f>
        <v/>
      </c>
      <c r="E380" s="169" t="str">
        <f>IF(op!E268=0,"",op!E268)</f>
        <v/>
      </c>
      <c r="F380" s="169" t="str">
        <f>IF(op!F268=0,"",op!F268)</f>
        <v/>
      </c>
      <c r="G380" s="170" t="str">
        <f>IF(op!G268="","",op!G268+1)</f>
        <v/>
      </c>
      <c r="H380" s="566" t="str">
        <f>IF(op!H268="","",op!H268)</f>
        <v/>
      </c>
      <c r="I380" s="170" t="str">
        <f>IF(op!I268=0,"",op!I268)</f>
        <v/>
      </c>
      <c r="J380" s="567" t="str">
        <f>IF(E380="","",IF(op!J268&gt;LOOKUP(I380,schaal2011,regels2011),J268-1,IF(op!J268=LOOKUP(I380,schaal2011,regels2011),op!J268,J268+1)))</f>
        <v/>
      </c>
      <c r="K380" s="568" t="str">
        <f>IF(op!K268="","",op!K268)</f>
        <v/>
      </c>
      <c r="L380" s="569" t="str">
        <f>IF(op!L268="","",op!L268)</f>
        <v/>
      </c>
      <c r="M380" s="570" t="str">
        <f t="shared" si="97"/>
        <v/>
      </c>
      <c r="N380" s="155"/>
      <c r="O380" s="571" t="str">
        <f>IF(I380="","",VLOOKUP(I380,tab!$A$119:$V$159,J380+3,FALSE))</f>
        <v/>
      </c>
      <c r="P380" s="572">
        <f t="shared" si="98"/>
        <v>0</v>
      </c>
      <c r="Q380" s="589">
        <f t="shared" si="106"/>
        <v>0.6</v>
      </c>
      <c r="R380" s="573">
        <f t="shared" si="107"/>
        <v>0</v>
      </c>
      <c r="S380" s="332">
        <f>IF(L380="",0,O380*12*L380*(1+tab!$D$108)*tab!$E$110)</f>
        <v>0</v>
      </c>
      <c r="T380" s="580">
        <f t="shared" si="108"/>
        <v>0</v>
      </c>
      <c r="U380" s="243">
        <f t="shared" si="99"/>
        <v>0</v>
      </c>
      <c r="V380" s="332">
        <f t="shared" si="100"/>
        <v>0</v>
      </c>
      <c r="W380" s="136"/>
      <c r="Z380" s="647" t="e">
        <f t="shared" si="101"/>
        <v>#VALUE!</v>
      </c>
      <c r="AA380" s="647" t="e">
        <f t="shared" si="102"/>
        <v>#VALUE!</v>
      </c>
      <c r="AB380" s="67">
        <f t="shared" si="103"/>
        <v>30</v>
      </c>
      <c r="AC380" s="67">
        <f t="shared" si="104"/>
        <v>30</v>
      </c>
      <c r="AD380" s="84">
        <f t="shared" si="105"/>
        <v>0</v>
      </c>
      <c r="AJ380" s="405"/>
    </row>
    <row r="381" spans="3:36" ht="12.75" customHeight="1">
      <c r="C381" s="131"/>
      <c r="D381" s="169" t="str">
        <f>IF(op!D269=0,"",op!D269)</f>
        <v/>
      </c>
      <c r="E381" s="169" t="str">
        <f>IF(op!E269=0,"",op!E269)</f>
        <v/>
      </c>
      <c r="F381" s="169" t="str">
        <f>IF(op!F269=0,"",op!F269)</f>
        <v/>
      </c>
      <c r="G381" s="170" t="str">
        <f>IF(op!G269="","",op!G269+1)</f>
        <v/>
      </c>
      <c r="H381" s="566" t="str">
        <f>IF(op!H269="","",op!H269)</f>
        <v/>
      </c>
      <c r="I381" s="170" t="str">
        <f>IF(op!I269=0,"",op!I269)</f>
        <v/>
      </c>
      <c r="J381" s="567" t="str">
        <f>IF(E381="","",IF(op!J269&gt;LOOKUP(I381,schaal2011,regels2011),J269-1,IF(op!J269=LOOKUP(I381,schaal2011,regels2011),op!J269,J269+1)))</f>
        <v/>
      </c>
      <c r="K381" s="568" t="str">
        <f>IF(op!K269="","",op!K269)</f>
        <v/>
      </c>
      <c r="L381" s="569" t="str">
        <f>IF(op!L269="","",op!L269)</f>
        <v/>
      </c>
      <c r="M381" s="570" t="str">
        <f t="shared" si="97"/>
        <v/>
      </c>
      <c r="N381" s="155"/>
      <c r="O381" s="571" t="str">
        <f>IF(I381="","",VLOOKUP(I381,tab!$A$119:$V$159,J381+3,FALSE))</f>
        <v/>
      </c>
      <c r="P381" s="572">
        <f t="shared" si="98"/>
        <v>0</v>
      </c>
      <c r="Q381" s="589">
        <f t="shared" si="106"/>
        <v>0.6</v>
      </c>
      <c r="R381" s="573">
        <f t="shared" si="107"/>
        <v>0</v>
      </c>
      <c r="S381" s="332">
        <f>IF(L381="",0,O381*12*L381*(1+tab!$D$108)*tab!$E$110)</f>
        <v>0</v>
      </c>
      <c r="T381" s="580">
        <f t="shared" si="108"/>
        <v>0</v>
      </c>
      <c r="U381" s="243">
        <f t="shared" si="99"/>
        <v>0</v>
      </c>
      <c r="V381" s="332">
        <f t="shared" si="100"/>
        <v>0</v>
      </c>
      <c r="W381" s="136"/>
      <c r="Z381" s="647" t="e">
        <f t="shared" si="101"/>
        <v>#VALUE!</v>
      </c>
      <c r="AA381" s="647" t="e">
        <f t="shared" si="102"/>
        <v>#VALUE!</v>
      </c>
      <c r="AB381" s="67">
        <f t="shared" si="103"/>
        <v>30</v>
      </c>
      <c r="AC381" s="67">
        <f t="shared" si="104"/>
        <v>30</v>
      </c>
      <c r="AD381" s="84">
        <f t="shared" si="105"/>
        <v>0</v>
      </c>
      <c r="AJ381" s="405"/>
    </row>
    <row r="382" spans="3:36" ht="12.75" customHeight="1">
      <c r="C382" s="131"/>
      <c r="D382" s="169" t="str">
        <f>IF(op!D270=0,"",op!D270)</f>
        <v/>
      </c>
      <c r="E382" s="169" t="str">
        <f>IF(op!E270=0,"",op!E270)</f>
        <v/>
      </c>
      <c r="F382" s="169" t="str">
        <f>IF(op!F270=0,"",op!F270)</f>
        <v/>
      </c>
      <c r="G382" s="170" t="str">
        <f>IF(op!G270="","",op!G270+1)</f>
        <v/>
      </c>
      <c r="H382" s="566" t="str">
        <f>IF(op!H270="","",op!H270)</f>
        <v/>
      </c>
      <c r="I382" s="170" t="str">
        <f>IF(op!I270=0,"",op!I270)</f>
        <v/>
      </c>
      <c r="J382" s="567" t="str">
        <f>IF(E382="","",IF(op!J270&gt;LOOKUP(I382,schaal2011,regels2011),J270-1,IF(op!J270=LOOKUP(I382,schaal2011,regels2011),op!J270,J270+1)))</f>
        <v/>
      </c>
      <c r="K382" s="568" t="str">
        <f>IF(op!K270="","",op!K270)</f>
        <v/>
      </c>
      <c r="L382" s="569" t="str">
        <f>IF(op!L270="","",op!L270)</f>
        <v/>
      </c>
      <c r="M382" s="570" t="str">
        <f t="shared" si="97"/>
        <v/>
      </c>
      <c r="N382" s="155"/>
      <c r="O382" s="571" t="str">
        <f>IF(I382="","",VLOOKUP(I382,tab!$A$119:$V$159,J382+3,FALSE))</f>
        <v/>
      </c>
      <c r="P382" s="572">
        <f t="shared" si="98"/>
        <v>0</v>
      </c>
      <c r="Q382" s="589">
        <f t="shared" si="106"/>
        <v>0.6</v>
      </c>
      <c r="R382" s="573">
        <f t="shared" si="107"/>
        <v>0</v>
      </c>
      <c r="S382" s="332">
        <f>IF(L382="",0,O382*12*L382*(1+tab!$D$108)*tab!$E$110)</f>
        <v>0</v>
      </c>
      <c r="T382" s="580">
        <f t="shared" si="108"/>
        <v>0</v>
      </c>
      <c r="U382" s="243">
        <f t="shared" si="99"/>
        <v>0</v>
      </c>
      <c r="V382" s="332">
        <f t="shared" si="100"/>
        <v>0</v>
      </c>
      <c r="W382" s="136"/>
      <c r="Z382" s="647" t="e">
        <f t="shared" si="101"/>
        <v>#VALUE!</v>
      </c>
      <c r="AA382" s="647" t="e">
        <f t="shared" si="102"/>
        <v>#VALUE!</v>
      </c>
      <c r="AB382" s="67">
        <f t="shared" si="103"/>
        <v>30</v>
      </c>
      <c r="AC382" s="67">
        <f t="shared" si="104"/>
        <v>30</v>
      </c>
      <c r="AD382" s="84">
        <f t="shared" si="105"/>
        <v>0</v>
      </c>
      <c r="AJ382" s="405"/>
    </row>
    <row r="383" spans="3:36" ht="12.75" customHeight="1">
      <c r="C383" s="131"/>
      <c r="D383" s="169" t="str">
        <f>IF(op!D271=0,"",op!D271)</f>
        <v/>
      </c>
      <c r="E383" s="169" t="str">
        <f>IF(op!E271=0,"",op!E271)</f>
        <v/>
      </c>
      <c r="F383" s="169" t="str">
        <f>IF(op!F271=0,"",op!F271)</f>
        <v/>
      </c>
      <c r="G383" s="170" t="str">
        <f>IF(op!G271="","",op!G271+1)</f>
        <v/>
      </c>
      <c r="H383" s="566" t="str">
        <f>IF(op!H271="","",op!H271)</f>
        <v/>
      </c>
      <c r="I383" s="170" t="str">
        <f>IF(op!I271=0,"",op!I271)</f>
        <v/>
      </c>
      <c r="J383" s="567" t="str">
        <f>IF(E383="","",IF(op!J271&gt;LOOKUP(I383,schaal2011,regels2011),J271-1,IF(op!J271=LOOKUP(I383,schaal2011,regels2011),op!J271,J271+1)))</f>
        <v/>
      </c>
      <c r="K383" s="568" t="str">
        <f>IF(op!K271="","",op!K271)</f>
        <v/>
      </c>
      <c r="L383" s="569" t="str">
        <f>IF(op!L271="","",op!L271)</f>
        <v/>
      </c>
      <c r="M383" s="570" t="str">
        <f t="shared" si="97"/>
        <v/>
      </c>
      <c r="N383" s="155"/>
      <c r="O383" s="571" t="str">
        <f>IF(I383="","",VLOOKUP(I383,tab!$A$119:$V$159,J383+3,FALSE))</f>
        <v/>
      </c>
      <c r="P383" s="572">
        <f t="shared" si="98"/>
        <v>0</v>
      </c>
      <c r="Q383" s="589">
        <f t="shared" si="106"/>
        <v>0.6</v>
      </c>
      <c r="R383" s="573">
        <f t="shared" si="107"/>
        <v>0</v>
      </c>
      <c r="S383" s="332">
        <f>IF(L383="",0,O383*12*L383*(1+tab!$D$108)*tab!$E$110)</f>
        <v>0</v>
      </c>
      <c r="T383" s="580">
        <f t="shared" si="108"/>
        <v>0</v>
      </c>
      <c r="U383" s="243">
        <f t="shared" si="99"/>
        <v>0</v>
      </c>
      <c r="V383" s="332">
        <f t="shared" si="100"/>
        <v>0</v>
      </c>
      <c r="W383" s="136"/>
      <c r="Z383" s="647" t="e">
        <f t="shared" si="101"/>
        <v>#VALUE!</v>
      </c>
      <c r="AA383" s="647" t="e">
        <f t="shared" si="102"/>
        <v>#VALUE!</v>
      </c>
      <c r="AB383" s="67">
        <f t="shared" si="103"/>
        <v>30</v>
      </c>
      <c r="AC383" s="67">
        <f t="shared" si="104"/>
        <v>30</v>
      </c>
      <c r="AD383" s="84">
        <f t="shared" si="105"/>
        <v>0</v>
      </c>
      <c r="AJ383" s="405"/>
    </row>
    <row r="384" spans="3:36" ht="12.75" customHeight="1">
      <c r="C384" s="131"/>
      <c r="D384" s="169" t="str">
        <f>IF(op!D272=0,"",op!D272)</f>
        <v/>
      </c>
      <c r="E384" s="169" t="str">
        <f>IF(op!E272=0,"",op!E272)</f>
        <v/>
      </c>
      <c r="F384" s="169" t="str">
        <f>IF(op!F272=0,"",op!F272)</f>
        <v/>
      </c>
      <c r="G384" s="170" t="str">
        <f>IF(op!G272="","",op!G272+1)</f>
        <v/>
      </c>
      <c r="H384" s="566" t="str">
        <f>IF(op!H272="","",op!H272)</f>
        <v/>
      </c>
      <c r="I384" s="170" t="str">
        <f>IF(op!I272=0,"",op!I272)</f>
        <v/>
      </c>
      <c r="J384" s="567" t="str">
        <f>IF(E384="","",IF(op!J272&gt;LOOKUP(I384,schaal2011,regels2011),J272-1,IF(op!J272=LOOKUP(I384,schaal2011,regels2011),op!J272,J272+1)))</f>
        <v/>
      </c>
      <c r="K384" s="568" t="str">
        <f>IF(op!K272="","",op!K272)</f>
        <v/>
      </c>
      <c r="L384" s="569" t="str">
        <f>IF(op!L272="","",op!L272)</f>
        <v/>
      </c>
      <c r="M384" s="570" t="str">
        <f t="shared" ref="M384:M401" si="109">(IF(L384="",(K384),(K384)-L384))</f>
        <v/>
      </c>
      <c r="N384" s="155"/>
      <c r="O384" s="571" t="str">
        <f>IF(I384="","",VLOOKUP(I384,tab!$A$119:$V$159,J384+3,FALSE))</f>
        <v/>
      </c>
      <c r="P384" s="572">
        <f t="shared" ref="P384:P415" si="110">IF(E384="",0,(O384*M384*12))</f>
        <v>0</v>
      </c>
      <c r="Q384" s="589">
        <f t="shared" si="106"/>
        <v>0.6</v>
      </c>
      <c r="R384" s="573">
        <f t="shared" si="107"/>
        <v>0</v>
      </c>
      <c r="S384" s="332">
        <f>IF(L384="",0,O384*12*L384*(1+tab!$D$108)*tab!$E$110)</f>
        <v>0</v>
      </c>
      <c r="T384" s="580">
        <f t="shared" si="108"/>
        <v>0</v>
      </c>
      <c r="U384" s="243">
        <f t="shared" si="99"/>
        <v>0</v>
      </c>
      <c r="V384" s="332">
        <f t="shared" ref="V384:V415" si="111">IF(U384=25,(O384*1.08*(K384)/2),IF(U384=40,(O384*1.08*(K384)),IF(U384=0,0)))</f>
        <v>0</v>
      </c>
      <c r="W384" s="136"/>
      <c r="Z384" s="647" t="e">
        <f t="shared" ref="Z384:Z415" si="112">DATE(YEAR($E$345),MONTH(H384),DAY(H384))&gt;$E$345</f>
        <v>#VALUE!</v>
      </c>
      <c r="AA384" s="647" t="e">
        <f t="shared" ref="AA384:AA415" si="113">YEAR($E$345)-YEAR(H384)-Z384</f>
        <v>#VALUE!</v>
      </c>
      <c r="AB384" s="67">
        <f t="shared" ref="AB384:AB415" si="114">IF((H384=""),30,AA384)</f>
        <v>30</v>
      </c>
      <c r="AC384" s="67">
        <f t="shared" ref="AC384:AC451" si="115">IF((AB384)&gt;50,50,(AB384))</f>
        <v>30</v>
      </c>
      <c r="AD384" s="84">
        <f t="shared" ref="AD384:AD415" si="116">(AC384*(SUM(K384:K384)))</f>
        <v>0</v>
      </c>
      <c r="AJ384" s="405"/>
    </row>
    <row r="385" spans="3:36" ht="12.75" customHeight="1">
      <c r="C385" s="131"/>
      <c r="D385" s="169" t="str">
        <f>IF(op!D273=0,"",op!D273)</f>
        <v/>
      </c>
      <c r="E385" s="169" t="str">
        <f>IF(op!E273=0,"",op!E273)</f>
        <v/>
      </c>
      <c r="F385" s="169" t="str">
        <f>IF(op!F273=0,"",op!F273)</f>
        <v/>
      </c>
      <c r="G385" s="170" t="str">
        <f>IF(op!G273="","",op!G273+1)</f>
        <v/>
      </c>
      <c r="H385" s="566" t="str">
        <f>IF(op!H273="","",op!H273)</f>
        <v/>
      </c>
      <c r="I385" s="170" t="str">
        <f>IF(op!I273=0,"",op!I273)</f>
        <v/>
      </c>
      <c r="J385" s="567" t="str">
        <f>IF(E385="","",IF(op!J273&gt;LOOKUP(I385,schaal2011,regels2011),J273-1,IF(op!J273=LOOKUP(I385,schaal2011,regels2011),op!J273,J273+1)))</f>
        <v/>
      </c>
      <c r="K385" s="568" t="str">
        <f>IF(op!K273="","",op!K273)</f>
        <v/>
      </c>
      <c r="L385" s="569" t="str">
        <f>IF(op!L273="","",op!L273)</f>
        <v/>
      </c>
      <c r="M385" s="570" t="str">
        <f t="shared" si="109"/>
        <v/>
      </c>
      <c r="N385" s="155"/>
      <c r="O385" s="571" t="str">
        <f>IF(I385="","",VLOOKUP(I385,tab!$A$119:$V$159,J385+3,FALSE))</f>
        <v/>
      </c>
      <c r="P385" s="572">
        <f t="shared" si="110"/>
        <v>0</v>
      </c>
      <c r="Q385" s="589">
        <f t="shared" si="106"/>
        <v>0.6</v>
      </c>
      <c r="R385" s="573">
        <f t="shared" si="107"/>
        <v>0</v>
      </c>
      <c r="S385" s="332">
        <f>IF(L385="",0,O385*12*L385*(1+tab!$D$108)*tab!$E$110)</f>
        <v>0</v>
      </c>
      <c r="T385" s="580">
        <f t="shared" si="108"/>
        <v>0</v>
      </c>
      <c r="U385" s="243">
        <f t="shared" si="99"/>
        <v>0</v>
      </c>
      <c r="V385" s="332">
        <f t="shared" si="111"/>
        <v>0</v>
      </c>
      <c r="W385" s="136"/>
      <c r="Z385" s="647" t="e">
        <f t="shared" si="112"/>
        <v>#VALUE!</v>
      </c>
      <c r="AA385" s="647" t="e">
        <f t="shared" si="113"/>
        <v>#VALUE!</v>
      </c>
      <c r="AB385" s="67">
        <f t="shared" si="114"/>
        <v>30</v>
      </c>
      <c r="AC385" s="67">
        <f t="shared" si="115"/>
        <v>30</v>
      </c>
      <c r="AD385" s="84">
        <f t="shared" si="116"/>
        <v>0</v>
      </c>
      <c r="AJ385" s="405"/>
    </row>
    <row r="386" spans="3:36" ht="12.75" customHeight="1">
      <c r="C386" s="131"/>
      <c r="D386" s="169" t="str">
        <f>IF(op!D274=0,"",op!D274)</f>
        <v/>
      </c>
      <c r="E386" s="169" t="str">
        <f>IF(op!E274=0,"",op!E274)</f>
        <v/>
      </c>
      <c r="F386" s="169" t="str">
        <f>IF(op!F274=0,"",op!F274)</f>
        <v/>
      </c>
      <c r="G386" s="170" t="str">
        <f>IF(op!G274="","",op!G274+1)</f>
        <v/>
      </c>
      <c r="H386" s="566" t="str">
        <f>IF(op!H274="","",op!H274)</f>
        <v/>
      </c>
      <c r="I386" s="170" t="str">
        <f>IF(op!I274=0,"",op!I274)</f>
        <v/>
      </c>
      <c r="J386" s="567" t="str">
        <f>IF(E386="","",IF(op!J274&gt;LOOKUP(I386,schaal2011,regels2011),J274-1,IF(op!J274=LOOKUP(I386,schaal2011,regels2011),op!J274,J274+1)))</f>
        <v/>
      </c>
      <c r="K386" s="568" t="str">
        <f>IF(op!K274="","",op!K274)</f>
        <v/>
      </c>
      <c r="L386" s="569" t="str">
        <f>IF(op!L274="","",op!L274)</f>
        <v/>
      </c>
      <c r="M386" s="570" t="str">
        <f t="shared" si="109"/>
        <v/>
      </c>
      <c r="N386" s="155"/>
      <c r="O386" s="571" t="str">
        <f>IF(I386="","",VLOOKUP(I386,tab!$A$119:$V$159,J386+3,FALSE))</f>
        <v/>
      </c>
      <c r="P386" s="572">
        <f t="shared" si="110"/>
        <v>0</v>
      </c>
      <c r="Q386" s="589">
        <f t="shared" si="106"/>
        <v>0.6</v>
      </c>
      <c r="R386" s="573">
        <f t="shared" si="107"/>
        <v>0</v>
      </c>
      <c r="S386" s="332">
        <f>IF(L386="",0,O386*12*L386*(1+tab!$D$108)*tab!$E$110)</f>
        <v>0</v>
      </c>
      <c r="T386" s="580">
        <f t="shared" si="108"/>
        <v>0</v>
      </c>
      <c r="U386" s="243">
        <f t="shared" si="99"/>
        <v>0</v>
      </c>
      <c r="V386" s="332">
        <f t="shared" si="111"/>
        <v>0</v>
      </c>
      <c r="W386" s="136"/>
      <c r="Z386" s="647" t="e">
        <f t="shared" si="112"/>
        <v>#VALUE!</v>
      </c>
      <c r="AA386" s="647" t="e">
        <f t="shared" si="113"/>
        <v>#VALUE!</v>
      </c>
      <c r="AB386" s="67">
        <f t="shared" si="114"/>
        <v>30</v>
      </c>
      <c r="AC386" s="67">
        <f t="shared" si="115"/>
        <v>30</v>
      </c>
      <c r="AD386" s="84">
        <f t="shared" si="116"/>
        <v>0</v>
      </c>
      <c r="AJ386" s="405"/>
    </row>
    <row r="387" spans="3:36" ht="12.75" customHeight="1">
      <c r="C387" s="131"/>
      <c r="D387" s="169" t="str">
        <f>IF(op!D275=0,"",op!D275)</f>
        <v/>
      </c>
      <c r="E387" s="169" t="str">
        <f>IF(op!E275=0,"",op!E275)</f>
        <v/>
      </c>
      <c r="F387" s="169" t="str">
        <f>IF(op!F275=0,"",op!F275)</f>
        <v/>
      </c>
      <c r="G387" s="170" t="str">
        <f>IF(op!G275="","",op!G275+1)</f>
        <v/>
      </c>
      <c r="H387" s="566" t="str">
        <f>IF(op!H275="","",op!H275)</f>
        <v/>
      </c>
      <c r="I387" s="170" t="str">
        <f>IF(op!I275=0,"",op!I275)</f>
        <v/>
      </c>
      <c r="J387" s="567" t="str">
        <f>IF(E387="","",IF(op!J275&gt;LOOKUP(I387,schaal2011,regels2011),J275-1,IF(op!J275=LOOKUP(I387,schaal2011,regels2011),op!J275,J275+1)))</f>
        <v/>
      </c>
      <c r="K387" s="568" t="str">
        <f>IF(op!K275="","",op!K275)</f>
        <v/>
      </c>
      <c r="L387" s="569" t="str">
        <f>IF(op!L275="","",op!L275)</f>
        <v/>
      </c>
      <c r="M387" s="570" t="str">
        <f t="shared" si="109"/>
        <v/>
      </c>
      <c r="N387" s="155"/>
      <c r="O387" s="571" t="str">
        <f>IF(I387="","",VLOOKUP(I387,tab!$A$119:$V$159,J387+3,FALSE))</f>
        <v/>
      </c>
      <c r="P387" s="572">
        <f t="shared" si="110"/>
        <v>0</v>
      </c>
      <c r="Q387" s="589">
        <f t="shared" si="106"/>
        <v>0.6</v>
      </c>
      <c r="R387" s="573">
        <f t="shared" si="107"/>
        <v>0</v>
      </c>
      <c r="S387" s="332">
        <f>IF(L387="",0,O387*12*L387*(1+tab!$D$108)*tab!$E$110)</f>
        <v>0</v>
      </c>
      <c r="T387" s="580">
        <f t="shared" si="108"/>
        <v>0</v>
      </c>
      <c r="U387" s="243">
        <f t="shared" si="99"/>
        <v>0</v>
      </c>
      <c r="V387" s="332">
        <f t="shared" si="111"/>
        <v>0</v>
      </c>
      <c r="W387" s="136"/>
      <c r="Z387" s="647" t="e">
        <f t="shared" si="112"/>
        <v>#VALUE!</v>
      </c>
      <c r="AA387" s="647" t="e">
        <f t="shared" si="113"/>
        <v>#VALUE!</v>
      </c>
      <c r="AB387" s="67">
        <f t="shared" si="114"/>
        <v>30</v>
      </c>
      <c r="AC387" s="67">
        <f t="shared" si="115"/>
        <v>30</v>
      </c>
      <c r="AD387" s="84">
        <f t="shared" si="116"/>
        <v>0</v>
      </c>
      <c r="AJ387" s="405"/>
    </row>
    <row r="388" spans="3:36" ht="12.75" customHeight="1">
      <c r="C388" s="131"/>
      <c r="D388" s="169" t="str">
        <f>IF(op!D276=0,"",op!D276)</f>
        <v/>
      </c>
      <c r="E388" s="169" t="str">
        <f>IF(op!E276=0,"",op!E276)</f>
        <v/>
      </c>
      <c r="F388" s="169" t="str">
        <f>IF(op!F276=0,"",op!F276)</f>
        <v/>
      </c>
      <c r="G388" s="170" t="str">
        <f>IF(op!G276="","",op!G276+1)</f>
        <v/>
      </c>
      <c r="H388" s="566" t="str">
        <f>IF(op!H276="","",op!H276)</f>
        <v/>
      </c>
      <c r="I388" s="170" t="str">
        <f>IF(op!I276=0,"",op!I276)</f>
        <v/>
      </c>
      <c r="J388" s="567" t="str">
        <f>IF(E388="","",IF(op!J276&gt;LOOKUP(I388,schaal2011,regels2011),J276-1,IF(op!J276=LOOKUP(I388,schaal2011,regels2011),op!J276,J276+1)))</f>
        <v/>
      </c>
      <c r="K388" s="568" t="str">
        <f>IF(op!K276="","",op!K276)</f>
        <v/>
      </c>
      <c r="L388" s="569" t="str">
        <f>IF(op!L276="","",op!L276)</f>
        <v/>
      </c>
      <c r="M388" s="570" t="str">
        <f t="shared" si="109"/>
        <v/>
      </c>
      <c r="N388" s="155"/>
      <c r="O388" s="571" t="str">
        <f>IF(I388="","",VLOOKUP(I388,tab!$A$119:$V$159,J388+3,FALSE))</f>
        <v/>
      </c>
      <c r="P388" s="572">
        <f t="shared" si="110"/>
        <v>0</v>
      </c>
      <c r="Q388" s="589">
        <f t="shared" si="106"/>
        <v>0.6</v>
      </c>
      <c r="R388" s="573">
        <f t="shared" si="107"/>
        <v>0</v>
      </c>
      <c r="S388" s="332">
        <f>IF(L388="",0,O388*12*L388*(1+tab!$D$108)*tab!$E$110)</f>
        <v>0</v>
      </c>
      <c r="T388" s="580">
        <f t="shared" si="108"/>
        <v>0</v>
      </c>
      <c r="U388" s="243">
        <f t="shared" si="99"/>
        <v>0</v>
      </c>
      <c r="V388" s="332">
        <f t="shared" si="111"/>
        <v>0</v>
      </c>
      <c r="W388" s="136"/>
      <c r="Z388" s="647" t="e">
        <f t="shared" si="112"/>
        <v>#VALUE!</v>
      </c>
      <c r="AA388" s="647" t="e">
        <f t="shared" si="113"/>
        <v>#VALUE!</v>
      </c>
      <c r="AB388" s="67">
        <f t="shared" si="114"/>
        <v>30</v>
      </c>
      <c r="AC388" s="67">
        <f t="shared" si="115"/>
        <v>30</v>
      </c>
      <c r="AD388" s="84">
        <f t="shared" si="116"/>
        <v>0</v>
      </c>
      <c r="AJ388" s="405"/>
    </row>
    <row r="389" spans="3:36" ht="12.75" customHeight="1">
      <c r="C389" s="131"/>
      <c r="D389" s="169" t="str">
        <f>IF(op!D277=0,"",op!D277)</f>
        <v/>
      </c>
      <c r="E389" s="169" t="str">
        <f>IF(op!E277=0,"",op!E277)</f>
        <v/>
      </c>
      <c r="F389" s="169" t="str">
        <f>IF(op!F277=0,"",op!F277)</f>
        <v/>
      </c>
      <c r="G389" s="170" t="str">
        <f>IF(op!G277="","",op!G277+1)</f>
        <v/>
      </c>
      <c r="H389" s="566" t="str">
        <f>IF(op!H277="","",op!H277)</f>
        <v/>
      </c>
      <c r="I389" s="170" t="str">
        <f>IF(op!I277=0,"",op!I277)</f>
        <v/>
      </c>
      <c r="J389" s="567" t="str">
        <f>IF(E389="","",IF(op!J277&gt;LOOKUP(I389,schaal2011,regels2011),J277-1,IF(op!J277=LOOKUP(I389,schaal2011,regels2011),op!J277,J277+1)))</f>
        <v/>
      </c>
      <c r="K389" s="568" t="str">
        <f>IF(op!K277="","",op!K277)</f>
        <v/>
      </c>
      <c r="L389" s="569" t="str">
        <f>IF(op!L277="","",op!L277)</f>
        <v/>
      </c>
      <c r="M389" s="570" t="str">
        <f t="shared" si="109"/>
        <v/>
      </c>
      <c r="N389" s="155"/>
      <c r="O389" s="571" t="str">
        <f>IF(I389="","",VLOOKUP(I389,tab!$A$119:$V$159,J389+3,FALSE))</f>
        <v/>
      </c>
      <c r="P389" s="572">
        <f t="shared" si="110"/>
        <v>0</v>
      </c>
      <c r="Q389" s="589">
        <f t="shared" si="106"/>
        <v>0.6</v>
      </c>
      <c r="R389" s="573">
        <f t="shared" si="107"/>
        <v>0</v>
      </c>
      <c r="S389" s="332">
        <f>IF(L389="",0,O389*12*L389*(1+tab!$D$108)*tab!$E$110)</f>
        <v>0</v>
      </c>
      <c r="T389" s="580">
        <f t="shared" si="108"/>
        <v>0</v>
      </c>
      <c r="U389" s="243">
        <f t="shared" si="99"/>
        <v>0</v>
      </c>
      <c r="V389" s="332">
        <f t="shared" si="111"/>
        <v>0</v>
      </c>
      <c r="W389" s="136"/>
      <c r="Z389" s="647" t="e">
        <f t="shared" si="112"/>
        <v>#VALUE!</v>
      </c>
      <c r="AA389" s="647" t="e">
        <f t="shared" si="113"/>
        <v>#VALUE!</v>
      </c>
      <c r="AB389" s="67">
        <f t="shared" si="114"/>
        <v>30</v>
      </c>
      <c r="AC389" s="67">
        <f t="shared" si="115"/>
        <v>30</v>
      </c>
      <c r="AD389" s="84">
        <f t="shared" si="116"/>
        <v>0</v>
      </c>
      <c r="AJ389" s="405"/>
    </row>
    <row r="390" spans="3:36" ht="12.75" customHeight="1">
      <c r="C390" s="131"/>
      <c r="D390" s="169" t="str">
        <f>IF(op!D278=0,"",op!D278)</f>
        <v/>
      </c>
      <c r="E390" s="169" t="str">
        <f>IF(op!E278=0,"",op!E278)</f>
        <v/>
      </c>
      <c r="F390" s="169" t="str">
        <f>IF(op!F278=0,"",op!F278)</f>
        <v/>
      </c>
      <c r="G390" s="170" t="str">
        <f>IF(op!G278="","",op!G278+1)</f>
        <v/>
      </c>
      <c r="H390" s="566" t="str">
        <f>IF(op!H278="","",op!H278)</f>
        <v/>
      </c>
      <c r="I390" s="170" t="str">
        <f>IF(op!I278=0,"",op!I278)</f>
        <v/>
      </c>
      <c r="J390" s="567" t="str">
        <f>IF(E390="","",IF(op!J278&gt;LOOKUP(I390,schaal2011,regels2011),J278-1,IF(op!J278=LOOKUP(I390,schaal2011,regels2011),op!J278,J278+1)))</f>
        <v/>
      </c>
      <c r="K390" s="568" t="str">
        <f>IF(op!K278="","",op!K278)</f>
        <v/>
      </c>
      <c r="L390" s="569" t="str">
        <f>IF(op!L278="","",op!L278)</f>
        <v/>
      </c>
      <c r="M390" s="570" t="str">
        <f t="shared" si="109"/>
        <v/>
      </c>
      <c r="N390" s="155"/>
      <c r="O390" s="571" t="str">
        <f>IF(I390="","",VLOOKUP(I390,tab!$A$119:$V$159,J390+3,FALSE))</f>
        <v/>
      </c>
      <c r="P390" s="572">
        <f t="shared" si="110"/>
        <v>0</v>
      </c>
      <c r="Q390" s="589">
        <f t="shared" si="106"/>
        <v>0.6</v>
      </c>
      <c r="R390" s="573">
        <f t="shared" si="107"/>
        <v>0</v>
      </c>
      <c r="S390" s="332">
        <f>IF(L390="",0,O390*12*L390*(1+tab!$D$108)*tab!$E$110)</f>
        <v>0</v>
      </c>
      <c r="T390" s="580">
        <f t="shared" si="108"/>
        <v>0</v>
      </c>
      <c r="U390" s="243">
        <f t="shared" si="99"/>
        <v>0</v>
      </c>
      <c r="V390" s="332">
        <f t="shared" si="111"/>
        <v>0</v>
      </c>
      <c r="W390" s="136"/>
      <c r="Z390" s="647" t="e">
        <f t="shared" si="112"/>
        <v>#VALUE!</v>
      </c>
      <c r="AA390" s="647" t="e">
        <f t="shared" si="113"/>
        <v>#VALUE!</v>
      </c>
      <c r="AB390" s="67">
        <f t="shared" si="114"/>
        <v>30</v>
      </c>
      <c r="AC390" s="67">
        <f t="shared" si="115"/>
        <v>30</v>
      </c>
      <c r="AD390" s="84">
        <f t="shared" si="116"/>
        <v>0</v>
      </c>
      <c r="AJ390" s="405"/>
    </row>
    <row r="391" spans="3:36" ht="12.75" customHeight="1">
      <c r="C391" s="131"/>
      <c r="D391" s="169" t="str">
        <f>IF(op!D279=0,"",op!D279)</f>
        <v/>
      </c>
      <c r="E391" s="169" t="str">
        <f>IF(op!E279=0,"",op!E279)</f>
        <v/>
      </c>
      <c r="F391" s="169" t="str">
        <f>IF(op!F279=0,"",op!F279)</f>
        <v/>
      </c>
      <c r="G391" s="170" t="str">
        <f>IF(op!G279="","",op!G279+1)</f>
        <v/>
      </c>
      <c r="H391" s="566" t="str">
        <f>IF(op!H279="","",op!H279)</f>
        <v/>
      </c>
      <c r="I391" s="170" t="str">
        <f>IF(op!I279=0,"",op!I279)</f>
        <v/>
      </c>
      <c r="J391" s="567" t="str">
        <f>IF(E391="","",IF(op!J279&gt;LOOKUP(I391,schaal2011,regels2011),J279-1,IF(op!J279=LOOKUP(I391,schaal2011,regels2011),op!J279,J279+1)))</f>
        <v/>
      </c>
      <c r="K391" s="568" t="str">
        <f>IF(op!K279="","",op!K279)</f>
        <v/>
      </c>
      <c r="L391" s="569" t="str">
        <f>IF(op!L279="","",op!L279)</f>
        <v/>
      </c>
      <c r="M391" s="570" t="str">
        <f t="shared" si="109"/>
        <v/>
      </c>
      <c r="N391" s="155"/>
      <c r="O391" s="571" t="str">
        <f>IF(I391="","",VLOOKUP(I391,tab!$A$119:$V$159,J391+3,FALSE))</f>
        <v/>
      </c>
      <c r="P391" s="572">
        <f t="shared" si="110"/>
        <v>0</v>
      </c>
      <c r="Q391" s="589">
        <f t="shared" si="106"/>
        <v>0.6</v>
      </c>
      <c r="R391" s="573">
        <f t="shared" si="107"/>
        <v>0</v>
      </c>
      <c r="S391" s="332">
        <f>IF(L391="",0,O391*12*L391*(1+tab!$D$108)*tab!$E$110)</f>
        <v>0</v>
      </c>
      <c r="T391" s="580">
        <f t="shared" si="108"/>
        <v>0</v>
      </c>
      <c r="U391" s="243">
        <f t="shared" si="99"/>
        <v>0</v>
      </c>
      <c r="V391" s="332">
        <f t="shared" si="111"/>
        <v>0</v>
      </c>
      <c r="W391" s="136"/>
      <c r="Z391" s="647" t="e">
        <f t="shared" si="112"/>
        <v>#VALUE!</v>
      </c>
      <c r="AA391" s="647" t="e">
        <f t="shared" si="113"/>
        <v>#VALUE!</v>
      </c>
      <c r="AB391" s="67">
        <f t="shared" si="114"/>
        <v>30</v>
      </c>
      <c r="AC391" s="67">
        <f t="shared" si="115"/>
        <v>30</v>
      </c>
      <c r="AD391" s="84">
        <f t="shared" si="116"/>
        <v>0</v>
      </c>
      <c r="AJ391" s="405"/>
    </row>
    <row r="392" spans="3:36" ht="12.75" customHeight="1">
      <c r="C392" s="131"/>
      <c r="D392" s="169" t="str">
        <f>IF(op!D280=0,"",op!D280)</f>
        <v/>
      </c>
      <c r="E392" s="169" t="str">
        <f>IF(op!E280=0,"",op!E280)</f>
        <v/>
      </c>
      <c r="F392" s="169" t="str">
        <f>IF(op!F280=0,"",op!F280)</f>
        <v/>
      </c>
      <c r="G392" s="170" t="str">
        <f>IF(op!G280="","",op!G280+1)</f>
        <v/>
      </c>
      <c r="H392" s="566" t="str">
        <f>IF(op!H280="","",op!H280)</f>
        <v/>
      </c>
      <c r="I392" s="170" t="str">
        <f>IF(op!I280=0,"",op!I280)</f>
        <v/>
      </c>
      <c r="J392" s="567" t="str">
        <f>IF(E392="","",IF(op!J280&gt;LOOKUP(I392,schaal2011,regels2011),J280-1,IF(op!J280=LOOKUP(I392,schaal2011,regels2011),op!J280,J280+1)))</f>
        <v/>
      </c>
      <c r="K392" s="568" t="str">
        <f>IF(op!K280="","",op!K280)</f>
        <v/>
      </c>
      <c r="L392" s="569" t="str">
        <f>IF(op!L280="","",op!L280)</f>
        <v/>
      </c>
      <c r="M392" s="570" t="str">
        <f t="shared" si="109"/>
        <v/>
      </c>
      <c r="N392" s="155"/>
      <c r="O392" s="571" t="str">
        <f>IF(I392="","",VLOOKUP(I392,tab!$A$119:$V$159,J392+3,FALSE))</f>
        <v/>
      </c>
      <c r="P392" s="572">
        <f t="shared" si="110"/>
        <v>0</v>
      </c>
      <c r="Q392" s="589">
        <f t="shared" si="106"/>
        <v>0.6</v>
      </c>
      <c r="R392" s="573">
        <f t="shared" si="107"/>
        <v>0</v>
      </c>
      <c r="S392" s="332">
        <f>IF(L392="",0,O392*12*L392*(1+tab!$D$108)*tab!$E$110)</f>
        <v>0</v>
      </c>
      <c r="T392" s="580">
        <f t="shared" si="108"/>
        <v>0</v>
      </c>
      <c r="U392" s="243">
        <f t="shared" si="99"/>
        <v>0</v>
      </c>
      <c r="V392" s="332">
        <f t="shared" si="111"/>
        <v>0</v>
      </c>
      <c r="W392" s="136"/>
      <c r="Z392" s="647" t="e">
        <f t="shared" si="112"/>
        <v>#VALUE!</v>
      </c>
      <c r="AA392" s="647" t="e">
        <f t="shared" si="113"/>
        <v>#VALUE!</v>
      </c>
      <c r="AB392" s="67">
        <f t="shared" si="114"/>
        <v>30</v>
      </c>
      <c r="AC392" s="67">
        <f t="shared" si="115"/>
        <v>30</v>
      </c>
      <c r="AD392" s="84">
        <f t="shared" si="116"/>
        <v>0</v>
      </c>
      <c r="AJ392" s="405"/>
    </row>
    <row r="393" spans="3:36" ht="12.75" customHeight="1">
      <c r="C393" s="131"/>
      <c r="D393" s="169" t="str">
        <f>IF(op!D281=0,"",op!D281)</f>
        <v/>
      </c>
      <c r="E393" s="169" t="str">
        <f>IF(op!E281=0,"",op!E281)</f>
        <v/>
      </c>
      <c r="F393" s="169" t="str">
        <f>IF(op!F281=0,"",op!F281)</f>
        <v/>
      </c>
      <c r="G393" s="170" t="str">
        <f>IF(op!G281="","",op!G281+1)</f>
        <v/>
      </c>
      <c r="H393" s="566" t="str">
        <f>IF(op!H281="","",op!H281)</f>
        <v/>
      </c>
      <c r="I393" s="170" t="str">
        <f>IF(op!I281=0,"",op!I281)</f>
        <v/>
      </c>
      <c r="J393" s="567" t="str">
        <f>IF(E393="","",IF(op!J281&gt;LOOKUP(I393,schaal2011,regels2011),J281-1,IF(op!J281=LOOKUP(I393,schaal2011,regels2011),op!J281,J281+1)))</f>
        <v/>
      </c>
      <c r="K393" s="568" t="str">
        <f>IF(op!K281="","",op!K281)</f>
        <v/>
      </c>
      <c r="L393" s="569" t="str">
        <f>IF(op!L281="","",op!L281)</f>
        <v/>
      </c>
      <c r="M393" s="570" t="str">
        <f t="shared" si="109"/>
        <v/>
      </c>
      <c r="N393" s="155"/>
      <c r="O393" s="571" t="str">
        <f>IF(I393="","",VLOOKUP(I393,tab!$A$119:$V$159,J393+3,FALSE))</f>
        <v/>
      </c>
      <c r="P393" s="572">
        <f t="shared" si="110"/>
        <v>0</v>
      </c>
      <c r="Q393" s="589">
        <f t="shared" si="106"/>
        <v>0.6</v>
      </c>
      <c r="R393" s="573">
        <f t="shared" si="107"/>
        <v>0</v>
      </c>
      <c r="S393" s="332">
        <f>IF(L393="",0,O393*12*L393*(1+tab!$D$108)*tab!$E$110)</f>
        <v>0</v>
      </c>
      <c r="T393" s="580">
        <f t="shared" si="108"/>
        <v>0</v>
      </c>
      <c r="U393" s="243">
        <f t="shared" si="99"/>
        <v>0</v>
      </c>
      <c r="V393" s="332">
        <f t="shared" si="111"/>
        <v>0</v>
      </c>
      <c r="W393" s="136"/>
      <c r="Z393" s="647" t="e">
        <f t="shared" si="112"/>
        <v>#VALUE!</v>
      </c>
      <c r="AA393" s="647" t="e">
        <f t="shared" si="113"/>
        <v>#VALUE!</v>
      </c>
      <c r="AB393" s="67">
        <f t="shared" si="114"/>
        <v>30</v>
      </c>
      <c r="AC393" s="67">
        <f t="shared" si="115"/>
        <v>30</v>
      </c>
      <c r="AD393" s="84">
        <f t="shared" si="116"/>
        <v>0</v>
      </c>
      <c r="AJ393" s="405"/>
    </row>
    <row r="394" spans="3:36" ht="12.75" customHeight="1">
      <c r="C394" s="131"/>
      <c r="D394" s="169" t="str">
        <f>IF(op!D282=0,"",op!D282)</f>
        <v/>
      </c>
      <c r="E394" s="169" t="str">
        <f>IF(op!E282=0,"",op!E282)</f>
        <v/>
      </c>
      <c r="F394" s="169" t="str">
        <f>IF(op!F282=0,"",op!F282)</f>
        <v/>
      </c>
      <c r="G394" s="170" t="str">
        <f>IF(op!G282="","",op!G282+1)</f>
        <v/>
      </c>
      <c r="H394" s="566" t="str">
        <f>IF(op!H282="","",op!H282)</f>
        <v/>
      </c>
      <c r="I394" s="170" t="str">
        <f>IF(op!I282=0,"",op!I282)</f>
        <v/>
      </c>
      <c r="J394" s="567" t="str">
        <f>IF(E394="","",IF(op!J282&gt;LOOKUP(I394,schaal2011,regels2011),J282-1,IF(op!J282=LOOKUP(I394,schaal2011,regels2011),op!J282,J282+1)))</f>
        <v/>
      </c>
      <c r="K394" s="568" t="str">
        <f>IF(op!K282="","",op!K282)</f>
        <v/>
      </c>
      <c r="L394" s="569" t="str">
        <f>IF(op!L282="","",op!L282)</f>
        <v/>
      </c>
      <c r="M394" s="570" t="str">
        <f t="shared" si="109"/>
        <v/>
      </c>
      <c r="N394" s="155"/>
      <c r="O394" s="571" t="str">
        <f>IF(I394="","",VLOOKUP(I394,tab!$A$119:$V$159,J394+3,FALSE))</f>
        <v/>
      </c>
      <c r="P394" s="572">
        <f t="shared" si="110"/>
        <v>0</v>
      </c>
      <c r="Q394" s="589">
        <f t="shared" si="106"/>
        <v>0.6</v>
      </c>
      <c r="R394" s="573">
        <f t="shared" si="107"/>
        <v>0</v>
      </c>
      <c r="S394" s="332">
        <f>IF(L394="",0,O394*12*L394*(1+tab!$D$108)*tab!$E$110)</f>
        <v>0</v>
      </c>
      <c r="T394" s="580">
        <f t="shared" si="108"/>
        <v>0</v>
      </c>
      <c r="U394" s="243">
        <f t="shared" si="99"/>
        <v>0</v>
      </c>
      <c r="V394" s="332">
        <f t="shared" si="111"/>
        <v>0</v>
      </c>
      <c r="W394" s="136"/>
      <c r="Z394" s="647" t="e">
        <f t="shared" si="112"/>
        <v>#VALUE!</v>
      </c>
      <c r="AA394" s="647" t="e">
        <f t="shared" si="113"/>
        <v>#VALUE!</v>
      </c>
      <c r="AB394" s="67">
        <f t="shared" si="114"/>
        <v>30</v>
      </c>
      <c r="AC394" s="67">
        <f t="shared" si="115"/>
        <v>30</v>
      </c>
      <c r="AD394" s="84">
        <f t="shared" si="116"/>
        <v>0</v>
      </c>
      <c r="AJ394" s="405"/>
    </row>
    <row r="395" spans="3:36" ht="12.75" customHeight="1">
      <c r="C395" s="131"/>
      <c r="D395" s="169" t="str">
        <f>IF(op!D283=0,"",op!D283)</f>
        <v/>
      </c>
      <c r="E395" s="169" t="str">
        <f>IF(op!E283=0,"",op!E283)</f>
        <v/>
      </c>
      <c r="F395" s="169" t="str">
        <f>IF(op!F283=0,"",op!F283)</f>
        <v/>
      </c>
      <c r="G395" s="170" t="str">
        <f>IF(op!G283="","",op!G283+1)</f>
        <v/>
      </c>
      <c r="H395" s="566" t="str">
        <f>IF(op!H283="","",op!H283)</f>
        <v/>
      </c>
      <c r="I395" s="170" t="str">
        <f>IF(op!I283=0,"",op!I283)</f>
        <v/>
      </c>
      <c r="J395" s="567" t="str">
        <f>IF(E395="","",IF(op!J283&gt;LOOKUP(I395,schaal2011,regels2011),J283-1,IF(op!J283=LOOKUP(I395,schaal2011,regels2011),op!J283,J283+1)))</f>
        <v/>
      </c>
      <c r="K395" s="568" t="str">
        <f>IF(op!K283="","",op!K283)</f>
        <v/>
      </c>
      <c r="L395" s="569" t="str">
        <f>IF(op!L283="","",op!L283)</f>
        <v/>
      </c>
      <c r="M395" s="570" t="str">
        <f t="shared" si="109"/>
        <v/>
      </c>
      <c r="N395" s="155"/>
      <c r="O395" s="571" t="str">
        <f>IF(I395="","",VLOOKUP(I395,tab!$A$119:$V$159,J395+3,FALSE))</f>
        <v/>
      </c>
      <c r="P395" s="572">
        <f t="shared" si="110"/>
        <v>0</v>
      </c>
      <c r="Q395" s="589">
        <f t="shared" si="106"/>
        <v>0.6</v>
      </c>
      <c r="R395" s="573">
        <f t="shared" si="107"/>
        <v>0</v>
      </c>
      <c r="S395" s="332">
        <f>IF(L395="",0,O395*12*L395*(1+tab!$D$108)*tab!$E$110)</f>
        <v>0</v>
      </c>
      <c r="T395" s="580">
        <f t="shared" si="108"/>
        <v>0</v>
      </c>
      <c r="U395" s="243">
        <f t="shared" si="99"/>
        <v>0</v>
      </c>
      <c r="V395" s="332">
        <f t="shared" si="111"/>
        <v>0</v>
      </c>
      <c r="W395" s="136"/>
      <c r="Z395" s="647" t="e">
        <f t="shared" si="112"/>
        <v>#VALUE!</v>
      </c>
      <c r="AA395" s="647" t="e">
        <f t="shared" si="113"/>
        <v>#VALUE!</v>
      </c>
      <c r="AB395" s="67">
        <f t="shared" si="114"/>
        <v>30</v>
      </c>
      <c r="AC395" s="67">
        <f t="shared" si="115"/>
        <v>30</v>
      </c>
      <c r="AD395" s="84">
        <f t="shared" si="116"/>
        <v>0</v>
      </c>
      <c r="AJ395" s="405"/>
    </row>
    <row r="396" spans="3:36" ht="12.75" customHeight="1">
      <c r="C396" s="131"/>
      <c r="D396" s="169" t="str">
        <f>IF(op!D284=0,"",op!D284)</f>
        <v/>
      </c>
      <c r="E396" s="169" t="str">
        <f>IF(op!E284=0,"",op!E284)</f>
        <v/>
      </c>
      <c r="F396" s="169" t="str">
        <f>IF(op!F284=0,"",op!F284)</f>
        <v/>
      </c>
      <c r="G396" s="170" t="str">
        <f>IF(op!G284="","",op!G284+1)</f>
        <v/>
      </c>
      <c r="H396" s="566" t="str">
        <f>IF(op!H284="","",op!H284)</f>
        <v/>
      </c>
      <c r="I396" s="170" t="str">
        <f>IF(op!I284=0,"",op!I284)</f>
        <v/>
      </c>
      <c r="J396" s="567" t="str">
        <f>IF(E396="","",IF(op!J284&gt;LOOKUP(I396,schaal2011,regels2011),J284-1,IF(op!J284=LOOKUP(I396,schaal2011,regels2011),op!J284,J284+1)))</f>
        <v/>
      </c>
      <c r="K396" s="568" t="str">
        <f>IF(op!K284="","",op!K284)</f>
        <v/>
      </c>
      <c r="L396" s="569" t="str">
        <f>IF(op!L284="","",op!L284)</f>
        <v/>
      </c>
      <c r="M396" s="570" t="str">
        <f t="shared" si="109"/>
        <v/>
      </c>
      <c r="N396" s="155"/>
      <c r="O396" s="571" t="str">
        <f>IF(I396="","",VLOOKUP(I396,tab!$A$119:$V$159,J396+3,FALSE))</f>
        <v/>
      </c>
      <c r="P396" s="572">
        <f t="shared" si="110"/>
        <v>0</v>
      </c>
      <c r="Q396" s="589">
        <f t="shared" si="106"/>
        <v>0.6</v>
      </c>
      <c r="R396" s="573">
        <f t="shared" si="107"/>
        <v>0</v>
      </c>
      <c r="S396" s="332">
        <f>IF(L396="",0,O396*12*L396*(1+tab!$D$108)*tab!$E$110)</f>
        <v>0</v>
      </c>
      <c r="T396" s="580">
        <f t="shared" si="108"/>
        <v>0</v>
      </c>
      <c r="U396" s="243">
        <f t="shared" si="99"/>
        <v>0</v>
      </c>
      <c r="V396" s="332">
        <f t="shared" si="111"/>
        <v>0</v>
      </c>
      <c r="W396" s="136"/>
      <c r="Z396" s="647" t="e">
        <f t="shared" si="112"/>
        <v>#VALUE!</v>
      </c>
      <c r="AA396" s="647" t="e">
        <f t="shared" si="113"/>
        <v>#VALUE!</v>
      </c>
      <c r="AB396" s="67">
        <f t="shared" si="114"/>
        <v>30</v>
      </c>
      <c r="AC396" s="67">
        <f t="shared" si="115"/>
        <v>30</v>
      </c>
      <c r="AD396" s="84">
        <f t="shared" si="116"/>
        <v>0</v>
      </c>
      <c r="AJ396" s="405"/>
    </row>
    <row r="397" spans="3:36" ht="12.75" customHeight="1">
      <c r="C397" s="131"/>
      <c r="D397" s="169" t="str">
        <f>IF(op!D285=0,"",op!D285)</f>
        <v/>
      </c>
      <c r="E397" s="169" t="str">
        <f>IF(op!E285=0,"",op!E285)</f>
        <v/>
      </c>
      <c r="F397" s="169" t="str">
        <f>IF(op!F285=0,"",op!F285)</f>
        <v/>
      </c>
      <c r="G397" s="170" t="str">
        <f>IF(op!G285="","",op!G285+1)</f>
        <v/>
      </c>
      <c r="H397" s="566" t="str">
        <f>IF(op!H285="","",op!H285)</f>
        <v/>
      </c>
      <c r="I397" s="170" t="str">
        <f>IF(op!I285=0,"",op!I285)</f>
        <v/>
      </c>
      <c r="J397" s="567" t="str">
        <f>IF(E397="","",IF(op!J285&gt;LOOKUP(I397,schaal2011,regels2011),J285-1,IF(op!J285=LOOKUP(I397,schaal2011,regels2011),op!J285,J285+1)))</f>
        <v/>
      </c>
      <c r="K397" s="568" t="str">
        <f>IF(op!K285="","",op!K285)</f>
        <v/>
      </c>
      <c r="L397" s="569" t="str">
        <f>IF(op!L285="","",op!L285)</f>
        <v/>
      </c>
      <c r="M397" s="570" t="str">
        <f t="shared" si="109"/>
        <v/>
      </c>
      <c r="N397" s="155"/>
      <c r="O397" s="571" t="str">
        <f>IF(I397="","",VLOOKUP(I397,tab!$A$119:$V$159,J397+3,FALSE))</f>
        <v/>
      </c>
      <c r="P397" s="572">
        <f t="shared" si="110"/>
        <v>0</v>
      </c>
      <c r="Q397" s="589">
        <f t="shared" si="106"/>
        <v>0.6</v>
      </c>
      <c r="R397" s="573">
        <f t="shared" si="107"/>
        <v>0</v>
      </c>
      <c r="S397" s="332">
        <f>IF(L397="",0,O397*12*L397*(1+tab!$D$108)*tab!$E$110)</f>
        <v>0</v>
      </c>
      <c r="T397" s="580">
        <f t="shared" si="108"/>
        <v>0</v>
      </c>
      <c r="U397" s="243">
        <f t="shared" si="99"/>
        <v>0</v>
      </c>
      <c r="V397" s="332">
        <f t="shared" si="111"/>
        <v>0</v>
      </c>
      <c r="W397" s="136"/>
      <c r="Z397" s="647" t="e">
        <f t="shared" si="112"/>
        <v>#VALUE!</v>
      </c>
      <c r="AA397" s="647" t="e">
        <f t="shared" si="113"/>
        <v>#VALUE!</v>
      </c>
      <c r="AB397" s="67">
        <f t="shared" si="114"/>
        <v>30</v>
      </c>
      <c r="AC397" s="67">
        <f t="shared" si="115"/>
        <v>30</v>
      </c>
      <c r="AD397" s="84">
        <f t="shared" si="116"/>
        <v>0</v>
      </c>
      <c r="AJ397" s="405"/>
    </row>
    <row r="398" spans="3:36" ht="12.75" customHeight="1">
      <c r="C398" s="131"/>
      <c r="D398" s="169" t="str">
        <f>IF(op!D286=0,"",op!D286)</f>
        <v/>
      </c>
      <c r="E398" s="169" t="str">
        <f>IF(op!E286=0,"",op!E286)</f>
        <v/>
      </c>
      <c r="F398" s="169" t="str">
        <f>IF(op!F286=0,"",op!F286)</f>
        <v/>
      </c>
      <c r="G398" s="170" t="str">
        <f>IF(op!G286="","",op!G286+1)</f>
        <v/>
      </c>
      <c r="H398" s="566" t="str">
        <f>IF(op!H286="","",op!H286)</f>
        <v/>
      </c>
      <c r="I398" s="170" t="str">
        <f>IF(op!I286=0,"",op!I286)</f>
        <v/>
      </c>
      <c r="J398" s="567" t="str">
        <f>IF(E398="","",IF(op!J286&gt;LOOKUP(I398,schaal2011,regels2011),J286-1,IF(op!J286=LOOKUP(I398,schaal2011,regels2011),op!J286,J286+1)))</f>
        <v/>
      </c>
      <c r="K398" s="568" t="str">
        <f>IF(op!K286="","",op!K286)</f>
        <v/>
      </c>
      <c r="L398" s="569" t="str">
        <f>IF(op!L286="","",op!L286)</f>
        <v/>
      </c>
      <c r="M398" s="570" t="str">
        <f t="shared" si="109"/>
        <v/>
      </c>
      <c r="N398" s="155"/>
      <c r="O398" s="571" t="str">
        <f>IF(I398="","",VLOOKUP(I398,tab!$A$119:$V$159,J398+3,FALSE))</f>
        <v/>
      </c>
      <c r="P398" s="572">
        <f t="shared" si="110"/>
        <v>0</v>
      </c>
      <c r="Q398" s="589">
        <f t="shared" si="106"/>
        <v>0.6</v>
      </c>
      <c r="R398" s="573">
        <f t="shared" si="107"/>
        <v>0</v>
      </c>
      <c r="S398" s="332">
        <f>IF(L398="",0,O398*12*L398*(1+tab!$D$108)*tab!$E$110)</f>
        <v>0</v>
      </c>
      <c r="T398" s="580">
        <f t="shared" si="108"/>
        <v>0</v>
      </c>
      <c r="U398" s="243">
        <f t="shared" si="99"/>
        <v>0</v>
      </c>
      <c r="V398" s="332">
        <f t="shared" si="111"/>
        <v>0</v>
      </c>
      <c r="W398" s="136"/>
      <c r="Z398" s="647" t="e">
        <f t="shared" si="112"/>
        <v>#VALUE!</v>
      </c>
      <c r="AA398" s="647" t="e">
        <f t="shared" si="113"/>
        <v>#VALUE!</v>
      </c>
      <c r="AB398" s="67">
        <f t="shared" si="114"/>
        <v>30</v>
      </c>
      <c r="AC398" s="67">
        <f t="shared" si="115"/>
        <v>30</v>
      </c>
      <c r="AD398" s="84">
        <f t="shared" si="116"/>
        <v>0</v>
      </c>
      <c r="AJ398" s="405"/>
    </row>
    <row r="399" spans="3:36" ht="12.75" customHeight="1">
      <c r="C399" s="131"/>
      <c r="D399" s="169" t="str">
        <f>IF(op!D287=0,"",op!D287)</f>
        <v/>
      </c>
      <c r="E399" s="169" t="str">
        <f>IF(op!E287=0,"",op!E287)</f>
        <v/>
      </c>
      <c r="F399" s="169" t="str">
        <f>IF(op!F287=0,"",op!F287)</f>
        <v/>
      </c>
      <c r="G399" s="170" t="str">
        <f>IF(op!G287="","",op!G287+1)</f>
        <v/>
      </c>
      <c r="H399" s="566" t="str">
        <f>IF(op!H287="","",op!H287)</f>
        <v/>
      </c>
      <c r="I399" s="170" t="str">
        <f>IF(op!I287=0,"",op!I287)</f>
        <v/>
      </c>
      <c r="J399" s="567" t="str">
        <f>IF(E399="","",IF(op!J287&gt;LOOKUP(I399,schaal2011,regels2011),J287-1,IF(op!J287=LOOKUP(I399,schaal2011,regels2011),op!J287,J287+1)))</f>
        <v/>
      </c>
      <c r="K399" s="568" t="str">
        <f>IF(op!K287="","",op!K287)</f>
        <v/>
      </c>
      <c r="L399" s="569" t="str">
        <f>IF(op!L287="","",op!L287)</f>
        <v/>
      </c>
      <c r="M399" s="570" t="str">
        <f t="shared" si="109"/>
        <v/>
      </c>
      <c r="N399" s="155"/>
      <c r="O399" s="571" t="str">
        <f>IF(I399="","",VLOOKUP(I399,tab!$A$119:$V$159,J399+3,FALSE))</f>
        <v/>
      </c>
      <c r="P399" s="572">
        <f t="shared" si="110"/>
        <v>0</v>
      </c>
      <c r="Q399" s="589">
        <f t="shared" si="106"/>
        <v>0.6</v>
      </c>
      <c r="R399" s="573">
        <f t="shared" si="107"/>
        <v>0</v>
      </c>
      <c r="S399" s="332">
        <f>IF(L399="",0,O399*12*L399*(1+tab!$D$108)*tab!$E$110)</f>
        <v>0</v>
      </c>
      <c r="T399" s="580">
        <f t="shared" si="108"/>
        <v>0</v>
      </c>
      <c r="U399" s="243">
        <f t="shared" si="99"/>
        <v>0</v>
      </c>
      <c r="V399" s="332">
        <f t="shared" si="111"/>
        <v>0</v>
      </c>
      <c r="W399" s="136"/>
      <c r="Z399" s="647" t="e">
        <f t="shared" si="112"/>
        <v>#VALUE!</v>
      </c>
      <c r="AA399" s="647" t="e">
        <f t="shared" si="113"/>
        <v>#VALUE!</v>
      </c>
      <c r="AB399" s="67">
        <f t="shared" si="114"/>
        <v>30</v>
      </c>
      <c r="AC399" s="67">
        <f t="shared" si="115"/>
        <v>30</v>
      </c>
      <c r="AD399" s="84">
        <f t="shared" si="116"/>
        <v>0</v>
      </c>
      <c r="AJ399" s="405"/>
    </row>
    <row r="400" spans="3:36" ht="12.75" customHeight="1">
      <c r="C400" s="131"/>
      <c r="D400" s="169" t="str">
        <f>IF(op!D288=0,"",op!D288)</f>
        <v/>
      </c>
      <c r="E400" s="169" t="str">
        <f>IF(op!E288=0,"",op!E288)</f>
        <v/>
      </c>
      <c r="F400" s="169" t="str">
        <f>IF(op!F288=0,"",op!F288)</f>
        <v/>
      </c>
      <c r="G400" s="170" t="str">
        <f>IF(op!G288="","",op!G288+1)</f>
        <v/>
      </c>
      <c r="H400" s="566" t="str">
        <f>IF(op!H288="","",op!H288)</f>
        <v/>
      </c>
      <c r="I400" s="170" t="str">
        <f>IF(op!I288=0,"",op!I288)</f>
        <v/>
      </c>
      <c r="J400" s="567" t="str">
        <f>IF(E400="","",IF(op!J288&gt;LOOKUP(I400,schaal2011,regels2011),J288-1,IF(op!J288=LOOKUP(I400,schaal2011,regels2011),op!J288,J288+1)))</f>
        <v/>
      </c>
      <c r="K400" s="568" t="str">
        <f>IF(op!K288="","",op!K288)</f>
        <v/>
      </c>
      <c r="L400" s="569" t="str">
        <f>IF(op!L288="","",op!L288)</f>
        <v/>
      </c>
      <c r="M400" s="570" t="str">
        <f t="shared" si="109"/>
        <v/>
      </c>
      <c r="N400" s="155"/>
      <c r="O400" s="571" t="str">
        <f>IF(I400="","",VLOOKUP(I400,tab!$A$119:$V$159,J400+3,FALSE))</f>
        <v/>
      </c>
      <c r="P400" s="572">
        <f t="shared" si="110"/>
        <v>0</v>
      </c>
      <c r="Q400" s="589">
        <f t="shared" si="106"/>
        <v>0.6</v>
      </c>
      <c r="R400" s="573">
        <f t="shared" si="107"/>
        <v>0</v>
      </c>
      <c r="S400" s="332">
        <f>IF(L400="",0,O400*12*L400*(1+tab!$D$108)*tab!$E$110)</f>
        <v>0</v>
      </c>
      <c r="T400" s="580">
        <f t="shared" si="108"/>
        <v>0</v>
      </c>
      <c r="U400" s="243">
        <f t="shared" si="99"/>
        <v>0</v>
      </c>
      <c r="V400" s="332">
        <f t="shared" si="111"/>
        <v>0</v>
      </c>
      <c r="W400" s="136"/>
      <c r="Z400" s="647" t="e">
        <f t="shared" si="112"/>
        <v>#VALUE!</v>
      </c>
      <c r="AA400" s="647" t="e">
        <f t="shared" si="113"/>
        <v>#VALUE!</v>
      </c>
      <c r="AB400" s="67">
        <f t="shared" si="114"/>
        <v>30</v>
      </c>
      <c r="AC400" s="67">
        <f t="shared" si="115"/>
        <v>30</v>
      </c>
      <c r="AD400" s="84">
        <f t="shared" si="116"/>
        <v>0</v>
      </c>
      <c r="AJ400" s="405"/>
    </row>
    <row r="401" spans="3:36" ht="12.75" customHeight="1">
      <c r="C401" s="131"/>
      <c r="D401" s="169" t="str">
        <f>IF(op!D289=0,"",op!D289)</f>
        <v/>
      </c>
      <c r="E401" s="169" t="str">
        <f>IF(op!E289=0,"",op!E289)</f>
        <v/>
      </c>
      <c r="F401" s="169" t="str">
        <f>IF(op!F289=0,"",op!F289)</f>
        <v/>
      </c>
      <c r="G401" s="170" t="str">
        <f>IF(op!G289="","",op!G289+1)</f>
        <v/>
      </c>
      <c r="H401" s="566" t="str">
        <f>IF(op!H289="","",op!H289)</f>
        <v/>
      </c>
      <c r="I401" s="170" t="str">
        <f>IF(op!I289=0,"",op!I289)</f>
        <v/>
      </c>
      <c r="J401" s="567" t="str">
        <f>IF(E401="","",IF(op!J289&gt;LOOKUP(I401,schaal2011,regels2011),J289-1,IF(op!J289=LOOKUP(I401,schaal2011,regels2011),op!J289,J289+1)))</f>
        <v/>
      </c>
      <c r="K401" s="568" t="str">
        <f>IF(op!K289="","",op!K289)</f>
        <v/>
      </c>
      <c r="L401" s="569" t="str">
        <f>IF(op!L289="","",op!L289)</f>
        <v/>
      </c>
      <c r="M401" s="570" t="str">
        <f t="shared" si="109"/>
        <v/>
      </c>
      <c r="N401" s="155"/>
      <c r="O401" s="571" t="str">
        <f>IF(I401="","",VLOOKUP(I401,tab!$A$119:$V$159,J401+3,FALSE))</f>
        <v/>
      </c>
      <c r="P401" s="572">
        <f t="shared" si="110"/>
        <v>0</v>
      </c>
      <c r="Q401" s="589">
        <f t="shared" si="106"/>
        <v>0.6</v>
      </c>
      <c r="R401" s="573">
        <f t="shared" si="107"/>
        <v>0</v>
      </c>
      <c r="S401" s="332">
        <f>IF(L401="",0,O401*12*L401*(1+tab!$D$108)*tab!$E$110)</f>
        <v>0</v>
      </c>
      <c r="T401" s="580">
        <f t="shared" si="108"/>
        <v>0</v>
      </c>
      <c r="U401" s="243">
        <f t="shared" si="99"/>
        <v>0</v>
      </c>
      <c r="V401" s="332">
        <f t="shared" si="111"/>
        <v>0</v>
      </c>
      <c r="W401" s="136"/>
      <c r="Z401" s="647" t="e">
        <f t="shared" si="112"/>
        <v>#VALUE!</v>
      </c>
      <c r="AA401" s="647" t="e">
        <f t="shared" si="113"/>
        <v>#VALUE!</v>
      </c>
      <c r="AB401" s="67">
        <f t="shared" si="114"/>
        <v>30</v>
      </c>
      <c r="AC401" s="67">
        <f t="shared" si="115"/>
        <v>30</v>
      </c>
      <c r="AD401" s="84">
        <f t="shared" si="116"/>
        <v>0</v>
      </c>
      <c r="AJ401" s="405"/>
    </row>
    <row r="402" spans="3:36" ht="12.75" customHeight="1">
      <c r="C402" s="131"/>
      <c r="D402" s="169" t="str">
        <f>IF(op!D290=0,"",op!D290)</f>
        <v/>
      </c>
      <c r="E402" s="169" t="str">
        <f>IF(op!E290=0,"",op!E290)</f>
        <v/>
      </c>
      <c r="F402" s="169" t="str">
        <f>IF(op!F290=0,"",op!F290)</f>
        <v/>
      </c>
      <c r="G402" s="170" t="str">
        <f>IF(op!G290="","",op!G290+1)</f>
        <v/>
      </c>
      <c r="H402" s="566" t="str">
        <f>IF(op!H290="","",op!H290)</f>
        <v/>
      </c>
      <c r="I402" s="170" t="str">
        <f>IF(op!I290=0,"",op!I290)</f>
        <v/>
      </c>
      <c r="J402" s="567" t="str">
        <f>IF(E402="","",IF(op!J290&gt;LOOKUP(I402,schaal2011,regels2011),J290-1,IF(op!J290=LOOKUP(I402,schaal2011,regels2011),op!J290,J290+1)))</f>
        <v/>
      </c>
      <c r="K402" s="568" t="str">
        <f>IF(op!K290="","",op!K290)</f>
        <v/>
      </c>
      <c r="L402" s="569" t="str">
        <f>IF(op!L290="","",op!L290)</f>
        <v/>
      </c>
      <c r="M402" s="570" t="str">
        <f t="shared" ref="M402:M446" si="117">(IF(L402="",(K402),(K402)-L402))</f>
        <v/>
      </c>
      <c r="N402" s="155"/>
      <c r="O402" s="571" t="str">
        <f>IF(I402="","",VLOOKUP(I402,tab!$A$119:$V$159,J402+3,FALSE))</f>
        <v/>
      </c>
      <c r="P402" s="572">
        <f t="shared" si="110"/>
        <v>0</v>
      </c>
      <c r="Q402" s="589">
        <f t="shared" si="106"/>
        <v>0.6</v>
      </c>
      <c r="R402" s="573">
        <f t="shared" si="107"/>
        <v>0</v>
      </c>
      <c r="S402" s="332">
        <f>IF(L402="",0,O402*12*L402*(1+tab!$D$108)*tab!$E$110)</f>
        <v>0</v>
      </c>
      <c r="T402" s="580">
        <f t="shared" si="108"/>
        <v>0</v>
      </c>
      <c r="U402" s="243">
        <f t="shared" si="99"/>
        <v>0</v>
      </c>
      <c r="V402" s="332">
        <f t="shared" si="111"/>
        <v>0</v>
      </c>
      <c r="W402" s="136"/>
      <c r="Z402" s="647" t="e">
        <f t="shared" si="112"/>
        <v>#VALUE!</v>
      </c>
      <c r="AA402" s="647" t="e">
        <f t="shared" si="113"/>
        <v>#VALUE!</v>
      </c>
      <c r="AB402" s="67">
        <f t="shared" si="114"/>
        <v>30</v>
      </c>
      <c r="AC402" s="67">
        <f t="shared" si="115"/>
        <v>30</v>
      </c>
      <c r="AD402" s="84">
        <f t="shared" si="116"/>
        <v>0</v>
      </c>
      <c r="AJ402" s="405"/>
    </row>
    <row r="403" spans="3:36" ht="12.75" customHeight="1">
      <c r="C403" s="131"/>
      <c r="D403" s="169" t="str">
        <f>IF(op!D291=0,"",op!D291)</f>
        <v/>
      </c>
      <c r="E403" s="169" t="str">
        <f>IF(op!E291=0,"",op!E291)</f>
        <v/>
      </c>
      <c r="F403" s="169" t="str">
        <f>IF(op!F291=0,"",op!F291)</f>
        <v/>
      </c>
      <c r="G403" s="170" t="str">
        <f>IF(op!G291="","",op!G291+1)</f>
        <v/>
      </c>
      <c r="H403" s="566" t="str">
        <f>IF(op!H291="","",op!H291)</f>
        <v/>
      </c>
      <c r="I403" s="170" t="str">
        <f>IF(op!I291=0,"",op!I291)</f>
        <v/>
      </c>
      <c r="J403" s="567" t="str">
        <f>IF(E403="","",IF(op!J291&gt;LOOKUP(I403,schaal2011,regels2011),J291-1,IF(op!J291=LOOKUP(I403,schaal2011,regels2011),op!J291,J291+1)))</f>
        <v/>
      </c>
      <c r="K403" s="568" t="str">
        <f>IF(op!K291="","",op!K291)</f>
        <v/>
      </c>
      <c r="L403" s="569" t="str">
        <f>IF(op!L291="","",op!L291)</f>
        <v/>
      </c>
      <c r="M403" s="570" t="str">
        <f t="shared" si="117"/>
        <v/>
      </c>
      <c r="N403" s="155"/>
      <c r="O403" s="571" t="str">
        <f>IF(I403="","",VLOOKUP(I403,tab!$A$119:$V$159,J403+3,FALSE))</f>
        <v/>
      </c>
      <c r="P403" s="572">
        <f t="shared" si="110"/>
        <v>0</v>
      </c>
      <c r="Q403" s="589">
        <f t="shared" si="106"/>
        <v>0.6</v>
      </c>
      <c r="R403" s="573">
        <f t="shared" si="107"/>
        <v>0</v>
      </c>
      <c r="S403" s="332">
        <f>IF(L403="",0,O403*12*L403*(1+tab!$D$108)*tab!$E$110)</f>
        <v>0</v>
      </c>
      <c r="T403" s="580">
        <f t="shared" si="108"/>
        <v>0</v>
      </c>
      <c r="U403" s="243">
        <f t="shared" si="99"/>
        <v>0</v>
      </c>
      <c r="V403" s="332">
        <f t="shared" si="111"/>
        <v>0</v>
      </c>
      <c r="W403" s="136"/>
      <c r="Z403" s="647" t="e">
        <f t="shared" si="112"/>
        <v>#VALUE!</v>
      </c>
      <c r="AA403" s="647" t="e">
        <f t="shared" si="113"/>
        <v>#VALUE!</v>
      </c>
      <c r="AB403" s="67">
        <f t="shared" si="114"/>
        <v>30</v>
      </c>
      <c r="AC403" s="67">
        <f t="shared" si="115"/>
        <v>30</v>
      </c>
      <c r="AD403" s="84">
        <f t="shared" si="116"/>
        <v>0</v>
      </c>
      <c r="AJ403" s="405"/>
    </row>
    <row r="404" spans="3:36" ht="12.75" customHeight="1">
      <c r="C404" s="131"/>
      <c r="D404" s="169" t="str">
        <f>IF(op!D292=0,"",op!D292)</f>
        <v/>
      </c>
      <c r="E404" s="169" t="str">
        <f>IF(op!E292=0,"",op!E292)</f>
        <v/>
      </c>
      <c r="F404" s="169" t="str">
        <f>IF(op!F292=0,"",op!F292)</f>
        <v/>
      </c>
      <c r="G404" s="170" t="str">
        <f>IF(op!G292="","",op!G292+1)</f>
        <v/>
      </c>
      <c r="H404" s="566" t="str">
        <f>IF(op!H292="","",op!H292)</f>
        <v/>
      </c>
      <c r="I404" s="170" t="str">
        <f>IF(op!I292=0,"",op!I292)</f>
        <v/>
      </c>
      <c r="J404" s="567" t="str">
        <f>IF(E404="","",IF(op!J292&gt;LOOKUP(I404,schaal2011,regels2011),J292-1,IF(op!J292=LOOKUP(I404,schaal2011,regels2011),op!J292,J292+1)))</f>
        <v/>
      </c>
      <c r="K404" s="568" t="str">
        <f>IF(op!K292="","",op!K292)</f>
        <v/>
      </c>
      <c r="L404" s="569" t="str">
        <f>IF(op!L292="","",op!L292)</f>
        <v/>
      </c>
      <c r="M404" s="570" t="str">
        <f t="shared" si="117"/>
        <v/>
      </c>
      <c r="N404" s="155"/>
      <c r="O404" s="571" t="str">
        <f>IF(I404="","",VLOOKUP(I404,tab!$A$119:$V$159,J404+3,FALSE))</f>
        <v/>
      </c>
      <c r="P404" s="572">
        <f t="shared" si="110"/>
        <v>0</v>
      </c>
      <c r="Q404" s="589">
        <f t="shared" si="106"/>
        <v>0.6</v>
      </c>
      <c r="R404" s="573">
        <f t="shared" si="107"/>
        <v>0</v>
      </c>
      <c r="S404" s="332">
        <f>IF(L404="",0,O404*12*L404*(1+tab!$D$108)*tab!$E$110)</f>
        <v>0</v>
      </c>
      <c r="T404" s="580">
        <f t="shared" si="108"/>
        <v>0</v>
      </c>
      <c r="U404" s="243">
        <f t="shared" si="99"/>
        <v>0</v>
      </c>
      <c r="V404" s="332">
        <f t="shared" si="111"/>
        <v>0</v>
      </c>
      <c r="W404" s="136"/>
      <c r="Z404" s="647" t="e">
        <f t="shared" si="112"/>
        <v>#VALUE!</v>
      </c>
      <c r="AA404" s="647" t="e">
        <f t="shared" si="113"/>
        <v>#VALUE!</v>
      </c>
      <c r="AB404" s="67">
        <f t="shared" si="114"/>
        <v>30</v>
      </c>
      <c r="AC404" s="67">
        <f t="shared" si="115"/>
        <v>30</v>
      </c>
      <c r="AD404" s="84">
        <f t="shared" si="116"/>
        <v>0</v>
      </c>
      <c r="AJ404" s="405"/>
    </row>
    <row r="405" spans="3:36" ht="12.75" customHeight="1">
      <c r="C405" s="131"/>
      <c r="D405" s="169" t="str">
        <f>IF(op!D293=0,"",op!D293)</f>
        <v/>
      </c>
      <c r="E405" s="169" t="str">
        <f>IF(op!E293=0,"",op!E293)</f>
        <v/>
      </c>
      <c r="F405" s="169" t="str">
        <f>IF(op!F293=0,"",op!F293)</f>
        <v/>
      </c>
      <c r="G405" s="170" t="str">
        <f>IF(op!G293="","",op!G293+1)</f>
        <v/>
      </c>
      <c r="H405" s="566" t="str">
        <f>IF(op!H293="","",op!H293)</f>
        <v/>
      </c>
      <c r="I405" s="170" t="str">
        <f>IF(op!I293=0,"",op!I293)</f>
        <v/>
      </c>
      <c r="J405" s="567" t="str">
        <f>IF(E405="","",IF(op!J293&gt;LOOKUP(I405,schaal2011,regels2011),J293-1,IF(op!J293=LOOKUP(I405,schaal2011,regels2011),op!J293,J293+1)))</f>
        <v/>
      </c>
      <c r="K405" s="568" t="str">
        <f>IF(op!K293="","",op!K293)</f>
        <v/>
      </c>
      <c r="L405" s="569" t="str">
        <f>IF(op!L293="","",op!L293)</f>
        <v/>
      </c>
      <c r="M405" s="570" t="str">
        <f t="shared" si="117"/>
        <v/>
      </c>
      <c r="N405" s="155"/>
      <c r="O405" s="571" t="str">
        <f>IF(I405="","",VLOOKUP(I405,tab!$A$119:$V$159,J405+3,FALSE))</f>
        <v/>
      </c>
      <c r="P405" s="572">
        <f t="shared" si="110"/>
        <v>0</v>
      </c>
      <c r="Q405" s="589">
        <f t="shared" si="106"/>
        <v>0.6</v>
      </c>
      <c r="R405" s="573">
        <f t="shared" si="107"/>
        <v>0</v>
      </c>
      <c r="S405" s="332">
        <f>IF(L405="",0,O405*12*L405*(1+tab!$D$108)*tab!$E$110)</f>
        <v>0</v>
      </c>
      <c r="T405" s="580">
        <f t="shared" si="108"/>
        <v>0</v>
      </c>
      <c r="U405" s="243">
        <f t="shared" si="99"/>
        <v>0</v>
      </c>
      <c r="V405" s="332">
        <f t="shared" si="111"/>
        <v>0</v>
      </c>
      <c r="W405" s="136"/>
      <c r="Z405" s="647" t="e">
        <f t="shared" si="112"/>
        <v>#VALUE!</v>
      </c>
      <c r="AA405" s="647" t="e">
        <f t="shared" si="113"/>
        <v>#VALUE!</v>
      </c>
      <c r="AB405" s="67">
        <f t="shared" si="114"/>
        <v>30</v>
      </c>
      <c r="AC405" s="67">
        <f t="shared" si="115"/>
        <v>30</v>
      </c>
      <c r="AD405" s="84">
        <f t="shared" si="116"/>
        <v>0</v>
      </c>
      <c r="AJ405" s="405"/>
    </row>
    <row r="406" spans="3:36" ht="12.75" customHeight="1">
      <c r="C406" s="131"/>
      <c r="D406" s="169" t="str">
        <f>IF(op!D294=0,"",op!D294)</f>
        <v/>
      </c>
      <c r="E406" s="169" t="str">
        <f>IF(op!E294=0,"",op!E294)</f>
        <v/>
      </c>
      <c r="F406" s="169" t="str">
        <f>IF(op!F294=0,"",op!F294)</f>
        <v/>
      </c>
      <c r="G406" s="170" t="str">
        <f>IF(op!G294="","",op!G294+1)</f>
        <v/>
      </c>
      <c r="H406" s="566" t="str">
        <f>IF(op!H294="","",op!H294)</f>
        <v/>
      </c>
      <c r="I406" s="170" t="str">
        <f>IF(op!I294=0,"",op!I294)</f>
        <v/>
      </c>
      <c r="J406" s="567" t="str">
        <f>IF(E406="","",IF(op!J294&gt;LOOKUP(I406,schaal2011,regels2011),J294-1,IF(op!J294=LOOKUP(I406,schaal2011,regels2011),op!J294,J294+1)))</f>
        <v/>
      </c>
      <c r="K406" s="568" t="str">
        <f>IF(op!K294="","",op!K294)</f>
        <v/>
      </c>
      <c r="L406" s="569" t="str">
        <f>IF(op!L294="","",op!L294)</f>
        <v/>
      </c>
      <c r="M406" s="570" t="str">
        <f t="shared" si="117"/>
        <v/>
      </c>
      <c r="N406" s="155"/>
      <c r="O406" s="571" t="str">
        <f>IF(I406="","",VLOOKUP(I406,tab!$A$119:$V$159,J406+3,FALSE))</f>
        <v/>
      </c>
      <c r="P406" s="572">
        <f t="shared" si="110"/>
        <v>0</v>
      </c>
      <c r="Q406" s="589">
        <f t="shared" si="106"/>
        <v>0.6</v>
      </c>
      <c r="R406" s="573">
        <f t="shared" si="107"/>
        <v>0</v>
      </c>
      <c r="S406" s="332">
        <f>IF(L406="",0,O406*12*L406*(1+tab!$D$108)*tab!$E$110)</f>
        <v>0</v>
      </c>
      <c r="T406" s="580">
        <f t="shared" si="108"/>
        <v>0</v>
      </c>
      <c r="U406" s="243">
        <f t="shared" si="99"/>
        <v>0</v>
      </c>
      <c r="V406" s="332">
        <f t="shared" si="111"/>
        <v>0</v>
      </c>
      <c r="W406" s="136"/>
      <c r="Z406" s="647" t="e">
        <f t="shared" si="112"/>
        <v>#VALUE!</v>
      </c>
      <c r="AA406" s="647" t="e">
        <f t="shared" si="113"/>
        <v>#VALUE!</v>
      </c>
      <c r="AB406" s="67">
        <f t="shared" si="114"/>
        <v>30</v>
      </c>
      <c r="AC406" s="67">
        <f t="shared" si="115"/>
        <v>30</v>
      </c>
      <c r="AD406" s="84">
        <f t="shared" si="116"/>
        <v>0</v>
      </c>
      <c r="AJ406" s="405"/>
    </row>
    <row r="407" spans="3:36" ht="12.75" customHeight="1">
      <c r="C407" s="131"/>
      <c r="D407" s="169" t="str">
        <f>IF(op!D295=0,"",op!D295)</f>
        <v/>
      </c>
      <c r="E407" s="169" t="str">
        <f>IF(op!E295=0,"",op!E295)</f>
        <v/>
      </c>
      <c r="F407" s="169" t="str">
        <f>IF(op!F295=0,"",op!F295)</f>
        <v/>
      </c>
      <c r="G407" s="170" t="str">
        <f>IF(op!G295="","",op!G295+1)</f>
        <v/>
      </c>
      <c r="H407" s="566" t="str">
        <f>IF(op!H295="","",op!H295)</f>
        <v/>
      </c>
      <c r="I407" s="170" t="str">
        <f>IF(op!I295=0,"",op!I295)</f>
        <v/>
      </c>
      <c r="J407" s="567" t="str">
        <f>IF(E407="","",IF(op!J295&gt;LOOKUP(I407,schaal2011,regels2011),J295-1,IF(op!J295=LOOKUP(I407,schaal2011,regels2011),op!J295,J295+1)))</f>
        <v/>
      </c>
      <c r="K407" s="568" t="str">
        <f>IF(op!K295="","",op!K295)</f>
        <v/>
      </c>
      <c r="L407" s="569" t="str">
        <f>IF(op!L295="","",op!L295)</f>
        <v/>
      </c>
      <c r="M407" s="570" t="str">
        <f t="shared" si="117"/>
        <v/>
      </c>
      <c r="N407" s="155"/>
      <c r="O407" s="571" t="str">
        <f>IF(I407="","",VLOOKUP(I407,tab!$A$119:$V$159,J407+3,FALSE))</f>
        <v/>
      </c>
      <c r="P407" s="572">
        <f t="shared" si="110"/>
        <v>0</v>
      </c>
      <c r="Q407" s="589">
        <f t="shared" si="106"/>
        <v>0.6</v>
      </c>
      <c r="R407" s="573">
        <f t="shared" si="107"/>
        <v>0</v>
      </c>
      <c r="S407" s="332">
        <f>IF(L407="",0,O407*12*L407*(1+tab!$D$108)*tab!$E$110)</f>
        <v>0</v>
      </c>
      <c r="T407" s="580">
        <f t="shared" si="108"/>
        <v>0</v>
      </c>
      <c r="U407" s="243">
        <f t="shared" si="99"/>
        <v>0</v>
      </c>
      <c r="V407" s="332">
        <f t="shared" si="111"/>
        <v>0</v>
      </c>
      <c r="W407" s="136"/>
      <c r="Z407" s="647" t="e">
        <f t="shared" si="112"/>
        <v>#VALUE!</v>
      </c>
      <c r="AA407" s="647" t="e">
        <f t="shared" si="113"/>
        <v>#VALUE!</v>
      </c>
      <c r="AB407" s="67">
        <f t="shared" si="114"/>
        <v>30</v>
      </c>
      <c r="AC407" s="67">
        <f t="shared" si="115"/>
        <v>30</v>
      </c>
      <c r="AD407" s="84">
        <f t="shared" si="116"/>
        <v>0</v>
      </c>
      <c r="AJ407" s="405"/>
    </row>
    <row r="408" spans="3:36" ht="12.75" customHeight="1">
      <c r="C408" s="131"/>
      <c r="D408" s="169" t="str">
        <f>IF(op!D296=0,"",op!D296)</f>
        <v/>
      </c>
      <c r="E408" s="169" t="str">
        <f>IF(op!E296=0,"",op!E296)</f>
        <v/>
      </c>
      <c r="F408" s="169" t="str">
        <f>IF(op!F296=0,"",op!F296)</f>
        <v/>
      </c>
      <c r="G408" s="170" t="str">
        <f>IF(op!G296="","",op!G296+1)</f>
        <v/>
      </c>
      <c r="H408" s="566" t="str">
        <f>IF(op!H296="","",op!H296)</f>
        <v/>
      </c>
      <c r="I408" s="170" t="str">
        <f>IF(op!I296=0,"",op!I296)</f>
        <v/>
      </c>
      <c r="J408" s="567" t="str">
        <f>IF(E408="","",IF(op!J296&gt;LOOKUP(I408,schaal2011,regels2011),J296-1,IF(op!J296=LOOKUP(I408,schaal2011,regels2011),op!J296,J296+1)))</f>
        <v/>
      </c>
      <c r="K408" s="568" t="str">
        <f>IF(op!K296="","",op!K296)</f>
        <v/>
      </c>
      <c r="L408" s="569" t="str">
        <f>IF(op!L296="","",op!L296)</f>
        <v/>
      </c>
      <c r="M408" s="570" t="str">
        <f t="shared" si="117"/>
        <v/>
      </c>
      <c r="N408" s="155"/>
      <c r="O408" s="571" t="str">
        <f>IF(I408="","",VLOOKUP(I408,tab!$A$119:$V$159,J408+3,FALSE))</f>
        <v/>
      </c>
      <c r="P408" s="572">
        <f t="shared" si="110"/>
        <v>0</v>
      </c>
      <c r="Q408" s="589">
        <f t="shared" si="106"/>
        <v>0.6</v>
      </c>
      <c r="R408" s="573">
        <f t="shared" si="107"/>
        <v>0</v>
      </c>
      <c r="S408" s="332">
        <f>IF(L408="",0,O408*12*L408*(1+tab!$D$108)*tab!$E$110)</f>
        <v>0</v>
      </c>
      <c r="T408" s="580">
        <f t="shared" si="108"/>
        <v>0</v>
      </c>
      <c r="U408" s="243">
        <f t="shared" si="99"/>
        <v>0</v>
      </c>
      <c r="V408" s="332">
        <f t="shared" si="111"/>
        <v>0</v>
      </c>
      <c r="W408" s="136"/>
      <c r="Z408" s="647" t="e">
        <f t="shared" si="112"/>
        <v>#VALUE!</v>
      </c>
      <c r="AA408" s="647" t="e">
        <f t="shared" si="113"/>
        <v>#VALUE!</v>
      </c>
      <c r="AB408" s="67">
        <f t="shared" si="114"/>
        <v>30</v>
      </c>
      <c r="AC408" s="67">
        <f t="shared" si="115"/>
        <v>30</v>
      </c>
      <c r="AD408" s="84">
        <f t="shared" si="116"/>
        <v>0</v>
      </c>
      <c r="AJ408" s="405"/>
    </row>
    <row r="409" spans="3:36" ht="12.75" customHeight="1">
      <c r="C409" s="131"/>
      <c r="D409" s="169" t="str">
        <f>IF(op!D297=0,"",op!D297)</f>
        <v/>
      </c>
      <c r="E409" s="169" t="str">
        <f>IF(op!E297=0,"",op!E297)</f>
        <v/>
      </c>
      <c r="F409" s="169" t="str">
        <f>IF(op!F297=0,"",op!F297)</f>
        <v/>
      </c>
      <c r="G409" s="170" t="str">
        <f>IF(op!G297="","",op!G297+1)</f>
        <v/>
      </c>
      <c r="H409" s="566" t="str">
        <f>IF(op!H297="","",op!H297)</f>
        <v/>
      </c>
      <c r="I409" s="170" t="str">
        <f>IF(op!I297=0,"",op!I297)</f>
        <v/>
      </c>
      <c r="J409" s="567" t="str">
        <f>IF(E409="","",IF(op!J297&gt;LOOKUP(I409,schaal2011,regels2011),J297-1,IF(op!J297=LOOKUP(I409,schaal2011,regels2011),op!J297,J297+1)))</f>
        <v/>
      </c>
      <c r="K409" s="568" t="str">
        <f>IF(op!K297="","",op!K297)</f>
        <v/>
      </c>
      <c r="L409" s="569" t="str">
        <f>IF(op!L297="","",op!L297)</f>
        <v/>
      </c>
      <c r="M409" s="570" t="str">
        <f t="shared" si="117"/>
        <v/>
      </c>
      <c r="N409" s="155"/>
      <c r="O409" s="571" t="str">
        <f>IF(I409="","",VLOOKUP(I409,tab!$A$119:$V$159,J409+3,FALSE))</f>
        <v/>
      </c>
      <c r="P409" s="572">
        <f t="shared" si="110"/>
        <v>0</v>
      </c>
      <c r="Q409" s="589">
        <f t="shared" si="106"/>
        <v>0.6</v>
      </c>
      <c r="R409" s="573">
        <f t="shared" si="107"/>
        <v>0</v>
      </c>
      <c r="S409" s="332">
        <f>IF(L409="",0,O409*12*L409*(1+tab!$D$108)*tab!$E$110)</f>
        <v>0</v>
      </c>
      <c r="T409" s="580">
        <f t="shared" si="108"/>
        <v>0</v>
      </c>
      <c r="U409" s="243">
        <f t="shared" si="99"/>
        <v>0</v>
      </c>
      <c r="V409" s="332">
        <f t="shared" si="111"/>
        <v>0</v>
      </c>
      <c r="W409" s="136"/>
      <c r="Z409" s="647" t="e">
        <f t="shared" si="112"/>
        <v>#VALUE!</v>
      </c>
      <c r="AA409" s="647" t="e">
        <f t="shared" si="113"/>
        <v>#VALUE!</v>
      </c>
      <c r="AB409" s="67">
        <f t="shared" si="114"/>
        <v>30</v>
      </c>
      <c r="AC409" s="67">
        <f t="shared" si="115"/>
        <v>30</v>
      </c>
      <c r="AD409" s="84">
        <f t="shared" si="116"/>
        <v>0</v>
      </c>
      <c r="AJ409" s="405"/>
    </row>
    <row r="410" spans="3:36" ht="12.75" customHeight="1">
      <c r="C410" s="131"/>
      <c r="D410" s="169" t="str">
        <f>IF(op!D298=0,"",op!D298)</f>
        <v/>
      </c>
      <c r="E410" s="169" t="str">
        <f>IF(op!E298=0,"",op!E298)</f>
        <v/>
      </c>
      <c r="F410" s="169" t="str">
        <f>IF(op!F298=0,"",op!F298)</f>
        <v/>
      </c>
      <c r="G410" s="170" t="str">
        <f>IF(op!G298="","",op!G298+1)</f>
        <v/>
      </c>
      <c r="H410" s="566" t="str">
        <f>IF(op!H298="","",op!H298)</f>
        <v/>
      </c>
      <c r="I410" s="170" t="str">
        <f>IF(op!I298=0,"",op!I298)</f>
        <v/>
      </c>
      <c r="J410" s="567" t="str">
        <f>IF(E410="","",IF(op!J298&gt;LOOKUP(I410,schaal2011,regels2011),J298-1,IF(op!J298=LOOKUP(I410,schaal2011,regels2011),op!J298,J298+1)))</f>
        <v/>
      </c>
      <c r="K410" s="568" t="str">
        <f>IF(op!K298="","",op!K298)</f>
        <v/>
      </c>
      <c r="L410" s="569" t="str">
        <f>IF(op!L298="","",op!L298)</f>
        <v/>
      </c>
      <c r="M410" s="570" t="str">
        <f t="shared" si="117"/>
        <v/>
      </c>
      <c r="N410" s="155"/>
      <c r="O410" s="571" t="str">
        <f>IF(I410="","",VLOOKUP(I410,tab!$A$119:$V$159,J410+3,FALSE))</f>
        <v/>
      </c>
      <c r="P410" s="572">
        <f t="shared" si="110"/>
        <v>0</v>
      </c>
      <c r="Q410" s="589">
        <f t="shared" si="106"/>
        <v>0.6</v>
      </c>
      <c r="R410" s="573">
        <f t="shared" si="107"/>
        <v>0</v>
      </c>
      <c r="S410" s="332">
        <f>IF(L410="",0,O410*12*L410*(1+tab!$D$108)*tab!$E$110)</f>
        <v>0</v>
      </c>
      <c r="T410" s="580">
        <f t="shared" si="108"/>
        <v>0</v>
      </c>
      <c r="U410" s="243">
        <f t="shared" si="99"/>
        <v>0</v>
      </c>
      <c r="V410" s="332">
        <f t="shared" si="111"/>
        <v>0</v>
      </c>
      <c r="W410" s="136"/>
      <c r="Z410" s="647" t="e">
        <f t="shared" si="112"/>
        <v>#VALUE!</v>
      </c>
      <c r="AA410" s="647" t="e">
        <f t="shared" si="113"/>
        <v>#VALUE!</v>
      </c>
      <c r="AB410" s="67">
        <f t="shared" si="114"/>
        <v>30</v>
      </c>
      <c r="AC410" s="67">
        <f t="shared" si="115"/>
        <v>30</v>
      </c>
      <c r="AD410" s="84">
        <f t="shared" si="116"/>
        <v>0</v>
      </c>
      <c r="AJ410" s="405"/>
    </row>
    <row r="411" spans="3:36" ht="12.75" customHeight="1">
      <c r="C411" s="131"/>
      <c r="D411" s="169" t="str">
        <f>IF(op!D299=0,"",op!D299)</f>
        <v/>
      </c>
      <c r="E411" s="169" t="str">
        <f>IF(op!E299=0,"",op!E299)</f>
        <v/>
      </c>
      <c r="F411" s="169" t="str">
        <f>IF(op!F299=0,"",op!F299)</f>
        <v/>
      </c>
      <c r="G411" s="170" t="str">
        <f>IF(op!G299="","",op!G299+1)</f>
        <v/>
      </c>
      <c r="H411" s="566" t="str">
        <f>IF(op!H299="","",op!H299)</f>
        <v/>
      </c>
      <c r="I411" s="170" t="str">
        <f>IF(op!I299=0,"",op!I299)</f>
        <v/>
      </c>
      <c r="J411" s="567" t="str">
        <f>IF(E411="","",IF(op!J299&gt;LOOKUP(I411,schaal2011,regels2011),J299-1,IF(op!J299=LOOKUP(I411,schaal2011,regels2011),op!J299,J299+1)))</f>
        <v/>
      </c>
      <c r="K411" s="568" t="str">
        <f>IF(op!K299="","",op!K299)</f>
        <v/>
      </c>
      <c r="L411" s="569" t="str">
        <f>IF(op!L299="","",op!L299)</f>
        <v/>
      </c>
      <c r="M411" s="570" t="str">
        <f t="shared" si="117"/>
        <v/>
      </c>
      <c r="N411" s="155"/>
      <c r="O411" s="571" t="str">
        <f>IF(I411="","",VLOOKUP(I411,tab!$A$119:$V$159,J411+3,FALSE))</f>
        <v/>
      </c>
      <c r="P411" s="572">
        <f t="shared" si="110"/>
        <v>0</v>
      </c>
      <c r="Q411" s="589">
        <f t="shared" si="106"/>
        <v>0.6</v>
      </c>
      <c r="R411" s="573">
        <f t="shared" si="107"/>
        <v>0</v>
      </c>
      <c r="S411" s="332">
        <f>IF(L411="",0,O411*12*L411*(1+tab!$D$108)*tab!$E$110)</f>
        <v>0</v>
      </c>
      <c r="T411" s="580">
        <f t="shared" si="108"/>
        <v>0</v>
      </c>
      <c r="U411" s="243">
        <f t="shared" si="99"/>
        <v>0</v>
      </c>
      <c r="V411" s="332">
        <f t="shared" si="111"/>
        <v>0</v>
      </c>
      <c r="W411" s="136"/>
      <c r="Z411" s="647" t="e">
        <f t="shared" si="112"/>
        <v>#VALUE!</v>
      </c>
      <c r="AA411" s="647" t="e">
        <f t="shared" si="113"/>
        <v>#VALUE!</v>
      </c>
      <c r="AB411" s="67">
        <f t="shared" si="114"/>
        <v>30</v>
      </c>
      <c r="AC411" s="67">
        <f t="shared" si="115"/>
        <v>30</v>
      </c>
      <c r="AD411" s="84">
        <f t="shared" si="116"/>
        <v>0</v>
      </c>
      <c r="AJ411" s="405"/>
    </row>
    <row r="412" spans="3:36" ht="12.75" customHeight="1">
      <c r="C412" s="131"/>
      <c r="D412" s="169" t="str">
        <f>IF(op!D300=0,"",op!D300)</f>
        <v/>
      </c>
      <c r="E412" s="169" t="str">
        <f>IF(op!E300=0,"",op!E300)</f>
        <v/>
      </c>
      <c r="F412" s="169" t="str">
        <f>IF(op!F300=0,"",op!F300)</f>
        <v/>
      </c>
      <c r="G412" s="170" t="str">
        <f>IF(op!G300="","",op!G300+1)</f>
        <v/>
      </c>
      <c r="H412" s="566" t="str">
        <f>IF(op!H300="","",op!H300)</f>
        <v/>
      </c>
      <c r="I412" s="170" t="str">
        <f>IF(op!I300=0,"",op!I300)</f>
        <v/>
      </c>
      <c r="J412" s="567" t="str">
        <f>IF(E412="","",IF(op!J300&gt;LOOKUP(I412,schaal2011,regels2011),J300-1,IF(op!J300=LOOKUP(I412,schaal2011,regels2011),op!J300,J300+1)))</f>
        <v/>
      </c>
      <c r="K412" s="568" t="str">
        <f>IF(op!K300="","",op!K300)</f>
        <v/>
      </c>
      <c r="L412" s="569" t="str">
        <f>IF(op!L300="","",op!L300)</f>
        <v/>
      </c>
      <c r="M412" s="570" t="str">
        <f t="shared" si="117"/>
        <v/>
      </c>
      <c r="N412" s="155"/>
      <c r="O412" s="571" t="str">
        <f>IF(I412="","",VLOOKUP(I412,tab!$A$119:$V$159,J412+3,FALSE))</f>
        <v/>
      </c>
      <c r="P412" s="572">
        <f t="shared" si="110"/>
        <v>0</v>
      </c>
      <c r="Q412" s="589">
        <f t="shared" si="106"/>
        <v>0.6</v>
      </c>
      <c r="R412" s="573">
        <f t="shared" si="107"/>
        <v>0</v>
      </c>
      <c r="S412" s="332">
        <f>IF(L412="",0,O412*12*L412*(1+tab!$D$108)*tab!$E$110)</f>
        <v>0</v>
      </c>
      <c r="T412" s="580">
        <f t="shared" si="108"/>
        <v>0</v>
      </c>
      <c r="U412" s="243">
        <f t="shared" si="99"/>
        <v>0</v>
      </c>
      <c r="V412" s="332">
        <f t="shared" si="111"/>
        <v>0</v>
      </c>
      <c r="W412" s="136"/>
      <c r="Z412" s="647" t="e">
        <f t="shared" si="112"/>
        <v>#VALUE!</v>
      </c>
      <c r="AA412" s="647" t="e">
        <f t="shared" si="113"/>
        <v>#VALUE!</v>
      </c>
      <c r="AB412" s="67">
        <f t="shared" si="114"/>
        <v>30</v>
      </c>
      <c r="AC412" s="67">
        <f t="shared" si="115"/>
        <v>30</v>
      </c>
      <c r="AD412" s="84">
        <f t="shared" si="116"/>
        <v>0</v>
      </c>
      <c r="AJ412" s="405"/>
    </row>
    <row r="413" spans="3:36" ht="12.75" customHeight="1">
      <c r="C413" s="131"/>
      <c r="D413" s="169" t="str">
        <f>IF(op!D301=0,"",op!D301)</f>
        <v/>
      </c>
      <c r="E413" s="169" t="str">
        <f>IF(op!E301=0,"",op!E301)</f>
        <v/>
      </c>
      <c r="F413" s="169" t="str">
        <f>IF(op!F301=0,"",op!F301)</f>
        <v/>
      </c>
      <c r="G413" s="170" t="str">
        <f>IF(op!G301="","",op!G301+1)</f>
        <v/>
      </c>
      <c r="H413" s="566" t="str">
        <f>IF(op!H301="","",op!H301)</f>
        <v/>
      </c>
      <c r="I413" s="170" t="str">
        <f>IF(op!I301=0,"",op!I301)</f>
        <v/>
      </c>
      <c r="J413" s="567" t="str">
        <f>IF(E413="","",IF(op!J301&gt;LOOKUP(I413,schaal2011,regels2011),J301-1,IF(op!J301=LOOKUP(I413,schaal2011,regels2011),op!J301,J301+1)))</f>
        <v/>
      </c>
      <c r="K413" s="568" t="str">
        <f>IF(op!K301="","",op!K301)</f>
        <v/>
      </c>
      <c r="L413" s="569" t="str">
        <f>IF(op!L301="","",op!L301)</f>
        <v/>
      </c>
      <c r="M413" s="570" t="str">
        <f t="shared" si="117"/>
        <v/>
      </c>
      <c r="N413" s="155"/>
      <c r="O413" s="571" t="str">
        <f>IF(I413="","",VLOOKUP(I413,tab!$A$119:$V$159,J413+3,FALSE))</f>
        <v/>
      </c>
      <c r="P413" s="572">
        <f t="shared" si="110"/>
        <v>0</v>
      </c>
      <c r="Q413" s="589">
        <f t="shared" si="106"/>
        <v>0.6</v>
      </c>
      <c r="R413" s="573">
        <f t="shared" si="107"/>
        <v>0</v>
      </c>
      <c r="S413" s="332">
        <f>IF(L413="",0,O413*12*L413*(1+tab!$D$108)*tab!$E$110)</f>
        <v>0</v>
      </c>
      <c r="T413" s="580">
        <f t="shared" si="108"/>
        <v>0</v>
      </c>
      <c r="U413" s="243">
        <f t="shared" si="99"/>
        <v>0</v>
      </c>
      <c r="V413" s="332">
        <f t="shared" si="111"/>
        <v>0</v>
      </c>
      <c r="W413" s="136"/>
      <c r="Z413" s="647" t="e">
        <f t="shared" si="112"/>
        <v>#VALUE!</v>
      </c>
      <c r="AA413" s="647" t="e">
        <f t="shared" si="113"/>
        <v>#VALUE!</v>
      </c>
      <c r="AB413" s="67">
        <f t="shared" si="114"/>
        <v>30</v>
      </c>
      <c r="AC413" s="67">
        <f t="shared" si="115"/>
        <v>30</v>
      </c>
      <c r="AD413" s="84">
        <f t="shared" si="116"/>
        <v>0</v>
      </c>
      <c r="AJ413" s="405"/>
    </row>
    <row r="414" spans="3:36" ht="12.75" customHeight="1">
      <c r="C414" s="131"/>
      <c r="D414" s="169" t="str">
        <f>IF(op!D302=0,"",op!D302)</f>
        <v/>
      </c>
      <c r="E414" s="169" t="str">
        <f>IF(op!E302=0,"",op!E302)</f>
        <v/>
      </c>
      <c r="F414" s="169" t="str">
        <f>IF(op!F302=0,"",op!F302)</f>
        <v/>
      </c>
      <c r="G414" s="170" t="str">
        <f>IF(op!G302="","",op!G302+1)</f>
        <v/>
      </c>
      <c r="H414" s="566" t="str">
        <f>IF(op!H302="","",op!H302)</f>
        <v/>
      </c>
      <c r="I414" s="170" t="str">
        <f>IF(op!I302=0,"",op!I302)</f>
        <v/>
      </c>
      <c r="J414" s="567" t="str">
        <f>IF(E414="","",IF(op!J302&gt;LOOKUP(I414,schaal2011,regels2011),J302-1,IF(op!J302=LOOKUP(I414,schaal2011,regels2011),op!J302,J302+1)))</f>
        <v/>
      </c>
      <c r="K414" s="568" t="str">
        <f>IF(op!K302="","",op!K302)</f>
        <v/>
      </c>
      <c r="L414" s="569" t="str">
        <f>IF(op!L302="","",op!L302)</f>
        <v/>
      </c>
      <c r="M414" s="570" t="str">
        <f t="shared" si="117"/>
        <v/>
      </c>
      <c r="N414" s="155"/>
      <c r="O414" s="571" t="str">
        <f>IF(I414="","",VLOOKUP(I414,tab!$A$119:$V$159,J414+3,FALSE))</f>
        <v/>
      </c>
      <c r="P414" s="572">
        <f t="shared" si="110"/>
        <v>0</v>
      </c>
      <c r="Q414" s="589">
        <f t="shared" si="106"/>
        <v>0.6</v>
      </c>
      <c r="R414" s="573">
        <f t="shared" si="107"/>
        <v>0</v>
      </c>
      <c r="S414" s="332">
        <f>IF(L414="",0,O414*12*L414*(1+tab!$D$108)*tab!$E$110)</f>
        <v>0</v>
      </c>
      <c r="T414" s="580">
        <f t="shared" si="108"/>
        <v>0</v>
      </c>
      <c r="U414" s="243">
        <f t="shared" si="99"/>
        <v>0</v>
      </c>
      <c r="V414" s="332">
        <f t="shared" si="111"/>
        <v>0</v>
      </c>
      <c r="W414" s="136"/>
      <c r="Z414" s="647" t="e">
        <f t="shared" si="112"/>
        <v>#VALUE!</v>
      </c>
      <c r="AA414" s="647" t="e">
        <f t="shared" si="113"/>
        <v>#VALUE!</v>
      </c>
      <c r="AB414" s="67">
        <f t="shared" si="114"/>
        <v>30</v>
      </c>
      <c r="AC414" s="67">
        <f t="shared" si="115"/>
        <v>30</v>
      </c>
      <c r="AD414" s="84">
        <f t="shared" si="116"/>
        <v>0</v>
      </c>
      <c r="AJ414" s="405"/>
    </row>
    <row r="415" spans="3:36" ht="12.75" customHeight="1">
      <c r="C415" s="131"/>
      <c r="D415" s="169" t="str">
        <f>IF(op!D303=0,"",op!D303)</f>
        <v/>
      </c>
      <c r="E415" s="169" t="str">
        <f>IF(op!E303=0,"",op!E303)</f>
        <v/>
      </c>
      <c r="F415" s="169" t="str">
        <f>IF(op!F303=0,"",op!F303)</f>
        <v/>
      </c>
      <c r="G415" s="170" t="str">
        <f>IF(op!G303="","",op!G303+1)</f>
        <v/>
      </c>
      <c r="H415" s="566" t="str">
        <f>IF(op!H303="","",op!H303)</f>
        <v/>
      </c>
      <c r="I415" s="170" t="str">
        <f>IF(op!I303=0,"",op!I303)</f>
        <v/>
      </c>
      <c r="J415" s="567" t="str">
        <f>IF(E415="","",IF(op!J303&gt;LOOKUP(I415,schaal2011,regels2011),J303-1,IF(op!J303=LOOKUP(I415,schaal2011,regels2011),op!J303,J303+1)))</f>
        <v/>
      </c>
      <c r="K415" s="568" t="str">
        <f>IF(op!K303="","",op!K303)</f>
        <v/>
      </c>
      <c r="L415" s="569" t="str">
        <f>IF(op!L303="","",op!L303)</f>
        <v/>
      </c>
      <c r="M415" s="570" t="str">
        <f t="shared" si="117"/>
        <v/>
      </c>
      <c r="N415" s="155"/>
      <c r="O415" s="571" t="str">
        <f>IF(I415="","",VLOOKUP(I415,tab!$A$119:$V$159,J415+3,FALSE))</f>
        <v/>
      </c>
      <c r="P415" s="572">
        <f t="shared" si="110"/>
        <v>0</v>
      </c>
      <c r="Q415" s="589">
        <f t="shared" si="106"/>
        <v>0.6</v>
      </c>
      <c r="R415" s="573">
        <f t="shared" si="107"/>
        <v>0</v>
      </c>
      <c r="S415" s="332">
        <f>IF(L415="",0,O415*12*L415*(1+tab!$D$108)*tab!$E$110)</f>
        <v>0</v>
      </c>
      <c r="T415" s="580">
        <f t="shared" si="108"/>
        <v>0</v>
      </c>
      <c r="U415" s="243">
        <f t="shared" si="99"/>
        <v>0</v>
      </c>
      <c r="V415" s="332">
        <f t="shared" si="111"/>
        <v>0</v>
      </c>
      <c r="W415" s="136"/>
      <c r="Z415" s="647" t="e">
        <f t="shared" si="112"/>
        <v>#VALUE!</v>
      </c>
      <c r="AA415" s="647" t="e">
        <f t="shared" si="113"/>
        <v>#VALUE!</v>
      </c>
      <c r="AB415" s="67">
        <f t="shared" si="114"/>
        <v>30</v>
      </c>
      <c r="AC415" s="67">
        <f t="shared" si="115"/>
        <v>30</v>
      </c>
      <c r="AD415" s="84">
        <f t="shared" si="116"/>
        <v>0</v>
      </c>
      <c r="AJ415" s="405"/>
    </row>
    <row r="416" spans="3:36" ht="12.75" customHeight="1">
      <c r="C416" s="131"/>
      <c r="D416" s="169" t="str">
        <f>IF(op!D304=0,"",op!D304)</f>
        <v/>
      </c>
      <c r="E416" s="169" t="str">
        <f>IF(op!E304=0,"",op!E304)</f>
        <v/>
      </c>
      <c r="F416" s="169" t="str">
        <f>IF(op!F304=0,"",op!F304)</f>
        <v/>
      </c>
      <c r="G416" s="170" t="str">
        <f>IF(op!G304="","",op!G304+1)</f>
        <v/>
      </c>
      <c r="H416" s="566" t="str">
        <f>IF(op!H304="","",op!H304)</f>
        <v/>
      </c>
      <c r="I416" s="170" t="str">
        <f>IF(op!I304=0,"",op!I304)</f>
        <v/>
      </c>
      <c r="J416" s="567" t="str">
        <f>IF(E416="","",IF(op!J304&gt;LOOKUP(I416,schaal2011,regels2011),J304-1,IF(op!J304=LOOKUP(I416,schaal2011,regels2011),op!J304,J304+1)))</f>
        <v/>
      </c>
      <c r="K416" s="568" t="str">
        <f>IF(op!K304="","",op!K304)</f>
        <v/>
      </c>
      <c r="L416" s="569" t="str">
        <f>IF(op!L304="","",op!L304)</f>
        <v/>
      </c>
      <c r="M416" s="570" t="str">
        <f t="shared" si="117"/>
        <v/>
      </c>
      <c r="N416" s="155"/>
      <c r="O416" s="571" t="str">
        <f>IF(I416="","",VLOOKUP(I416,tab!$A$119:$V$159,J416+3,FALSE))</f>
        <v/>
      </c>
      <c r="P416" s="572">
        <f t="shared" ref="P416:P447" si="118">IF(E416="",0,(O416*M416*12))</f>
        <v>0</v>
      </c>
      <c r="Q416" s="589">
        <f t="shared" si="106"/>
        <v>0.6</v>
      </c>
      <c r="R416" s="573">
        <f t="shared" si="107"/>
        <v>0</v>
      </c>
      <c r="S416" s="332">
        <f>IF(L416="",0,O416*12*L416*(1+tab!$D$108)*tab!$E$110)</f>
        <v>0</v>
      </c>
      <c r="T416" s="580">
        <f t="shared" si="108"/>
        <v>0</v>
      </c>
      <c r="U416" s="243">
        <f t="shared" ref="U416:U451" si="119">IF(G416&lt;25,0,IF(G416=25,25,IF(G416&lt;40,0,IF(G416=40,40,IF(G416&gt;=40,0)))))</f>
        <v>0</v>
      </c>
      <c r="V416" s="332">
        <f t="shared" ref="V416:V447" si="120">IF(U416=25,(O416*1.08*(K416)/2),IF(U416=40,(O416*1.08*(K416)),IF(U416=0,0)))</f>
        <v>0</v>
      </c>
      <c r="W416" s="136"/>
      <c r="Z416" s="647" t="e">
        <f t="shared" ref="Z416:Z451" si="121">DATE(YEAR($E$345),MONTH(H416),DAY(H416))&gt;$E$345</f>
        <v>#VALUE!</v>
      </c>
      <c r="AA416" s="647" t="e">
        <f t="shared" ref="AA416:AA447" si="122">YEAR($E$345)-YEAR(H416)-Z416</f>
        <v>#VALUE!</v>
      </c>
      <c r="AB416" s="67">
        <f t="shared" ref="AB416:AB447" si="123">IF((H416=""),30,AA416)</f>
        <v>30</v>
      </c>
      <c r="AC416" s="67">
        <f t="shared" si="115"/>
        <v>30</v>
      </c>
      <c r="AD416" s="84">
        <f t="shared" ref="AD416:AD447" si="124">(AC416*(SUM(K416:K416)))</f>
        <v>0</v>
      </c>
      <c r="AJ416" s="405"/>
    </row>
    <row r="417" spans="3:36" ht="12.75" customHeight="1">
      <c r="C417" s="131"/>
      <c r="D417" s="169" t="str">
        <f>IF(op!D305=0,"",op!D305)</f>
        <v/>
      </c>
      <c r="E417" s="169" t="str">
        <f>IF(op!E305=0,"",op!E305)</f>
        <v/>
      </c>
      <c r="F417" s="169" t="str">
        <f>IF(op!F305=0,"",op!F305)</f>
        <v/>
      </c>
      <c r="G417" s="170" t="str">
        <f>IF(op!G305="","",op!G305+1)</f>
        <v/>
      </c>
      <c r="H417" s="566" t="str">
        <f>IF(op!H305="","",op!H305)</f>
        <v/>
      </c>
      <c r="I417" s="170" t="str">
        <f>IF(op!I305=0,"",op!I305)</f>
        <v/>
      </c>
      <c r="J417" s="567" t="str">
        <f>IF(E417="","",IF(op!J305&gt;LOOKUP(I417,schaal2011,regels2011),J305-1,IF(op!J305=LOOKUP(I417,schaal2011,regels2011),op!J305,J305+1)))</f>
        <v/>
      </c>
      <c r="K417" s="568" t="str">
        <f>IF(op!K305="","",op!K305)</f>
        <v/>
      </c>
      <c r="L417" s="569" t="str">
        <f>IF(op!L305="","",op!L305)</f>
        <v/>
      </c>
      <c r="M417" s="570" t="str">
        <f t="shared" si="117"/>
        <v/>
      </c>
      <c r="N417" s="155"/>
      <c r="O417" s="571" t="str">
        <f>IF(I417="","",VLOOKUP(I417,tab!$A$119:$V$159,J417+3,FALSE))</f>
        <v/>
      </c>
      <c r="P417" s="572">
        <f t="shared" si="118"/>
        <v>0</v>
      </c>
      <c r="Q417" s="589">
        <f t="shared" ref="Q417:Q451" si="125">$Q$350</f>
        <v>0.6</v>
      </c>
      <c r="R417" s="573">
        <f t="shared" ref="R417:R451" si="126">IF(E417=0,"",(P417)*Q417)</f>
        <v>0</v>
      </c>
      <c r="S417" s="332">
        <f>IF(L417="",0,O417*12*L417*(1+tab!$D$108)*tab!$E$110)</f>
        <v>0</v>
      </c>
      <c r="T417" s="580">
        <f t="shared" ref="T417:T451" si="127">IF(E417=0,0,(P417+R417+S417))</f>
        <v>0</v>
      </c>
      <c r="U417" s="243">
        <f t="shared" si="119"/>
        <v>0</v>
      </c>
      <c r="V417" s="332">
        <f t="shared" si="120"/>
        <v>0</v>
      </c>
      <c r="W417" s="136"/>
      <c r="Z417" s="647" t="e">
        <f t="shared" si="121"/>
        <v>#VALUE!</v>
      </c>
      <c r="AA417" s="647" t="e">
        <f t="shared" si="122"/>
        <v>#VALUE!</v>
      </c>
      <c r="AB417" s="67">
        <f t="shared" si="123"/>
        <v>30</v>
      </c>
      <c r="AC417" s="67">
        <f t="shared" si="115"/>
        <v>30</v>
      </c>
      <c r="AD417" s="84">
        <f t="shared" si="124"/>
        <v>0</v>
      </c>
      <c r="AJ417" s="405"/>
    </row>
    <row r="418" spans="3:36" ht="12.75" customHeight="1">
      <c r="C418" s="131"/>
      <c r="D418" s="169" t="str">
        <f>IF(op!D306=0,"",op!D306)</f>
        <v/>
      </c>
      <c r="E418" s="169" t="str">
        <f>IF(op!E306=0,"",op!E306)</f>
        <v/>
      </c>
      <c r="F418" s="169" t="str">
        <f>IF(op!F306=0,"",op!F306)</f>
        <v/>
      </c>
      <c r="G418" s="170" t="str">
        <f>IF(op!G306="","",op!G306+1)</f>
        <v/>
      </c>
      <c r="H418" s="566" t="str">
        <f>IF(op!H306="","",op!H306)</f>
        <v/>
      </c>
      <c r="I418" s="170" t="str">
        <f>IF(op!I306=0,"",op!I306)</f>
        <v/>
      </c>
      <c r="J418" s="567" t="str">
        <f>IF(E418="","",IF(op!J306&gt;LOOKUP(I418,schaal2011,regels2011),J306-1,IF(op!J306=LOOKUP(I418,schaal2011,regels2011),op!J306,J306+1)))</f>
        <v/>
      </c>
      <c r="K418" s="568" t="str">
        <f>IF(op!K306="","",op!K306)</f>
        <v/>
      </c>
      <c r="L418" s="569" t="str">
        <f>IF(op!L306="","",op!L306)</f>
        <v/>
      </c>
      <c r="M418" s="570" t="str">
        <f t="shared" si="117"/>
        <v/>
      </c>
      <c r="N418" s="155"/>
      <c r="O418" s="571" t="str">
        <f>IF(I418="","",VLOOKUP(I418,tab!$A$119:$V$159,J418+3,FALSE))</f>
        <v/>
      </c>
      <c r="P418" s="572">
        <f t="shared" si="118"/>
        <v>0</v>
      </c>
      <c r="Q418" s="589">
        <f t="shared" si="125"/>
        <v>0.6</v>
      </c>
      <c r="R418" s="573">
        <f t="shared" si="126"/>
        <v>0</v>
      </c>
      <c r="S418" s="332">
        <f>IF(L418="",0,O418*12*L418*(1+tab!$D$108)*tab!$E$110)</f>
        <v>0</v>
      </c>
      <c r="T418" s="580">
        <f t="shared" si="127"/>
        <v>0</v>
      </c>
      <c r="U418" s="243">
        <f t="shared" si="119"/>
        <v>0</v>
      </c>
      <c r="V418" s="332">
        <f t="shared" si="120"/>
        <v>0</v>
      </c>
      <c r="W418" s="136"/>
      <c r="Z418" s="647" t="e">
        <f t="shared" si="121"/>
        <v>#VALUE!</v>
      </c>
      <c r="AA418" s="647" t="e">
        <f t="shared" si="122"/>
        <v>#VALUE!</v>
      </c>
      <c r="AB418" s="67">
        <f t="shared" si="123"/>
        <v>30</v>
      </c>
      <c r="AC418" s="67">
        <f t="shared" si="115"/>
        <v>30</v>
      </c>
      <c r="AD418" s="84">
        <f t="shared" si="124"/>
        <v>0</v>
      </c>
      <c r="AJ418" s="405"/>
    </row>
    <row r="419" spans="3:36" ht="12.75" customHeight="1">
      <c r="C419" s="131"/>
      <c r="D419" s="169" t="str">
        <f>IF(op!D307=0,"",op!D307)</f>
        <v/>
      </c>
      <c r="E419" s="169" t="str">
        <f>IF(op!E307=0,"",op!E307)</f>
        <v/>
      </c>
      <c r="F419" s="169" t="str">
        <f>IF(op!F307=0,"",op!F307)</f>
        <v/>
      </c>
      <c r="G419" s="170" t="str">
        <f>IF(op!G307="","",op!G307+1)</f>
        <v/>
      </c>
      <c r="H419" s="566" t="str">
        <f>IF(op!H307="","",op!H307)</f>
        <v/>
      </c>
      <c r="I419" s="170" t="str">
        <f>IF(op!I307=0,"",op!I307)</f>
        <v/>
      </c>
      <c r="J419" s="567" t="str">
        <f>IF(E419="","",IF(op!J307&gt;LOOKUP(I419,schaal2011,regels2011),J307-1,IF(op!J307=LOOKUP(I419,schaal2011,regels2011),op!J307,J307+1)))</f>
        <v/>
      </c>
      <c r="K419" s="568" t="str">
        <f>IF(op!K307="","",op!K307)</f>
        <v/>
      </c>
      <c r="L419" s="569" t="str">
        <f>IF(op!L307="","",op!L307)</f>
        <v/>
      </c>
      <c r="M419" s="570" t="str">
        <f t="shared" si="117"/>
        <v/>
      </c>
      <c r="N419" s="155"/>
      <c r="O419" s="571" t="str">
        <f>IF(I419="","",VLOOKUP(I419,tab!$A$119:$V$159,J419+3,FALSE))</f>
        <v/>
      </c>
      <c r="P419" s="572">
        <f t="shared" si="118"/>
        <v>0</v>
      </c>
      <c r="Q419" s="589">
        <f t="shared" si="125"/>
        <v>0.6</v>
      </c>
      <c r="R419" s="573">
        <f t="shared" si="126"/>
        <v>0</v>
      </c>
      <c r="S419" s="332">
        <f>IF(L419="",0,O419*12*L419*(1+tab!$D$108)*tab!$E$110)</f>
        <v>0</v>
      </c>
      <c r="T419" s="580">
        <f t="shared" si="127"/>
        <v>0</v>
      </c>
      <c r="U419" s="243">
        <f t="shared" si="119"/>
        <v>0</v>
      </c>
      <c r="V419" s="332">
        <f t="shared" si="120"/>
        <v>0</v>
      </c>
      <c r="W419" s="136"/>
      <c r="Z419" s="647" t="e">
        <f t="shared" si="121"/>
        <v>#VALUE!</v>
      </c>
      <c r="AA419" s="647" t="e">
        <f t="shared" si="122"/>
        <v>#VALUE!</v>
      </c>
      <c r="AB419" s="67">
        <f t="shared" si="123"/>
        <v>30</v>
      </c>
      <c r="AC419" s="67">
        <f t="shared" si="115"/>
        <v>30</v>
      </c>
      <c r="AD419" s="84">
        <f t="shared" si="124"/>
        <v>0</v>
      </c>
      <c r="AJ419" s="405"/>
    </row>
    <row r="420" spans="3:36" ht="12.75" customHeight="1">
      <c r="C420" s="131"/>
      <c r="D420" s="169" t="str">
        <f>IF(op!D308=0,"",op!D308)</f>
        <v/>
      </c>
      <c r="E420" s="169" t="str">
        <f>IF(op!E308=0,"",op!E308)</f>
        <v/>
      </c>
      <c r="F420" s="169" t="str">
        <f>IF(op!F308=0,"",op!F308)</f>
        <v/>
      </c>
      <c r="G420" s="170" t="str">
        <f>IF(op!G308="","",op!G308+1)</f>
        <v/>
      </c>
      <c r="H420" s="566" t="str">
        <f>IF(op!H308="","",op!H308)</f>
        <v/>
      </c>
      <c r="I420" s="170" t="str">
        <f>IF(op!I308=0,"",op!I308)</f>
        <v/>
      </c>
      <c r="J420" s="567" t="str">
        <f>IF(E420="","",IF(op!J308&gt;LOOKUP(I420,schaal2011,regels2011),J308-1,IF(op!J308=LOOKUP(I420,schaal2011,regels2011),op!J308,J308+1)))</f>
        <v/>
      </c>
      <c r="K420" s="568" t="str">
        <f>IF(op!K308="","",op!K308)</f>
        <v/>
      </c>
      <c r="L420" s="569" t="str">
        <f>IF(op!L308="","",op!L308)</f>
        <v/>
      </c>
      <c r="M420" s="570" t="str">
        <f t="shared" si="117"/>
        <v/>
      </c>
      <c r="N420" s="155"/>
      <c r="O420" s="571" t="str">
        <f>IF(I420="","",VLOOKUP(I420,tab!$A$119:$V$159,J420+3,FALSE))</f>
        <v/>
      </c>
      <c r="P420" s="572">
        <f t="shared" si="118"/>
        <v>0</v>
      </c>
      <c r="Q420" s="589">
        <f t="shared" si="125"/>
        <v>0.6</v>
      </c>
      <c r="R420" s="573">
        <f t="shared" si="126"/>
        <v>0</v>
      </c>
      <c r="S420" s="332">
        <f>IF(L420="",0,O420*12*L420*(1+tab!$D$108)*tab!$E$110)</f>
        <v>0</v>
      </c>
      <c r="T420" s="580">
        <f t="shared" si="127"/>
        <v>0</v>
      </c>
      <c r="U420" s="243">
        <f t="shared" si="119"/>
        <v>0</v>
      </c>
      <c r="V420" s="332">
        <f t="shared" si="120"/>
        <v>0</v>
      </c>
      <c r="W420" s="136"/>
      <c r="Z420" s="647" t="e">
        <f t="shared" si="121"/>
        <v>#VALUE!</v>
      </c>
      <c r="AA420" s="647" t="e">
        <f t="shared" si="122"/>
        <v>#VALUE!</v>
      </c>
      <c r="AB420" s="67">
        <f t="shared" si="123"/>
        <v>30</v>
      </c>
      <c r="AC420" s="67">
        <f t="shared" si="115"/>
        <v>30</v>
      </c>
      <c r="AD420" s="84">
        <f t="shared" si="124"/>
        <v>0</v>
      </c>
      <c r="AJ420" s="405"/>
    </row>
    <row r="421" spans="3:36" ht="12.75" customHeight="1">
      <c r="C421" s="131"/>
      <c r="D421" s="169" t="str">
        <f>IF(op!D309=0,"",op!D309)</f>
        <v/>
      </c>
      <c r="E421" s="169" t="str">
        <f>IF(op!E309=0,"",op!E309)</f>
        <v/>
      </c>
      <c r="F421" s="169" t="str">
        <f>IF(op!F309=0,"",op!F309)</f>
        <v/>
      </c>
      <c r="G421" s="170" t="str">
        <f>IF(op!G309="","",op!G309+1)</f>
        <v/>
      </c>
      <c r="H421" s="566" t="str">
        <f>IF(op!H309="","",op!H309)</f>
        <v/>
      </c>
      <c r="I421" s="170" t="str">
        <f>IF(op!I309=0,"",op!I309)</f>
        <v/>
      </c>
      <c r="J421" s="567" t="str">
        <f>IF(E421="","",IF(op!J309&gt;LOOKUP(I421,schaal2011,regels2011),J309-1,IF(op!J309=LOOKUP(I421,schaal2011,regels2011),op!J309,J309+1)))</f>
        <v/>
      </c>
      <c r="K421" s="568" t="str">
        <f>IF(op!K309="","",op!K309)</f>
        <v/>
      </c>
      <c r="L421" s="569" t="str">
        <f>IF(op!L309="","",op!L309)</f>
        <v/>
      </c>
      <c r="M421" s="570" t="str">
        <f t="shared" si="117"/>
        <v/>
      </c>
      <c r="N421" s="155"/>
      <c r="O421" s="571" t="str">
        <f>IF(I421="","",VLOOKUP(I421,tab!$A$119:$V$159,J421+3,FALSE))</f>
        <v/>
      </c>
      <c r="P421" s="572">
        <f t="shared" si="118"/>
        <v>0</v>
      </c>
      <c r="Q421" s="589">
        <f t="shared" si="125"/>
        <v>0.6</v>
      </c>
      <c r="R421" s="573">
        <f t="shared" si="126"/>
        <v>0</v>
      </c>
      <c r="S421" s="332">
        <f>IF(L421="",0,O421*12*L421*(1+tab!$D$108)*tab!$E$110)</f>
        <v>0</v>
      </c>
      <c r="T421" s="580">
        <f t="shared" si="127"/>
        <v>0</v>
      </c>
      <c r="U421" s="243">
        <f t="shared" si="119"/>
        <v>0</v>
      </c>
      <c r="V421" s="332">
        <f t="shared" si="120"/>
        <v>0</v>
      </c>
      <c r="W421" s="136"/>
      <c r="Z421" s="647" t="e">
        <f t="shared" si="121"/>
        <v>#VALUE!</v>
      </c>
      <c r="AA421" s="647" t="e">
        <f t="shared" si="122"/>
        <v>#VALUE!</v>
      </c>
      <c r="AB421" s="67">
        <f t="shared" si="123"/>
        <v>30</v>
      </c>
      <c r="AC421" s="67">
        <f t="shared" si="115"/>
        <v>30</v>
      </c>
      <c r="AD421" s="84">
        <f t="shared" si="124"/>
        <v>0</v>
      </c>
      <c r="AJ421" s="405"/>
    </row>
    <row r="422" spans="3:36" ht="12.75" customHeight="1">
      <c r="C422" s="131"/>
      <c r="D422" s="169" t="str">
        <f>IF(op!D310=0,"",op!D310)</f>
        <v/>
      </c>
      <c r="E422" s="169" t="str">
        <f>IF(op!E310=0,"",op!E310)</f>
        <v/>
      </c>
      <c r="F422" s="169" t="str">
        <f>IF(op!F310=0,"",op!F310)</f>
        <v/>
      </c>
      <c r="G422" s="170" t="str">
        <f>IF(op!G310="","",op!G310+1)</f>
        <v/>
      </c>
      <c r="H422" s="566" t="str">
        <f>IF(op!H310="","",op!H310)</f>
        <v/>
      </c>
      <c r="I422" s="170" t="str">
        <f>IF(op!I310=0,"",op!I310)</f>
        <v/>
      </c>
      <c r="J422" s="567" t="str">
        <f>IF(E422="","",IF(op!J310&gt;LOOKUP(I422,schaal2011,regels2011),J310-1,IF(op!J310=LOOKUP(I422,schaal2011,regels2011),op!J310,J310+1)))</f>
        <v/>
      </c>
      <c r="K422" s="568" t="str">
        <f>IF(op!K310="","",op!K310)</f>
        <v/>
      </c>
      <c r="L422" s="569" t="str">
        <f>IF(op!L310="","",op!L310)</f>
        <v/>
      </c>
      <c r="M422" s="570" t="str">
        <f t="shared" si="117"/>
        <v/>
      </c>
      <c r="N422" s="155"/>
      <c r="O422" s="571" t="str">
        <f>IF(I422="","",VLOOKUP(I422,tab!$A$119:$V$159,J422+3,FALSE))</f>
        <v/>
      </c>
      <c r="P422" s="572">
        <f t="shared" si="118"/>
        <v>0</v>
      </c>
      <c r="Q422" s="589">
        <f t="shared" si="125"/>
        <v>0.6</v>
      </c>
      <c r="R422" s="573">
        <f t="shared" si="126"/>
        <v>0</v>
      </c>
      <c r="S422" s="332">
        <f>IF(L422="",0,O422*12*L422*(1+tab!$D$108)*tab!$E$110)</f>
        <v>0</v>
      </c>
      <c r="T422" s="580">
        <f t="shared" si="127"/>
        <v>0</v>
      </c>
      <c r="U422" s="243">
        <f t="shared" si="119"/>
        <v>0</v>
      </c>
      <c r="V422" s="332">
        <f t="shared" si="120"/>
        <v>0</v>
      </c>
      <c r="W422" s="136"/>
      <c r="Z422" s="647" t="e">
        <f t="shared" si="121"/>
        <v>#VALUE!</v>
      </c>
      <c r="AA422" s="647" t="e">
        <f t="shared" si="122"/>
        <v>#VALUE!</v>
      </c>
      <c r="AB422" s="67">
        <f t="shared" si="123"/>
        <v>30</v>
      </c>
      <c r="AC422" s="67">
        <f t="shared" si="115"/>
        <v>30</v>
      </c>
      <c r="AD422" s="84">
        <f t="shared" si="124"/>
        <v>0</v>
      </c>
      <c r="AJ422" s="405"/>
    </row>
    <row r="423" spans="3:36" ht="12.75" customHeight="1">
      <c r="C423" s="131"/>
      <c r="D423" s="169" t="str">
        <f>IF(op!D311=0,"",op!D311)</f>
        <v/>
      </c>
      <c r="E423" s="169" t="str">
        <f>IF(op!E311=0,"",op!E311)</f>
        <v/>
      </c>
      <c r="F423" s="169" t="str">
        <f>IF(op!F311=0,"",op!F311)</f>
        <v/>
      </c>
      <c r="G423" s="170" t="str">
        <f>IF(op!G311="","",op!G311+1)</f>
        <v/>
      </c>
      <c r="H423" s="566" t="str">
        <f>IF(op!H311="","",op!H311)</f>
        <v/>
      </c>
      <c r="I423" s="170" t="str">
        <f>IF(op!I311=0,"",op!I311)</f>
        <v/>
      </c>
      <c r="J423" s="567" t="str">
        <f>IF(E423="","",IF(op!J311&gt;LOOKUP(I423,schaal2011,regels2011),J311-1,IF(op!J311=LOOKUP(I423,schaal2011,regels2011),op!J311,J311+1)))</f>
        <v/>
      </c>
      <c r="K423" s="568" t="str">
        <f>IF(op!K311="","",op!K311)</f>
        <v/>
      </c>
      <c r="L423" s="569" t="str">
        <f>IF(op!L311="","",op!L311)</f>
        <v/>
      </c>
      <c r="M423" s="570" t="str">
        <f t="shared" si="117"/>
        <v/>
      </c>
      <c r="N423" s="155"/>
      <c r="O423" s="571" t="str">
        <f>IF(I423="","",VLOOKUP(I423,tab!$A$119:$V$159,J423+3,FALSE))</f>
        <v/>
      </c>
      <c r="P423" s="572">
        <f t="shared" si="118"/>
        <v>0</v>
      </c>
      <c r="Q423" s="589">
        <f t="shared" si="125"/>
        <v>0.6</v>
      </c>
      <c r="R423" s="573">
        <f t="shared" si="126"/>
        <v>0</v>
      </c>
      <c r="S423" s="332">
        <f>IF(L423="",0,O423*12*L423*(1+tab!$D$108)*tab!$E$110)</f>
        <v>0</v>
      </c>
      <c r="T423" s="580">
        <f t="shared" si="127"/>
        <v>0</v>
      </c>
      <c r="U423" s="243">
        <f t="shared" si="119"/>
        <v>0</v>
      </c>
      <c r="V423" s="332">
        <f t="shared" si="120"/>
        <v>0</v>
      </c>
      <c r="W423" s="136"/>
      <c r="Z423" s="647" t="e">
        <f t="shared" si="121"/>
        <v>#VALUE!</v>
      </c>
      <c r="AA423" s="647" t="e">
        <f t="shared" si="122"/>
        <v>#VALUE!</v>
      </c>
      <c r="AB423" s="67">
        <f t="shared" si="123"/>
        <v>30</v>
      </c>
      <c r="AC423" s="67">
        <f t="shared" si="115"/>
        <v>30</v>
      </c>
      <c r="AD423" s="84">
        <f t="shared" si="124"/>
        <v>0</v>
      </c>
      <c r="AJ423" s="405"/>
    </row>
    <row r="424" spans="3:36" ht="12.75" customHeight="1">
      <c r="C424" s="131"/>
      <c r="D424" s="169" t="str">
        <f>IF(op!D312=0,"",op!D312)</f>
        <v/>
      </c>
      <c r="E424" s="169" t="str">
        <f>IF(op!E312=0,"",op!E312)</f>
        <v/>
      </c>
      <c r="F424" s="169" t="str">
        <f>IF(op!F312=0,"",op!F312)</f>
        <v/>
      </c>
      <c r="G424" s="170" t="str">
        <f>IF(op!G312="","",op!G312+1)</f>
        <v/>
      </c>
      <c r="H424" s="566" t="str">
        <f>IF(op!H312="","",op!H312)</f>
        <v/>
      </c>
      <c r="I424" s="170" t="str">
        <f>IF(op!I312=0,"",op!I312)</f>
        <v/>
      </c>
      <c r="J424" s="567" t="str">
        <f>IF(E424="","",IF(op!J312&gt;LOOKUP(I424,schaal2011,regels2011),J312-1,IF(op!J312=LOOKUP(I424,schaal2011,regels2011),op!J312,J312+1)))</f>
        <v/>
      </c>
      <c r="K424" s="568" t="str">
        <f>IF(op!K312="","",op!K312)</f>
        <v/>
      </c>
      <c r="L424" s="569" t="str">
        <f>IF(op!L312="","",op!L312)</f>
        <v/>
      </c>
      <c r="M424" s="570" t="str">
        <f t="shared" si="117"/>
        <v/>
      </c>
      <c r="N424" s="155"/>
      <c r="O424" s="571" t="str">
        <f>IF(I424="","",VLOOKUP(I424,tab!$A$119:$V$159,J424+3,FALSE))</f>
        <v/>
      </c>
      <c r="P424" s="572">
        <f t="shared" si="118"/>
        <v>0</v>
      </c>
      <c r="Q424" s="589">
        <f t="shared" si="125"/>
        <v>0.6</v>
      </c>
      <c r="R424" s="573">
        <f t="shared" si="126"/>
        <v>0</v>
      </c>
      <c r="S424" s="332">
        <f>IF(L424="",0,O424*12*L424*(1+tab!$D$108)*tab!$E$110)</f>
        <v>0</v>
      </c>
      <c r="T424" s="580">
        <f t="shared" si="127"/>
        <v>0</v>
      </c>
      <c r="U424" s="243">
        <f t="shared" si="119"/>
        <v>0</v>
      </c>
      <c r="V424" s="332">
        <f t="shared" si="120"/>
        <v>0</v>
      </c>
      <c r="W424" s="136"/>
      <c r="Z424" s="647" t="e">
        <f t="shared" si="121"/>
        <v>#VALUE!</v>
      </c>
      <c r="AA424" s="647" t="e">
        <f t="shared" si="122"/>
        <v>#VALUE!</v>
      </c>
      <c r="AB424" s="67">
        <f t="shared" si="123"/>
        <v>30</v>
      </c>
      <c r="AC424" s="67">
        <f t="shared" si="115"/>
        <v>30</v>
      </c>
      <c r="AD424" s="84">
        <f t="shared" si="124"/>
        <v>0</v>
      </c>
      <c r="AJ424" s="405"/>
    </row>
    <row r="425" spans="3:36" ht="12.75" customHeight="1">
      <c r="C425" s="131"/>
      <c r="D425" s="169" t="str">
        <f>IF(op!D313=0,"",op!D313)</f>
        <v/>
      </c>
      <c r="E425" s="169" t="str">
        <f>IF(op!E313=0,"",op!E313)</f>
        <v/>
      </c>
      <c r="F425" s="169" t="str">
        <f>IF(op!F313=0,"",op!F313)</f>
        <v/>
      </c>
      <c r="G425" s="170" t="str">
        <f>IF(op!G313="","",op!G313+1)</f>
        <v/>
      </c>
      <c r="H425" s="566" t="str">
        <f>IF(op!H313="","",op!H313)</f>
        <v/>
      </c>
      <c r="I425" s="170" t="str">
        <f>IF(op!I313=0,"",op!I313)</f>
        <v/>
      </c>
      <c r="J425" s="567" t="str">
        <f>IF(E425="","",IF(op!J313&gt;LOOKUP(I425,schaal2011,regels2011),J313-1,IF(op!J313=LOOKUP(I425,schaal2011,regels2011),op!J313,J313+1)))</f>
        <v/>
      </c>
      <c r="K425" s="568" t="str">
        <f>IF(op!K313="","",op!K313)</f>
        <v/>
      </c>
      <c r="L425" s="569" t="str">
        <f>IF(op!L313="","",op!L313)</f>
        <v/>
      </c>
      <c r="M425" s="570" t="str">
        <f t="shared" si="117"/>
        <v/>
      </c>
      <c r="N425" s="155"/>
      <c r="O425" s="571" t="str">
        <f>IF(I425="","",VLOOKUP(I425,tab!$A$119:$V$159,J425+3,FALSE))</f>
        <v/>
      </c>
      <c r="P425" s="572">
        <f t="shared" si="118"/>
        <v>0</v>
      </c>
      <c r="Q425" s="589">
        <f t="shared" si="125"/>
        <v>0.6</v>
      </c>
      <c r="R425" s="573">
        <f t="shared" si="126"/>
        <v>0</v>
      </c>
      <c r="S425" s="332">
        <f>IF(L425="",0,O425*12*L425*(1+tab!$D$108)*tab!$E$110)</f>
        <v>0</v>
      </c>
      <c r="T425" s="580">
        <f t="shared" si="127"/>
        <v>0</v>
      </c>
      <c r="U425" s="243">
        <f t="shared" si="119"/>
        <v>0</v>
      </c>
      <c r="V425" s="332">
        <f t="shared" si="120"/>
        <v>0</v>
      </c>
      <c r="W425" s="136"/>
      <c r="Z425" s="647" t="e">
        <f t="shared" si="121"/>
        <v>#VALUE!</v>
      </c>
      <c r="AA425" s="647" t="e">
        <f t="shared" si="122"/>
        <v>#VALUE!</v>
      </c>
      <c r="AB425" s="67">
        <f t="shared" si="123"/>
        <v>30</v>
      </c>
      <c r="AC425" s="67">
        <f t="shared" si="115"/>
        <v>30</v>
      </c>
      <c r="AD425" s="84">
        <f t="shared" si="124"/>
        <v>0</v>
      </c>
      <c r="AJ425" s="405"/>
    </row>
    <row r="426" spans="3:36" ht="12.75" customHeight="1">
      <c r="C426" s="131"/>
      <c r="D426" s="169" t="str">
        <f>IF(op!D314=0,"",op!D314)</f>
        <v/>
      </c>
      <c r="E426" s="169" t="str">
        <f>IF(op!E314=0,"",op!E314)</f>
        <v/>
      </c>
      <c r="F426" s="169" t="str">
        <f>IF(op!F314=0,"",op!F314)</f>
        <v/>
      </c>
      <c r="G426" s="170" t="str">
        <f>IF(op!G314="","",op!G314+1)</f>
        <v/>
      </c>
      <c r="H426" s="566" t="str">
        <f>IF(op!H314="","",op!H314)</f>
        <v/>
      </c>
      <c r="I426" s="170" t="str">
        <f>IF(op!I314=0,"",op!I314)</f>
        <v/>
      </c>
      <c r="J426" s="567" t="str">
        <f>IF(E426="","",IF(op!J314&gt;LOOKUP(I426,schaal2011,regels2011),J314-1,IF(op!J314=LOOKUP(I426,schaal2011,regels2011),op!J314,J314+1)))</f>
        <v/>
      </c>
      <c r="K426" s="568" t="str">
        <f>IF(op!K314="","",op!K314)</f>
        <v/>
      </c>
      <c r="L426" s="569" t="str">
        <f>IF(op!L314="","",op!L314)</f>
        <v/>
      </c>
      <c r="M426" s="570" t="str">
        <f t="shared" si="117"/>
        <v/>
      </c>
      <c r="N426" s="155"/>
      <c r="O426" s="571" t="str">
        <f>IF(I426="","",VLOOKUP(I426,tab!$A$119:$V$159,J426+3,FALSE))</f>
        <v/>
      </c>
      <c r="P426" s="572">
        <f t="shared" si="118"/>
        <v>0</v>
      </c>
      <c r="Q426" s="589">
        <f t="shared" si="125"/>
        <v>0.6</v>
      </c>
      <c r="R426" s="573">
        <f t="shared" si="126"/>
        <v>0</v>
      </c>
      <c r="S426" s="332">
        <f>IF(L426="",0,O426*12*L426*(1+tab!$D$108)*tab!$E$110)</f>
        <v>0</v>
      </c>
      <c r="T426" s="580">
        <f t="shared" si="127"/>
        <v>0</v>
      </c>
      <c r="U426" s="243">
        <f t="shared" si="119"/>
        <v>0</v>
      </c>
      <c r="V426" s="332">
        <f t="shared" si="120"/>
        <v>0</v>
      </c>
      <c r="W426" s="136"/>
      <c r="Z426" s="647" t="e">
        <f t="shared" si="121"/>
        <v>#VALUE!</v>
      </c>
      <c r="AA426" s="647" t="e">
        <f t="shared" si="122"/>
        <v>#VALUE!</v>
      </c>
      <c r="AB426" s="67">
        <f t="shared" si="123"/>
        <v>30</v>
      </c>
      <c r="AC426" s="67">
        <f t="shared" si="115"/>
        <v>30</v>
      </c>
      <c r="AD426" s="84">
        <f t="shared" si="124"/>
        <v>0</v>
      </c>
      <c r="AJ426" s="405"/>
    </row>
    <row r="427" spans="3:36" ht="12.75" customHeight="1">
      <c r="C427" s="131"/>
      <c r="D427" s="169" t="str">
        <f>IF(op!D315=0,"",op!D315)</f>
        <v/>
      </c>
      <c r="E427" s="169" t="str">
        <f>IF(op!E315=0,"",op!E315)</f>
        <v/>
      </c>
      <c r="F427" s="169" t="str">
        <f>IF(op!F315=0,"",op!F315)</f>
        <v/>
      </c>
      <c r="G427" s="170" t="str">
        <f>IF(op!G315="","",op!G315+1)</f>
        <v/>
      </c>
      <c r="H427" s="566" t="str">
        <f>IF(op!H315="","",op!H315)</f>
        <v/>
      </c>
      <c r="I427" s="170" t="str">
        <f>IF(op!I315=0,"",op!I315)</f>
        <v/>
      </c>
      <c r="J427" s="567" t="str">
        <f>IF(E427="","",IF(op!J315&gt;LOOKUP(I427,schaal2011,regels2011),J315-1,IF(op!J315=LOOKUP(I427,schaal2011,regels2011),op!J315,J315+1)))</f>
        <v/>
      </c>
      <c r="K427" s="568" t="str">
        <f>IF(op!K315="","",op!K315)</f>
        <v/>
      </c>
      <c r="L427" s="569" t="str">
        <f>IF(op!L315="","",op!L315)</f>
        <v/>
      </c>
      <c r="M427" s="570" t="str">
        <f t="shared" si="117"/>
        <v/>
      </c>
      <c r="N427" s="155"/>
      <c r="O427" s="571" t="str">
        <f>IF(I427="","",VLOOKUP(I427,tab!$A$119:$V$159,J427+3,FALSE))</f>
        <v/>
      </c>
      <c r="P427" s="572">
        <f t="shared" si="118"/>
        <v>0</v>
      </c>
      <c r="Q427" s="589">
        <f t="shared" si="125"/>
        <v>0.6</v>
      </c>
      <c r="R427" s="573">
        <f t="shared" si="126"/>
        <v>0</v>
      </c>
      <c r="S427" s="332">
        <f>IF(L427="",0,O427*12*L427*(1+tab!$D$108)*tab!$E$110)</f>
        <v>0</v>
      </c>
      <c r="T427" s="580">
        <f t="shared" si="127"/>
        <v>0</v>
      </c>
      <c r="U427" s="243">
        <f t="shared" si="119"/>
        <v>0</v>
      </c>
      <c r="V427" s="332">
        <f t="shared" si="120"/>
        <v>0</v>
      </c>
      <c r="W427" s="136"/>
      <c r="Z427" s="647" t="e">
        <f t="shared" si="121"/>
        <v>#VALUE!</v>
      </c>
      <c r="AA427" s="647" t="e">
        <f t="shared" si="122"/>
        <v>#VALUE!</v>
      </c>
      <c r="AB427" s="67">
        <f t="shared" si="123"/>
        <v>30</v>
      </c>
      <c r="AC427" s="67">
        <f t="shared" si="115"/>
        <v>30</v>
      </c>
      <c r="AD427" s="84">
        <f t="shared" si="124"/>
        <v>0</v>
      </c>
      <c r="AJ427" s="405"/>
    </row>
    <row r="428" spans="3:36" ht="12.75" customHeight="1">
      <c r="C428" s="131"/>
      <c r="D428" s="169" t="str">
        <f>IF(op!D316=0,"",op!D316)</f>
        <v/>
      </c>
      <c r="E428" s="169" t="str">
        <f>IF(op!E316=0,"",op!E316)</f>
        <v/>
      </c>
      <c r="F428" s="169" t="str">
        <f>IF(op!F316=0,"",op!F316)</f>
        <v/>
      </c>
      <c r="G428" s="170" t="str">
        <f>IF(op!G316="","",op!G316+1)</f>
        <v/>
      </c>
      <c r="H428" s="566" t="str">
        <f>IF(op!H316="","",op!H316)</f>
        <v/>
      </c>
      <c r="I428" s="170" t="str">
        <f>IF(op!I316=0,"",op!I316)</f>
        <v/>
      </c>
      <c r="J428" s="567" t="str">
        <f>IF(E428="","",IF(op!J316&gt;LOOKUP(I428,schaal2011,regels2011),J316-1,IF(op!J316=LOOKUP(I428,schaal2011,regels2011),op!J316,J316+1)))</f>
        <v/>
      </c>
      <c r="K428" s="568" t="str">
        <f>IF(op!K316="","",op!K316)</f>
        <v/>
      </c>
      <c r="L428" s="569" t="str">
        <f>IF(op!L316="","",op!L316)</f>
        <v/>
      </c>
      <c r="M428" s="570" t="str">
        <f t="shared" si="117"/>
        <v/>
      </c>
      <c r="N428" s="155"/>
      <c r="O428" s="571" t="str">
        <f>IF(I428="","",VLOOKUP(I428,tab!$A$119:$V$159,J428+3,FALSE))</f>
        <v/>
      </c>
      <c r="P428" s="572">
        <f t="shared" si="118"/>
        <v>0</v>
      </c>
      <c r="Q428" s="589">
        <f t="shared" si="125"/>
        <v>0.6</v>
      </c>
      <c r="R428" s="573">
        <f t="shared" si="126"/>
        <v>0</v>
      </c>
      <c r="S428" s="332">
        <f>IF(L428="",0,O428*12*L428*(1+tab!$D$108)*tab!$E$110)</f>
        <v>0</v>
      </c>
      <c r="T428" s="580">
        <f t="shared" si="127"/>
        <v>0</v>
      </c>
      <c r="U428" s="243">
        <f t="shared" si="119"/>
        <v>0</v>
      </c>
      <c r="V428" s="332">
        <f t="shared" si="120"/>
        <v>0</v>
      </c>
      <c r="W428" s="136"/>
      <c r="Z428" s="647" t="e">
        <f t="shared" si="121"/>
        <v>#VALUE!</v>
      </c>
      <c r="AA428" s="647" t="e">
        <f t="shared" si="122"/>
        <v>#VALUE!</v>
      </c>
      <c r="AB428" s="67">
        <f t="shared" si="123"/>
        <v>30</v>
      </c>
      <c r="AC428" s="67">
        <f t="shared" si="115"/>
        <v>30</v>
      </c>
      <c r="AD428" s="84">
        <f t="shared" si="124"/>
        <v>0</v>
      </c>
      <c r="AJ428" s="405"/>
    </row>
    <row r="429" spans="3:36" ht="12.75" customHeight="1">
      <c r="C429" s="131"/>
      <c r="D429" s="169" t="str">
        <f>IF(op!D317=0,"",op!D317)</f>
        <v/>
      </c>
      <c r="E429" s="169" t="str">
        <f>IF(op!E317=0,"",op!E317)</f>
        <v/>
      </c>
      <c r="F429" s="169" t="str">
        <f>IF(op!F317=0,"",op!F317)</f>
        <v/>
      </c>
      <c r="G429" s="170" t="str">
        <f>IF(op!G317="","",op!G317+1)</f>
        <v/>
      </c>
      <c r="H429" s="566" t="str">
        <f>IF(op!H317="","",op!H317)</f>
        <v/>
      </c>
      <c r="I429" s="170" t="str">
        <f>IF(op!I317=0,"",op!I317)</f>
        <v/>
      </c>
      <c r="J429" s="567" t="str">
        <f>IF(E429="","",IF(op!J317&gt;LOOKUP(I429,schaal2011,regels2011),J317-1,IF(op!J317=LOOKUP(I429,schaal2011,regels2011),op!J317,J317+1)))</f>
        <v/>
      </c>
      <c r="K429" s="568" t="str">
        <f>IF(op!K317="","",op!K317)</f>
        <v/>
      </c>
      <c r="L429" s="569" t="str">
        <f>IF(op!L317="","",op!L317)</f>
        <v/>
      </c>
      <c r="M429" s="570" t="str">
        <f t="shared" si="117"/>
        <v/>
      </c>
      <c r="N429" s="155"/>
      <c r="O429" s="571" t="str">
        <f>IF(I429="","",VLOOKUP(I429,tab!$A$119:$V$159,J429+3,FALSE))</f>
        <v/>
      </c>
      <c r="P429" s="572">
        <f t="shared" si="118"/>
        <v>0</v>
      </c>
      <c r="Q429" s="589">
        <f t="shared" si="125"/>
        <v>0.6</v>
      </c>
      <c r="R429" s="573">
        <f t="shared" si="126"/>
        <v>0</v>
      </c>
      <c r="S429" s="332">
        <f>IF(L429="",0,O429*12*L429*(1+tab!$D$108)*tab!$E$110)</f>
        <v>0</v>
      </c>
      <c r="T429" s="580">
        <f t="shared" si="127"/>
        <v>0</v>
      </c>
      <c r="U429" s="243">
        <f t="shared" si="119"/>
        <v>0</v>
      </c>
      <c r="V429" s="332">
        <f t="shared" si="120"/>
        <v>0</v>
      </c>
      <c r="W429" s="136"/>
      <c r="Z429" s="647" t="e">
        <f t="shared" si="121"/>
        <v>#VALUE!</v>
      </c>
      <c r="AA429" s="647" t="e">
        <f t="shared" si="122"/>
        <v>#VALUE!</v>
      </c>
      <c r="AB429" s="67">
        <f t="shared" si="123"/>
        <v>30</v>
      </c>
      <c r="AC429" s="67">
        <f t="shared" si="115"/>
        <v>30</v>
      </c>
      <c r="AD429" s="84">
        <f t="shared" si="124"/>
        <v>0</v>
      </c>
      <c r="AJ429" s="405"/>
    </row>
    <row r="430" spans="3:36" ht="12.75" customHeight="1">
      <c r="C430" s="131"/>
      <c r="D430" s="169" t="str">
        <f>IF(op!D318=0,"",op!D318)</f>
        <v/>
      </c>
      <c r="E430" s="169" t="str">
        <f>IF(op!E318=0,"",op!E318)</f>
        <v/>
      </c>
      <c r="F430" s="169" t="str">
        <f>IF(op!F318=0,"",op!F318)</f>
        <v/>
      </c>
      <c r="G430" s="170" t="str">
        <f>IF(op!G318="","",op!G318+1)</f>
        <v/>
      </c>
      <c r="H430" s="566" t="str">
        <f>IF(op!H318="","",op!H318)</f>
        <v/>
      </c>
      <c r="I430" s="170" t="str">
        <f>IF(op!I318=0,"",op!I318)</f>
        <v/>
      </c>
      <c r="J430" s="567" t="str">
        <f>IF(E430="","",IF(op!J318&gt;LOOKUP(I430,schaal2011,regels2011),J318-1,IF(op!J318=LOOKUP(I430,schaal2011,regels2011),op!J318,J318+1)))</f>
        <v/>
      </c>
      <c r="K430" s="568" t="str">
        <f>IF(op!K318="","",op!K318)</f>
        <v/>
      </c>
      <c r="L430" s="569" t="str">
        <f>IF(op!L318="","",op!L318)</f>
        <v/>
      </c>
      <c r="M430" s="570" t="str">
        <f t="shared" si="117"/>
        <v/>
      </c>
      <c r="N430" s="155"/>
      <c r="O430" s="571" t="str">
        <f>IF(I430="","",VLOOKUP(I430,tab!$A$119:$V$159,J430+3,FALSE))</f>
        <v/>
      </c>
      <c r="P430" s="572">
        <f t="shared" si="118"/>
        <v>0</v>
      </c>
      <c r="Q430" s="589">
        <f t="shared" si="125"/>
        <v>0.6</v>
      </c>
      <c r="R430" s="573">
        <f t="shared" si="126"/>
        <v>0</v>
      </c>
      <c r="S430" s="332">
        <f>IF(L430="",0,O430*12*L430*(1+tab!$D$108)*tab!$E$110)</f>
        <v>0</v>
      </c>
      <c r="T430" s="580">
        <f t="shared" si="127"/>
        <v>0</v>
      </c>
      <c r="U430" s="243">
        <f t="shared" si="119"/>
        <v>0</v>
      </c>
      <c r="V430" s="332">
        <f t="shared" si="120"/>
        <v>0</v>
      </c>
      <c r="W430" s="136"/>
      <c r="Z430" s="647" t="e">
        <f t="shared" si="121"/>
        <v>#VALUE!</v>
      </c>
      <c r="AA430" s="647" t="e">
        <f t="shared" si="122"/>
        <v>#VALUE!</v>
      </c>
      <c r="AB430" s="67">
        <f t="shared" si="123"/>
        <v>30</v>
      </c>
      <c r="AC430" s="67">
        <f t="shared" si="115"/>
        <v>30</v>
      </c>
      <c r="AD430" s="84">
        <f t="shared" si="124"/>
        <v>0</v>
      </c>
      <c r="AJ430" s="405"/>
    </row>
    <row r="431" spans="3:36" ht="12.75" customHeight="1">
      <c r="C431" s="131"/>
      <c r="D431" s="169" t="str">
        <f>IF(op!D319=0,"",op!D319)</f>
        <v/>
      </c>
      <c r="E431" s="169" t="str">
        <f>IF(op!E319=0,"",op!E319)</f>
        <v/>
      </c>
      <c r="F431" s="169" t="str">
        <f>IF(op!F319=0,"",op!F319)</f>
        <v/>
      </c>
      <c r="G431" s="170" t="str">
        <f>IF(op!G319="","",op!G319+1)</f>
        <v/>
      </c>
      <c r="H431" s="566" t="str">
        <f>IF(op!H319="","",op!H319)</f>
        <v/>
      </c>
      <c r="I431" s="170" t="str">
        <f>IF(op!I319=0,"",op!I319)</f>
        <v/>
      </c>
      <c r="J431" s="567" t="str">
        <f>IF(E431="","",IF(op!J319&gt;LOOKUP(I431,schaal2011,regels2011),J319-1,IF(op!J319=LOOKUP(I431,schaal2011,regels2011),op!J319,J319+1)))</f>
        <v/>
      </c>
      <c r="K431" s="568" t="str">
        <f>IF(op!K319="","",op!K319)</f>
        <v/>
      </c>
      <c r="L431" s="569" t="str">
        <f>IF(op!L319="","",op!L319)</f>
        <v/>
      </c>
      <c r="M431" s="570" t="str">
        <f t="shared" si="117"/>
        <v/>
      </c>
      <c r="N431" s="155"/>
      <c r="O431" s="571" t="str">
        <f>IF(I431="","",VLOOKUP(I431,tab!$A$119:$V$159,J431+3,FALSE))</f>
        <v/>
      </c>
      <c r="P431" s="572">
        <f t="shared" si="118"/>
        <v>0</v>
      </c>
      <c r="Q431" s="589">
        <f t="shared" si="125"/>
        <v>0.6</v>
      </c>
      <c r="R431" s="573">
        <f t="shared" si="126"/>
        <v>0</v>
      </c>
      <c r="S431" s="332">
        <f>IF(L431="",0,O431*12*L431*(1+tab!$D$108)*tab!$E$110)</f>
        <v>0</v>
      </c>
      <c r="T431" s="580">
        <f t="shared" si="127"/>
        <v>0</v>
      </c>
      <c r="U431" s="243">
        <f t="shared" si="119"/>
        <v>0</v>
      </c>
      <c r="V431" s="332">
        <f t="shared" si="120"/>
        <v>0</v>
      </c>
      <c r="W431" s="136"/>
      <c r="Z431" s="647" t="e">
        <f t="shared" si="121"/>
        <v>#VALUE!</v>
      </c>
      <c r="AA431" s="647" t="e">
        <f t="shared" si="122"/>
        <v>#VALUE!</v>
      </c>
      <c r="AB431" s="67">
        <f t="shared" si="123"/>
        <v>30</v>
      </c>
      <c r="AC431" s="67">
        <f t="shared" si="115"/>
        <v>30</v>
      </c>
      <c r="AD431" s="84">
        <f t="shared" si="124"/>
        <v>0</v>
      </c>
      <c r="AJ431" s="405"/>
    </row>
    <row r="432" spans="3:36" ht="12.75" customHeight="1">
      <c r="C432" s="131"/>
      <c r="D432" s="169" t="str">
        <f>IF(op!D320=0,"",op!D320)</f>
        <v/>
      </c>
      <c r="E432" s="169" t="str">
        <f>IF(op!E320=0,"",op!E320)</f>
        <v/>
      </c>
      <c r="F432" s="169" t="str">
        <f>IF(op!F320=0,"",op!F320)</f>
        <v/>
      </c>
      <c r="G432" s="170" t="str">
        <f>IF(op!G320="","",op!G320+1)</f>
        <v/>
      </c>
      <c r="H432" s="566" t="str">
        <f>IF(op!H320="","",op!H320)</f>
        <v/>
      </c>
      <c r="I432" s="170" t="str">
        <f>IF(op!I320=0,"",op!I320)</f>
        <v/>
      </c>
      <c r="J432" s="567" t="str">
        <f>IF(E432="","",IF(op!J320&gt;LOOKUP(I432,schaal2011,regels2011),J320-1,IF(op!J320=LOOKUP(I432,schaal2011,regels2011),op!J320,J320+1)))</f>
        <v/>
      </c>
      <c r="K432" s="568" t="str">
        <f>IF(op!K320="","",op!K320)</f>
        <v/>
      </c>
      <c r="L432" s="569" t="str">
        <f>IF(op!L320="","",op!L320)</f>
        <v/>
      </c>
      <c r="M432" s="570" t="str">
        <f t="shared" si="117"/>
        <v/>
      </c>
      <c r="N432" s="155"/>
      <c r="O432" s="571" t="str">
        <f>IF(I432="","",VLOOKUP(I432,tab!$A$119:$V$159,J432+3,FALSE))</f>
        <v/>
      </c>
      <c r="P432" s="572">
        <f t="shared" si="118"/>
        <v>0</v>
      </c>
      <c r="Q432" s="589">
        <f t="shared" si="125"/>
        <v>0.6</v>
      </c>
      <c r="R432" s="573">
        <f t="shared" si="126"/>
        <v>0</v>
      </c>
      <c r="S432" s="332">
        <f>IF(L432="",0,O432*12*L432*(1+tab!$D$108)*tab!$E$110)</f>
        <v>0</v>
      </c>
      <c r="T432" s="580">
        <f t="shared" si="127"/>
        <v>0</v>
      </c>
      <c r="U432" s="243">
        <f t="shared" si="119"/>
        <v>0</v>
      </c>
      <c r="V432" s="332">
        <f t="shared" si="120"/>
        <v>0</v>
      </c>
      <c r="W432" s="136"/>
      <c r="Z432" s="647" t="e">
        <f t="shared" si="121"/>
        <v>#VALUE!</v>
      </c>
      <c r="AA432" s="647" t="e">
        <f t="shared" si="122"/>
        <v>#VALUE!</v>
      </c>
      <c r="AB432" s="67">
        <f t="shared" si="123"/>
        <v>30</v>
      </c>
      <c r="AC432" s="67">
        <f t="shared" si="115"/>
        <v>30</v>
      </c>
      <c r="AD432" s="84">
        <f t="shared" si="124"/>
        <v>0</v>
      </c>
      <c r="AJ432" s="405"/>
    </row>
    <row r="433" spans="3:36" ht="12.75" customHeight="1">
      <c r="C433" s="131"/>
      <c r="D433" s="169" t="str">
        <f>IF(op!D321=0,"",op!D321)</f>
        <v/>
      </c>
      <c r="E433" s="169" t="str">
        <f>IF(op!E321=0,"",op!E321)</f>
        <v/>
      </c>
      <c r="F433" s="169" t="str">
        <f>IF(op!F321=0,"",op!F321)</f>
        <v/>
      </c>
      <c r="G433" s="170" t="str">
        <f>IF(op!G321="","",op!G321+1)</f>
        <v/>
      </c>
      <c r="H433" s="566" t="str">
        <f>IF(op!H321="","",op!H321)</f>
        <v/>
      </c>
      <c r="I433" s="170" t="str">
        <f>IF(op!I321=0,"",op!I321)</f>
        <v/>
      </c>
      <c r="J433" s="567" t="str">
        <f>IF(E433="","",IF(op!J321&gt;LOOKUP(I433,schaal2011,regels2011),J321-1,IF(op!J321=LOOKUP(I433,schaal2011,regels2011),op!J321,J321+1)))</f>
        <v/>
      </c>
      <c r="K433" s="568" t="str">
        <f>IF(op!K321="","",op!K321)</f>
        <v/>
      </c>
      <c r="L433" s="569" t="str">
        <f>IF(op!L321="","",op!L321)</f>
        <v/>
      </c>
      <c r="M433" s="570" t="str">
        <f t="shared" si="117"/>
        <v/>
      </c>
      <c r="N433" s="155"/>
      <c r="O433" s="571" t="str">
        <f>IF(I433="","",VLOOKUP(I433,tab!$A$119:$V$159,J433+3,FALSE))</f>
        <v/>
      </c>
      <c r="P433" s="572">
        <f t="shared" si="118"/>
        <v>0</v>
      </c>
      <c r="Q433" s="589">
        <f t="shared" si="125"/>
        <v>0.6</v>
      </c>
      <c r="R433" s="573">
        <f t="shared" si="126"/>
        <v>0</v>
      </c>
      <c r="S433" s="332">
        <f>IF(L433="",0,O433*12*L433*(1+tab!$D$108)*tab!$E$110)</f>
        <v>0</v>
      </c>
      <c r="T433" s="580">
        <f t="shared" si="127"/>
        <v>0</v>
      </c>
      <c r="U433" s="243">
        <f t="shared" si="119"/>
        <v>0</v>
      </c>
      <c r="V433" s="332">
        <f t="shared" si="120"/>
        <v>0</v>
      </c>
      <c r="W433" s="136"/>
      <c r="Z433" s="647" t="e">
        <f t="shared" si="121"/>
        <v>#VALUE!</v>
      </c>
      <c r="AA433" s="647" t="e">
        <f t="shared" si="122"/>
        <v>#VALUE!</v>
      </c>
      <c r="AB433" s="67">
        <f t="shared" si="123"/>
        <v>30</v>
      </c>
      <c r="AC433" s="67">
        <f t="shared" si="115"/>
        <v>30</v>
      </c>
      <c r="AD433" s="84">
        <f t="shared" si="124"/>
        <v>0</v>
      </c>
      <c r="AJ433" s="405"/>
    </row>
    <row r="434" spans="3:36" ht="12.75" customHeight="1">
      <c r="C434" s="131"/>
      <c r="D434" s="169" t="str">
        <f>IF(op!D322=0,"",op!D322)</f>
        <v/>
      </c>
      <c r="E434" s="169" t="str">
        <f>IF(op!E322=0,"",op!E322)</f>
        <v/>
      </c>
      <c r="F434" s="169" t="str">
        <f>IF(op!F322=0,"",op!F322)</f>
        <v/>
      </c>
      <c r="G434" s="170" t="str">
        <f>IF(op!G322="","",op!G322+1)</f>
        <v/>
      </c>
      <c r="H434" s="566" t="str">
        <f>IF(op!H322="","",op!H322)</f>
        <v/>
      </c>
      <c r="I434" s="170" t="str">
        <f>IF(op!I322=0,"",op!I322)</f>
        <v/>
      </c>
      <c r="J434" s="567" t="str">
        <f>IF(E434="","",IF(op!J322&gt;LOOKUP(I434,schaal2011,regels2011),J322-1,IF(op!J322=LOOKUP(I434,schaal2011,regels2011),op!J322,J322+1)))</f>
        <v/>
      </c>
      <c r="K434" s="568" t="str">
        <f>IF(op!K322="","",op!K322)</f>
        <v/>
      </c>
      <c r="L434" s="569" t="str">
        <f>IF(op!L322="","",op!L322)</f>
        <v/>
      </c>
      <c r="M434" s="570" t="str">
        <f t="shared" si="117"/>
        <v/>
      </c>
      <c r="N434" s="155"/>
      <c r="O434" s="571" t="str">
        <f>IF(I434="","",VLOOKUP(I434,tab!$A$119:$V$159,J434+3,FALSE))</f>
        <v/>
      </c>
      <c r="P434" s="572">
        <f t="shared" si="118"/>
        <v>0</v>
      </c>
      <c r="Q434" s="589">
        <f t="shared" si="125"/>
        <v>0.6</v>
      </c>
      <c r="R434" s="573">
        <f t="shared" si="126"/>
        <v>0</v>
      </c>
      <c r="S434" s="332">
        <f>IF(L434="",0,O434*12*L434*(1+tab!$D$108)*tab!$E$110)</f>
        <v>0</v>
      </c>
      <c r="T434" s="580">
        <f t="shared" si="127"/>
        <v>0</v>
      </c>
      <c r="U434" s="243">
        <f t="shared" si="119"/>
        <v>0</v>
      </c>
      <c r="V434" s="332">
        <f t="shared" si="120"/>
        <v>0</v>
      </c>
      <c r="W434" s="136"/>
      <c r="Z434" s="647" t="e">
        <f t="shared" si="121"/>
        <v>#VALUE!</v>
      </c>
      <c r="AA434" s="647" t="e">
        <f t="shared" si="122"/>
        <v>#VALUE!</v>
      </c>
      <c r="AB434" s="67">
        <f t="shared" si="123"/>
        <v>30</v>
      </c>
      <c r="AC434" s="67">
        <f t="shared" si="115"/>
        <v>30</v>
      </c>
      <c r="AD434" s="84">
        <f t="shared" si="124"/>
        <v>0</v>
      </c>
      <c r="AJ434" s="405"/>
    </row>
    <row r="435" spans="3:36" ht="12.75" customHeight="1">
      <c r="C435" s="131"/>
      <c r="D435" s="169" t="str">
        <f>IF(op!D323=0,"",op!D323)</f>
        <v/>
      </c>
      <c r="E435" s="169" t="str">
        <f>IF(op!E323=0,"",op!E323)</f>
        <v/>
      </c>
      <c r="F435" s="169" t="str">
        <f>IF(op!F323=0,"",op!F323)</f>
        <v/>
      </c>
      <c r="G435" s="170" t="str">
        <f>IF(op!G323="","",op!G323+1)</f>
        <v/>
      </c>
      <c r="H435" s="566" t="str">
        <f>IF(op!H323="","",op!H323)</f>
        <v/>
      </c>
      <c r="I435" s="170" t="str">
        <f>IF(op!I323=0,"",op!I323)</f>
        <v/>
      </c>
      <c r="J435" s="567" t="str">
        <f>IF(E435="","",IF(op!J323&gt;LOOKUP(I435,schaal2011,regels2011),J323-1,IF(op!J323=LOOKUP(I435,schaal2011,regels2011),op!J323,J323+1)))</f>
        <v/>
      </c>
      <c r="K435" s="568" t="str">
        <f>IF(op!K323="","",op!K323)</f>
        <v/>
      </c>
      <c r="L435" s="569" t="str">
        <f>IF(op!L323="","",op!L323)</f>
        <v/>
      </c>
      <c r="M435" s="570" t="str">
        <f t="shared" si="117"/>
        <v/>
      </c>
      <c r="N435" s="155"/>
      <c r="O435" s="571" t="str">
        <f>IF(I435="","",VLOOKUP(I435,tab!$A$119:$V$159,J435+3,FALSE))</f>
        <v/>
      </c>
      <c r="P435" s="572">
        <f t="shared" si="118"/>
        <v>0</v>
      </c>
      <c r="Q435" s="589">
        <f t="shared" si="125"/>
        <v>0.6</v>
      </c>
      <c r="R435" s="573">
        <f t="shared" si="126"/>
        <v>0</v>
      </c>
      <c r="S435" s="332">
        <f>IF(L435="",0,O435*12*L435*(1+tab!$D$108)*tab!$E$110)</f>
        <v>0</v>
      </c>
      <c r="T435" s="580">
        <f t="shared" si="127"/>
        <v>0</v>
      </c>
      <c r="U435" s="243">
        <f t="shared" si="119"/>
        <v>0</v>
      </c>
      <c r="V435" s="332">
        <f t="shared" si="120"/>
        <v>0</v>
      </c>
      <c r="W435" s="136"/>
      <c r="Z435" s="647" t="e">
        <f t="shared" si="121"/>
        <v>#VALUE!</v>
      </c>
      <c r="AA435" s="647" t="e">
        <f t="shared" si="122"/>
        <v>#VALUE!</v>
      </c>
      <c r="AB435" s="67">
        <f t="shared" si="123"/>
        <v>30</v>
      </c>
      <c r="AC435" s="67">
        <f t="shared" si="115"/>
        <v>30</v>
      </c>
      <c r="AD435" s="84">
        <f t="shared" si="124"/>
        <v>0</v>
      </c>
      <c r="AJ435" s="405"/>
    </row>
    <row r="436" spans="3:36" ht="12.75" customHeight="1">
      <c r="C436" s="131"/>
      <c r="D436" s="169" t="str">
        <f>IF(op!D324=0,"",op!D324)</f>
        <v/>
      </c>
      <c r="E436" s="169" t="str">
        <f>IF(op!E324=0,"",op!E324)</f>
        <v/>
      </c>
      <c r="F436" s="169" t="str">
        <f>IF(op!F324=0,"",op!F324)</f>
        <v/>
      </c>
      <c r="G436" s="170" t="str">
        <f>IF(op!G324="","",op!G324+1)</f>
        <v/>
      </c>
      <c r="H436" s="566" t="str">
        <f>IF(op!H324="","",op!H324)</f>
        <v/>
      </c>
      <c r="I436" s="170" t="str">
        <f>IF(op!I324=0,"",op!I324)</f>
        <v/>
      </c>
      <c r="J436" s="567" t="str">
        <f>IF(E436="","",IF(op!J324&gt;LOOKUP(I436,schaal2011,regels2011),J324-1,IF(op!J324=LOOKUP(I436,schaal2011,regels2011),op!J324,J324+1)))</f>
        <v/>
      </c>
      <c r="K436" s="568" t="str">
        <f>IF(op!K324="","",op!K324)</f>
        <v/>
      </c>
      <c r="L436" s="569" t="str">
        <f>IF(op!L324="","",op!L324)</f>
        <v/>
      </c>
      <c r="M436" s="570" t="str">
        <f t="shared" si="117"/>
        <v/>
      </c>
      <c r="N436" s="155"/>
      <c r="O436" s="571" t="str">
        <f>IF(I436="","",VLOOKUP(I436,tab!$A$119:$V$159,J436+3,FALSE))</f>
        <v/>
      </c>
      <c r="P436" s="572">
        <f t="shared" si="118"/>
        <v>0</v>
      </c>
      <c r="Q436" s="589">
        <f t="shared" si="125"/>
        <v>0.6</v>
      </c>
      <c r="R436" s="573">
        <f t="shared" si="126"/>
        <v>0</v>
      </c>
      <c r="S436" s="332">
        <f>IF(L436="",0,O436*12*L436*(1+tab!$D$108)*tab!$E$110)</f>
        <v>0</v>
      </c>
      <c r="T436" s="580">
        <f t="shared" si="127"/>
        <v>0</v>
      </c>
      <c r="U436" s="243">
        <f t="shared" si="119"/>
        <v>0</v>
      </c>
      <c r="V436" s="332">
        <f t="shared" si="120"/>
        <v>0</v>
      </c>
      <c r="W436" s="136"/>
      <c r="Z436" s="647" t="e">
        <f t="shared" si="121"/>
        <v>#VALUE!</v>
      </c>
      <c r="AA436" s="647" t="e">
        <f t="shared" si="122"/>
        <v>#VALUE!</v>
      </c>
      <c r="AB436" s="67">
        <f t="shared" si="123"/>
        <v>30</v>
      </c>
      <c r="AC436" s="67">
        <f t="shared" si="115"/>
        <v>30</v>
      </c>
      <c r="AD436" s="84">
        <f t="shared" si="124"/>
        <v>0</v>
      </c>
      <c r="AJ436" s="405"/>
    </row>
    <row r="437" spans="3:36" ht="12.75" customHeight="1">
      <c r="C437" s="131"/>
      <c r="D437" s="169" t="str">
        <f>IF(op!D325=0,"",op!D325)</f>
        <v/>
      </c>
      <c r="E437" s="169" t="str">
        <f>IF(op!E325=0,"",op!E325)</f>
        <v/>
      </c>
      <c r="F437" s="169" t="str">
        <f>IF(op!F325=0,"",op!F325)</f>
        <v/>
      </c>
      <c r="G437" s="170" t="str">
        <f>IF(op!G325="","",op!G325+1)</f>
        <v/>
      </c>
      <c r="H437" s="566" t="str">
        <f>IF(op!H325="","",op!H325)</f>
        <v/>
      </c>
      <c r="I437" s="170" t="str">
        <f>IF(op!I325=0,"",op!I325)</f>
        <v/>
      </c>
      <c r="J437" s="567" t="str">
        <f>IF(E437="","",IF(op!J325&gt;LOOKUP(I437,schaal2011,regels2011),J325-1,IF(op!J325=LOOKUP(I437,schaal2011,regels2011),op!J325,J325+1)))</f>
        <v/>
      </c>
      <c r="K437" s="568" t="str">
        <f>IF(op!K325="","",op!K325)</f>
        <v/>
      </c>
      <c r="L437" s="569" t="str">
        <f>IF(op!L325="","",op!L325)</f>
        <v/>
      </c>
      <c r="M437" s="570" t="str">
        <f t="shared" si="117"/>
        <v/>
      </c>
      <c r="N437" s="155"/>
      <c r="O437" s="571" t="str">
        <f>IF(I437="","",VLOOKUP(I437,tab!$A$119:$V$159,J437+3,FALSE))</f>
        <v/>
      </c>
      <c r="P437" s="572">
        <f t="shared" si="118"/>
        <v>0</v>
      </c>
      <c r="Q437" s="589">
        <f t="shared" si="125"/>
        <v>0.6</v>
      </c>
      <c r="R437" s="573">
        <f t="shared" si="126"/>
        <v>0</v>
      </c>
      <c r="S437" s="332">
        <f>IF(L437="",0,O437*12*L437*(1+tab!$D$108)*tab!$E$110)</f>
        <v>0</v>
      </c>
      <c r="T437" s="580">
        <f t="shared" si="127"/>
        <v>0</v>
      </c>
      <c r="U437" s="243">
        <f t="shared" si="119"/>
        <v>0</v>
      </c>
      <c r="V437" s="332">
        <f t="shared" si="120"/>
        <v>0</v>
      </c>
      <c r="W437" s="136"/>
      <c r="Z437" s="647" t="e">
        <f t="shared" si="121"/>
        <v>#VALUE!</v>
      </c>
      <c r="AA437" s="647" t="e">
        <f t="shared" si="122"/>
        <v>#VALUE!</v>
      </c>
      <c r="AB437" s="67">
        <f t="shared" si="123"/>
        <v>30</v>
      </c>
      <c r="AC437" s="67">
        <f t="shared" si="115"/>
        <v>30</v>
      </c>
      <c r="AD437" s="84">
        <f t="shared" si="124"/>
        <v>0</v>
      </c>
      <c r="AJ437" s="405"/>
    </row>
    <row r="438" spans="3:36" ht="12.75" customHeight="1">
      <c r="C438" s="131"/>
      <c r="D438" s="169" t="str">
        <f>IF(op!D326=0,"",op!D326)</f>
        <v/>
      </c>
      <c r="E438" s="169" t="str">
        <f>IF(op!E326=0,"",op!E326)</f>
        <v/>
      </c>
      <c r="F438" s="169" t="str">
        <f>IF(op!F326=0,"",op!F326)</f>
        <v/>
      </c>
      <c r="G438" s="170" t="str">
        <f>IF(op!G326="","",op!G326+1)</f>
        <v/>
      </c>
      <c r="H438" s="566" t="str">
        <f>IF(op!H326="","",op!H326)</f>
        <v/>
      </c>
      <c r="I438" s="170" t="str">
        <f>IF(op!I326=0,"",op!I326)</f>
        <v/>
      </c>
      <c r="J438" s="567" t="str">
        <f>IF(E438="","",IF(op!J326&gt;LOOKUP(I438,schaal2011,regels2011),J326-1,IF(op!J326=LOOKUP(I438,schaal2011,regels2011),op!J326,J326+1)))</f>
        <v/>
      </c>
      <c r="K438" s="568" t="str">
        <f>IF(op!K326="","",op!K326)</f>
        <v/>
      </c>
      <c r="L438" s="569" t="str">
        <f>IF(op!L326="","",op!L326)</f>
        <v/>
      </c>
      <c r="M438" s="570" t="str">
        <f t="shared" si="117"/>
        <v/>
      </c>
      <c r="N438" s="155"/>
      <c r="O438" s="571" t="str">
        <f>IF(I438="","",VLOOKUP(I438,tab!$A$119:$V$159,J438+3,FALSE))</f>
        <v/>
      </c>
      <c r="P438" s="572">
        <f t="shared" si="118"/>
        <v>0</v>
      </c>
      <c r="Q438" s="589">
        <f t="shared" si="125"/>
        <v>0.6</v>
      </c>
      <c r="R438" s="573">
        <f t="shared" si="126"/>
        <v>0</v>
      </c>
      <c r="S438" s="332">
        <f>IF(L438="",0,O438*12*L438*(1+tab!$D$108)*tab!$E$110)</f>
        <v>0</v>
      </c>
      <c r="T438" s="580">
        <f t="shared" si="127"/>
        <v>0</v>
      </c>
      <c r="U438" s="243">
        <f t="shared" si="119"/>
        <v>0</v>
      </c>
      <c r="V438" s="332">
        <f t="shared" si="120"/>
        <v>0</v>
      </c>
      <c r="W438" s="136"/>
      <c r="Z438" s="647" t="e">
        <f t="shared" si="121"/>
        <v>#VALUE!</v>
      </c>
      <c r="AA438" s="647" t="e">
        <f t="shared" si="122"/>
        <v>#VALUE!</v>
      </c>
      <c r="AB438" s="67">
        <f t="shared" si="123"/>
        <v>30</v>
      </c>
      <c r="AC438" s="67">
        <f t="shared" si="115"/>
        <v>30</v>
      </c>
      <c r="AD438" s="84">
        <f t="shared" si="124"/>
        <v>0</v>
      </c>
      <c r="AJ438" s="405"/>
    </row>
    <row r="439" spans="3:36" ht="12.75" customHeight="1">
      <c r="C439" s="131"/>
      <c r="D439" s="169" t="str">
        <f>IF(op!D327=0,"",op!D327)</f>
        <v/>
      </c>
      <c r="E439" s="169" t="str">
        <f>IF(op!E327=0,"",op!E327)</f>
        <v/>
      </c>
      <c r="F439" s="169" t="str">
        <f>IF(op!F327=0,"",op!F327)</f>
        <v/>
      </c>
      <c r="G439" s="170" t="str">
        <f>IF(op!G327="","",op!G327+1)</f>
        <v/>
      </c>
      <c r="H439" s="566" t="str">
        <f>IF(op!H327="","",op!H327)</f>
        <v/>
      </c>
      <c r="I439" s="170" t="str">
        <f>IF(op!I327=0,"",op!I327)</f>
        <v/>
      </c>
      <c r="J439" s="567" t="str">
        <f>IF(E439="","",IF(op!J327&gt;LOOKUP(I439,schaal2011,regels2011),J327-1,IF(op!J327=LOOKUP(I439,schaal2011,regels2011),op!J327,J327+1)))</f>
        <v/>
      </c>
      <c r="K439" s="568" t="str">
        <f>IF(op!K327="","",op!K327)</f>
        <v/>
      </c>
      <c r="L439" s="569" t="str">
        <f>IF(op!L327="","",op!L327)</f>
        <v/>
      </c>
      <c r="M439" s="570" t="str">
        <f t="shared" si="117"/>
        <v/>
      </c>
      <c r="N439" s="155"/>
      <c r="O439" s="571" t="str">
        <f>IF(I439="","",VLOOKUP(I439,tab!$A$119:$V$159,J439+3,FALSE))</f>
        <v/>
      </c>
      <c r="P439" s="572">
        <f t="shared" si="118"/>
        <v>0</v>
      </c>
      <c r="Q439" s="589">
        <f t="shared" si="125"/>
        <v>0.6</v>
      </c>
      <c r="R439" s="573">
        <f t="shared" si="126"/>
        <v>0</v>
      </c>
      <c r="S439" s="332">
        <f>IF(L439="",0,O439*12*L439*(1+tab!$D$108)*tab!$E$110)</f>
        <v>0</v>
      </c>
      <c r="T439" s="580">
        <f t="shared" si="127"/>
        <v>0</v>
      </c>
      <c r="U439" s="243">
        <f t="shared" si="119"/>
        <v>0</v>
      </c>
      <c r="V439" s="332">
        <f t="shared" si="120"/>
        <v>0</v>
      </c>
      <c r="W439" s="136"/>
      <c r="Z439" s="647" t="e">
        <f t="shared" si="121"/>
        <v>#VALUE!</v>
      </c>
      <c r="AA439" s="647" t="e">
        <f t="shared" si="122"/>
        <v>#VALUE!</v>
      </c>
      <c r="AB439" s="67">
        <f t="shared" si="123"/>
        <v>30</v>
      </c>
      <c r="AC439" s="67">
        <f t="shared" si="115"/>
        <v>30</v>
      </c>
      <c r="AD439" s="84">
        <f t="shared" si="124"/>
        <v>0</v>
      </c>
      <c r="AJ439" s="405"/>
    </row>
    <row r="440" spans="3:36" ht="12.75" customHeight="1">
      <c r="C440" s="131"/>
      <c r="D440" s="169" t="str">
        <f>IF(op!D328=0,"",op!D328)</f>
        <v/>
      </c>
      <c r="E440" s="169" t="str">
        <f>IF(op!E328=0,"",op!E328)</f>
        <v/>
      </c>
      <c r="F440" s="169" t="str">
        <f>IF(op!F328=0,"",op!F328)</f>
        <v/>
      </c>
      <c r="G440" s="170" t="str">
        <f>IF(op!G328="","",op!G328+1)</f>
        <v/>
      </c>
      <c r="H440" s="566" t="str">
        <f>IF(op!H328="","",op!H328)</f>
        <v/>
      </c>
      <c r="I440" s="170" t="str">
        <f>IF(op!I328=0,"",op!I328)</f>
        <v/>
      </c>
      <c r="J440" s="567" t="str">
        <f>IF(E440="","",IF(op!J328&gt;LOOKUP(I440,schaal2011,regels2011),J328-1,IF(op!J328=LOOKUP(I440,schaal2011,regels2011),op!J328,J328+1)))</f>
        <v/>
      </c>
      <c r="K440" s="568" t="str">
        <f>IF(op!K328="","",op!K328)</f>
        <v/>
      </c>
      <c r="L440" s="569" t="str">
        <f>IF(op!L328="","",op!L328)</f>
        <v/>
      </c>
      <c r="M440" s="570" t="str">
        <f t="shared" si="117"/>
        <v/>
      </c>
      <c r="N440" s="155"/>
      <c r="O440" s="571" t="str">
        <f>IF(I440="","",VLOOKUP(I440,tab!$A$119:$V$159,J440+3,FALSE))</f>
        <v/>
      </c>
      <c r="P440" s="572">
        <f t="shared" si="118"/>
        <v>0</v>
      </c>
      <c r="Q440" s="589">
        <f t="shared" si="125"/>
        <v>0.6</v>
      </c>
      <c r="R440" s="573">
        <f t="shared" si="126"/>
        <v>0</v>
      </c>
      <c r="S440" s="332">
        <f>IF(L440="",0,O440*12*L440*(1+tab!$D$108)*tab!$E$110)</f>
        <v>0</v>
      </c>
      <c r="T440" s="580">
        <f t="shared" si="127"/>
        <v>0</v>
      </c>
      <c r="U440" s="243">
        <f t="shared" si="119"/>
        <v>0</v>
      </c>
      <c r="V440" s="332">
        <f t="shared" si="120"/>
        <v>0</v>
      </c>
      <c r="W440" s="136"/>
      <c r="Z440" s="647" t="e">
        <f t="shared" si="121"/>
        <v>#VALUE!</v>
      </c>
      <c r="AA440" s="647" t="e">
        <f t="shared" si="122"/>
        <v>#VALUE!</v>
      </c>
      <c r="AB440" s="67">
        <f t="shared" si="123"/>
        <v>30</v>
      </c>
      <c r="AC440" s="67">
        <f t="shared" si="115"/>
        <v>30</v>
      </c>
      <c r="AD440" s="84">
        <f t="shared" si="124"/>
        <v>0</v>
      </c>
      <c r="AJ440" s="405"/>
    </row>
    <row r="441" spans="3:36" ht="12.75" customHeight="1">
      <c r="C441" s="131"/>
      <c r="D441" s="169" t="str">
        <f>IF(op!D329=0,"",op!D329)</f>
        <v/>
      </c>
      <c r="E441" s="169" t="str">
        <f>IF(op!E329=0,"",op!E329)</f>
        <v/>
      </c>
      <c r="F441" s="169" t="str">
        <f>IF(op!F329=0,"",op!F329)</f>
        <v/>
      </c>
      <c r="G441" s="170" t="str">
        <f>IF(op!G329="","",op!G329+1)</f>
        <v/>
      </c>
      <c r="H441" s="566" t="str">
        <f>IF(op!H329="","",op!H329)</f>
        <v/>
      </c>
      <c r="I441" s="170" t="str">
        <f>IF(op!I329=0,"",op!I329)</f>
        <v/>
      </c>
      <c r="J441" s="567" t="str">
        <f>IF(E441="","",IF(op!J329&gt;LOOKUP(I441,schaal2011,regels2011),J329-1,IF(op!J329=LOOKUP(I441,schaal2011,regels2011),op!J329,J329+1)))</f>
        <v/>
      </c>
      <c r="K441" s="568" t="str">
        <f>IF(op!K329="","",op!K329)</f>
        <v/>
      </c>
      <c r="L441" s="569" t="str">
        <f>IF(op!L329="","",op!L329)</f>
        <v/>
      </c>
      <c r="M441" s="570" t="str">
        <f t="shared" si="117"/>
        <v/>
      </c>
      <c r="N441" s="155"/>
      <c r="O441" s="571" t="str">
        <f>IF(I441="","",VLOOKUP(I441,tab!$A$119:$V$159,J441+3,FALSE))</f>
        <v/>
      </c>
      <c r="P441" s="572">
        <f t="shared" si="118"/>
        <v>0</v>
      </c>
      <c r="Q441" s="589">
        <f t="shared" si="125"/>
        <v>0.6</v>
      </c>
      <c r="R441" s="573">
        <f t="shared" si="126"/>
        <v>0</v>
      </c>
      <c r="S441" s="332">
        <f>IF(L441="",0,O441*12*L441*(1+tab!$D$108)*tab!$E$110)</f>
        <v>0</v>
      </c>
      <c r="T441" s="580">
        <f t="shared" si="127"/>
        <v>0</v>
      </c>
      <c r="U441" s="243">
        <f t="shared" si="119"/>
        <v>0</v>
      </c>
      <c r="V441" s="332">
        <f t="shared" si="120"/>
        <v>0</v>
      </c>
      <c r="W441" s="136"/>
      <c r="Z441" s="647" t="e">
        <f t="shared" si="121"/>
        <v>#VALUE!</v>
      </c>
      <c r="AA441" s="647" t="e">
        <f t="shared" si="122"/>
        <v>#VALUE!</v>
      </c>
      <c r="AB441" s="67">
        <f t="shared" si="123"/>
        <v>30</v>
      </c>
      <c r="AC441" s="67">
        <f t="shared" si="115"/>
        <v>30</v>
      </c>
      <c r="AD441" s="84">
        <f t="shared" si="124"/>
        <v>0</v>
      </c>
      <c r="AJ441" s="405"/>
    </row>
    <row r="442" spans="3:36" ht="12.75" customHeight="1">
      <c r="C442" s="131"/>
      <c r="D442" s="169" t="str">
        <f>IF(op!D330=0,"",op!D330)</f>
        <v/>
      </c>
      <c r="E442" s="169" t="str">
        <f>IF(op!E330=0,"",op!E330)</f>
        <v/>
      </c>
      <c r="F442" s="169" t="str">
        <f>IF(op!F330=0,"",op!F330)</f>
        <v/>
      </c>
      <c r="G442" s="170" t="str">
        <f>IF(op!G330="","",op!G330+1)</f>
        <v/>
      </c>
      <c r="H442" s="566" t="str">
        <f>IF(op!H330="","",op!H330)</f>
        <v/>
      </c>
      <c r="I442" s="170" t="str">
        <f>IF(op!I330=0,"",op!I330)</f>
        <v/>
      </c>
      <c r="J442" s="567" t="str">
        <f>IF(E442="","",IF(op!J330&gt;LOOKUP(I442,schaal2011,regels2011),J330-1,IF(op!J330=LOOKUP(I442,schaal2011,regels2011),op!J330,J330+1)))</f>
        <v/>
      </c>
      <c r="K442" s="568" t="str">
        <f>IF(op!K330="","",op!K330)</f>
        <v/>
      </c>
      <c r="L442" s="569" t="str">
        <f>IF(op!L330="","",op!L330)</f>
        <v/>
      </c>
      <c r="M442" s="570" t="str">
        <f t="shared" si="117"/>
        <v/>
      </c>
      <c r="N442" s="155"/>
      <c r="O442" s="571" t="str">
        <f>IF(I442="","",VLOOKUP(I442,tab!$A$119:$V$159,J442+3,FALSE))</f>
        <v/>
      </c>
      <c r="P442" s="572">
        <f t="shared" si="118"/>
        <v>0</v>
      </c>
      <c r="Q442" s="589">
        <f t="shared" si="125"/>
        <v>0.6</v>
      </c>
      <c r="R442" s="573">
        <f t="shared" si="126"/>
        <v>0</v>
      </c>
      <c r="S442" s="332">
        <f>IF(L442="",0,O442*12*L442*(1+tab!$D$108)*tab!$E$110)</f>
        <v>0</v>
      </c>
      <c r="T442" s="580">
        <f t="shared" si="127"/>
        <v>0</v>
      </c>
      <c r="U442" s="243">
        <f t="shared" si="119"/>
        <v>0</v>
      </c>
      <c r="V442" s="332">
        <f t="shared" si="120"/>
        <v>0</v>
      </c>
      <c r="W442" s="136"/>
      <c r="Z442" s="647" t="e">
        <f t="shared" si="121"/>
        <v>#VALUE!</v>
      </c>
      <c r="AA442" s="647" t="e">
        <f t="shared" si="122"/>
        <v>#VALUE!</v>
      </c>
      <c r="AB442" s="67">
        <f t="shared" si="123"/>
        <v>30</v>
      </c>
      <c r="AC442" s="67">
        <f t="shared" si="115"/>
        <v>30</v>
      </c>
      <c r="AD442" s="84">
        <f t="shared" si="124"/>
        <v>0</v>
      </c>
      <c r="AJ442" s="405"/>
    </row>
    <row r="443" spans="3:36" ht="12.75" customHeight="1">
      <c r="C443" s="131"/>
      <c r="D443" s="169" t="str">
        <f>IF(op!D331=0,"",op!D331)</f>
        <v/>
      </c>
      <c r="E443" s="169" t="str">
        <f>IF(op!E331=0,"",op!E331)</f>
        <v/>
      </c>
      <c r="F443" s="169" t="str">
        <f>IF(op!F331=0,"",op!F331)</f>
        <v/>
      </c>
      <c r="G443" s="170" t="str">
        <f>IF(op!G331="","",op!G331+1)</f>
        <v/>
      </c>
      <c r="H443" s="566" t="str">
        <f>IF(op!H331="","",op!H331)</f>
        <v/>
      </c>
      <c r="I443" s="170" t="str">
        <f>IF(op!I331=0,"",op!I331)</f>
        <v/>
      </c>
      <c r="J443" s="567" t="str">
        <f>IF(E443="","",IF(op!J331&gt;LOOKUP(I443,schaal2011,regels2011),J331-1,IF(op!J331=LOOKUP(I443,schaal2011,regels2011),op!J331,J331+1)))</f>
        <v/>
      </c>
      <c r="K443" s="568" t="str">
        <f>IF(op!K331="","",op!K331)</f>
        <v/>
      </c>
      <c r="L443" s="569" t="str">
        <f>IF(op!L331="","",op!L331)</f>
        <v/>
      </c>
      <c r="M443" s="570" t="str">
        <f t="shared" si="117"/>
        <v/>
      </c>
      <c r="N443" s="155"/>
      <c r="O443" s="571" t="str">
        <f>IF(I443="","",VLOOKUP(I443,tab!$A$119:$V$159,J443+3,FALSE))</f>
        <v/>
      </c>
      <c r="P443" s="572">
        <f t="shared" si="118"/>
        <v>0</v>
      </c>
      <c r="Q443" s="589">
        <f t="shared" si="125"/>
        <v>0.6</v>
      </c>
      <c r="R443" s="573">
        <f t="shared" si="126"/>
        <v>0</v>
      </c>
      <c r="S443" s="332">
        <f>IF(L443="",0,O443*12*L443*(1+tab!$D$108)*tab!$E$110)</f>
        <v>0</v>
      </c>
      <c r="T443" s="580">
        <f t="shared" si="127"/>
        <v>0</v>
      </c>
      <c r="U443" s="243">
        <f t="shared" si="119"/>
        <v>0</v>
      </c>
      <c r="V443" s="332">
        <f t="shared" si="120"/>
        <v>0</v>
      </c>
      <c r="W443" s="136"/>
      <c r="Z443" s="647" t="e">
        <f t="shared" si="121"/>
        <v>#VALUE!</v>
      </c>
      <c r="AA443" s="647" t="e">
        <f t="shared" si="122"/>
        <v>#VALUE!</v>
      </c>
      <c r="AB443" s="67">
        <f t="shared" si="123"/>
        <v>30</v>
      </c>
      <c r="AC443" s="67">
        <f t="shared" si="115"/>
        <v>30</v>
      </c>
      <c r="AD443" s="84">
        <f t="shared" si="124"/>
        <v>0</v>
      </c>
      <c r="AJ443" s="405"/>
    </row>
    <row r="444" spans="3:36" ht="12.75" customHeight="1">
      <c r="C444" s="131"/>
      <c r="D444" s="169" t="str">
        <f>IF(op!D332=0,"",op!D332)</f>
        <v/>
      </c>
      <c r="E444" s="169" t="str">
        <f>IF(op!E332=0,"",op!E332)</f>
        <v/>
      </c>
      <c r="F444" s="169" t="str">
        <f>IF(op!F332=0,"",op!F332)</f>
        <v/>
      </c>
      <c r="G444" s="170" t="str">
        <f>IF(op!G332="","",op!G332+1)</f>
        <v/>
      </c>
      <c r="H444" s="566" t="str">
        <f>IF(op!H332="","",op!H332)</f>
        <v/>
      </c>
      <c r="I444" s="170" t="str">
        <f>IF(op!I332=0,"",op!I332)</f>
        <v/>
      </c>
      <c r="J444" s="567" t="str">
        <f>IF(E444="","",IF(op!J332&gt;LOOKUP(I444,schaal2011,regels2011),J332-1,IF(op!J332=LOOKUP(I444,schaal2011,regels2011),op!J332,J332+1)))</f>
        <v/>
      </c>
      <c r="K444" s="568" t="str">
        <f>IF(op!K332="","",op!K332)</f>
        <v/>
      </c>
      <c r="L444" s="569" t="str">
        <f>IF(op!L332="","",op!L332)</f>
        <v/>
      </c>
      <c r="M444" s="570" t="str">
        <f t="shared" si="117"/>
        <v/>
      </c>
      <c r="N444" s="155"/>
      <c r="O444" s="571" t="str">
        <f>IF(I444="","",VLOOKUP(I444,tab!$A$119:$V$159,J444+3,FALSE))</f>
        <v/>
      </c>
      <c r="P444" s="572">
        <f t="shared" si="118"/>
        <v>0</v>
      </c>
      <c r="Q444" s="589">
        <f t="shared" si="125"/>
        <v>0.6</v>
      </c>
      <c r="R444" s="573">
        <f t="shared" si="126"/>
        <v>0</v>
      </c>
      <c r="S444" s="332">
        <f>IF(L444="",0,O444*12*L444*(1+tab!$D$108)*tab!$E$110)</f>
        <v>0</v>
      </c>
      <c r="T444" s="580">
        <f t="shared" si="127"/>
        <v>0</v>
      </c>
      <c r="U444" s="243">
        <f t="shared" si="119"/>
        <v>0</v>
      </c>
      <c r="V444" s="332">
        <f t="shared" si="120"/>
        <v>0</v>
      </c>
      <c r="W444" s="136"/>
      <c r="Z444" s="647" t="e">
        <f t="shared" si="121"/>
        <v>#VALUE!</v>
      </c>
      <c r="AA444" s="647" t="e">
        <f t="shared" si="122"/>
        <v>#VALUE!</v>
      </c>
      <c r="AB444" s="67">
        <f t="shared" si="123"/>
        <v>30</v>
      </c>
      <c r="AC444" s="67">
        <f t="shared" si="115"/>
        <v>30</v>
      </c>
      <c r="AD444" s="84">
        <f t="shared" si="124"/>
        <v>0</v>
      </c>
      <c r="AJ444" s="405"/>
    </row>
    <row r="445" spans="3:36" ht="12.75" customHeight="1">
      <c r="C445" s="131"/>
      <c r="D445" s="169" t="str">
        <f>IF(op!D333=0,"",op!D333)</f>
        <v/>
      </c>
      <c r="E445" s="169" t="str">
        <f>IF(op!E333=0,"",op!E333)</f>
        <v/>
      </c>
      <c r="F445" s="169" t="str">
        <f>IF(op!F333=0,"",op!F333)</f>
        <v/>
      </c>
      <c r="G445" s="170" t="str">
        <f>IF(op!G333="","",op!G333+1)</f>
        <v/>
      </c>
      <c r="H445" s="566" t="str">
        <f>IF(op!H333="","",op!H333)</f>
        <v/>
      </c>
      <c r="I445" s="170" t="str">
        <f>IF(op!I333=0,"",op!I333)</f>
        <v/>
      </c>
      <c r="J445" s="567" t="str">
        <f>IF(E445="","",IF(op!J333&gt;LOOKUP(I445,schaal2011,regels2011),J333-1,IF(op!J333=LOOKUP(I445,schaal2011,regels2011),op!J333,J333+1)))</f>
        <v/>
      </c>
      <c r="K445" s="568" t="str">
        <f>IF(op!K333="","",op!K333)</f>
        <v/>
      </c>
      <c r="L445" s="569" t="str">
        <f>IF(op!L333="","",op!L333)</f>
        <v/>
      </c>
      <c r="M445" s="570" t="str">
        <f t="shared" si="117"/>
        <v/>
      </c>
      <c r="N445" s="155"/>
      <c r="O445" s="571" t="str">
        <f>IF(I445="","",VLOOKUP(I445,tab!$A$119:$V$159,J445+3,FALSE))</f>
        <v/>
      </c>
      <c r="P445" s="572">
        <f t="shared" si="118"/>
        <v>0</v>
      </c>
      <c r="Q445" s="589">
        <f t="shared" si="125"/>
        <v>0.6</v>
      </c>
      <c r="R445" s="573">
        <f t="shared" si="126"/>
        <v>0</v>
      </c>
      <c r="S445" s="332">
        <f>IF(L445="",0,O445*12*L445*(1+tab!$D$108)*tab!$E$110)</f>
        <v>0</v>
      </c>
      <c r="T445" s="580">
        <f t="shared" si="127"/>
        <v>0</v>
      </c>
      <c r="U445" s="243">
        <f t="shared" si="119"/>
        <v>0</v>
      </c>
      <c r="V445" s="332">
        <f t="shared" si="120"/>
        <v>0</v>
      </c>
      <c r="W445" s="136"/>
      <c r="Z445" s="647" t="e">
        <f t="shared" si="121"/>
        <v>#VALUE!</v>
      </c>
      <c r="AA445" s="647" t="e">
        <f t="shared" si="122"/>
        <v>#VALUE!</v>
      </c>
      <c r="AB445" s="67">
        <f t="shared" si="123"/>
        <v>30</v>
      </c>
      <c r="AC445" s="67">
        <f t="shared" si="115"/>
        <v>30</v>
      </c>
      <c r="AD445" s="84">
        <f t="shared" si="124"/>
        <v>0</v>
      </c>
      <c r="AJ445" s="405"/>
    </row>
    <row r="446" spans="3:36" ht="12.75" customHeight="1">
      <c r="C446" s="131"/>
      <c r="D446" s="169" t="str">
        <f>IF(op!D334=0,"",op!D334)</f>
        <v/>
      </c>
      <c r="E446" s="169" t="str">
        <f>IF(op!E334=0,"",op!E334)</f>
        <v/>
      </c>
      <c r="F446" s="169" t="str">
        <f>IF(op!F334=0,"",op!F334)</f>
        <v/>
      </c>
      <c r="G446" s="170" t="str">
        <f>IF(op!G334="","",op!G334+1)</f>
        <v/>
      </c>
      <c r="H446" s="566" t="str">
        <f>IF(op!H334="","",op!H334)</f>
        <v/>
      </c>
      <c r="I446" s="170" t="str">
        <f>IF(op!I334=0,"",op!I334)</f>
        <v/>
      </c>
      <c r="J446" s="567" t="str">
        <f>IF(E446="","",IF(op!J334&gt;LOOKUP(I446,schaal2011,regels2011),J334-1,IF(op!J334=LOOKUP(I446,schaal2011,regels2011),op!J334,J334+1)))</f>
        <v/>
      </c>
      <c r="K446" s="568" t="str">
        <f>IF(op!K334="","",op!K334)</f>
        <v/>
      </c>
      <c r="L446" s="569" t="str">
        <f>IF(op!L334="","",op!L334)</f>
        <v/>
      </c>
      <c r="M446" s="570" t="str">
        <f t="shared" si="117"/>
        <v/>
      </c>
      <c r="N446" s="155"/>
      <c r="O446" s="571" t="str">
        <f>IF(I446="","",VLOOKUP(I446,tab!$A$119:$V$159,J446+3,FALSE))</f>
        <v/>
      </c>
      <c r="P446" s="572">
        <f t="shared" si="118"/>
        <v>0</v>
      </c>
      <c r="Q446" s="589">
        <f t="shared" si="125"/>
        <v>0.6</v>
      </c>
      <c r="R446" s="573">
        <f t="shared" si="126"/>
        <v>0</v>
      </c>
      <c r="S446" s="332">
        <f>IF(L446="",0,O446*12*L446*(1+tab!$D$108)*tab!$E$110)</f>
        <v>0</v>
      </c>
      <c r="T446" s="580">
        <f t="shared" si="127"/>
        <v>0</v>
      </c>
      <c r="U446" s="243">
        <f t="shared" si="119"/>
        <v>0</v>
      </c>
      <c r="V446" s="332">
        <f t="shared" si="120"/>
        <v>0</v>
      </c>
      <c r="W446" s="136"/>
      <c r="Z446" s="647" t="e">
        <f t="shared" si="121"/>
        <v>#VALUE!</v>
      </c>
      <c r="AA446" s="647" t="e">
        <f t="shared" si="122"/>
        <v>#VALUE!</v>
      </c>
      <c r="AB446" s="67">
        <f t="shared" si="123"/>
        <v>30</v>
      </c>
      <c r="AC446" s="67">
        <f t="shared" si="115"/>
        <v>30</v>
      </c>
      <c r="AD446" s="84">
        <f t="shared" si="124"/>
        <v>0</v>
      </c>
      <c r="AJ446" s="405"/>
    </row>
    <row r="447" spans="3:36" ht="12.75" customHeight="1">
      <c r="C447" s="131"/>
      <c r="D447" s="169" t="str">
        <f>IF(op!D335=0,"",op!D335)</f>
        <v/>
      </c>
      <c r="E447" s="169" t="str">
        <f>IF(op!E335=0,"",op!E335)</f>
        <v/>
      </c>
      <c r="F447" s="169" t="str">
        <f>IF(op!F335=0,"",op!F335)</f>
        <v/>
      </c>
      <c r="G447" s="170" t="str">
        <f>IF(op!G335="","",op!G335+1)</f>
        <v/>
      </c>
      <c r="H447" s="566" t="str">
        <f>IF(op!H335="","",op!H335)</f>
        <v/>
      </c>
      <c r="I447" s="170" t="str">
        <f>IF(op!I335=0,"",op!I335)</f>
        <v/>
      </c>
      <c r="J447" s="567" t="str">
        <f>IF(E447="","",IF(op!J335&gt;LOOKUP(I447,schaal2011,regels2011),J335-1,IF(op!J335=LOOKUP(I447,schaal2011,regels2011),op!J335,J335+1)))</f>
        <v/>
      </c>
      <c r="K447" s="568" t="str">
        <f>IF(op!K335="","",op!K335)</f>
        <v/>
      </c>
      <c r="L447" s="569" t="str">
        <f>IF(op!L335="","",op!L335)</f>
        <v/>
      </c>
      <c r="M447" s="570" t="str">
        <f>(IF(L447="",(K447),(K447)-L447))</f>
        <v/>
      </c>
      <c r="N447" s="155"/>
      <c r="O447" s="571" t="str">
        <f>IF(I447="","",VLOOKUP(I447,tab!$A$119:$V$159,J447+3,FALSE))</f>
        <v/>
      </c>
      <c r="P447" s="572">
        <f t="shared" si="118"/>
        <v>0</v>
      </c>
      <c r="Q447" s="589">
        <f t="shared" si="125"/>
        <v>0.6</v>
      </c>
      <c r="R447" s="573">
        <f t="shared" si="126"/>
        <v>0</v>
      </c>
      <c r="S447" s="332">
        <f>IF(L447="",0,O447*12*L447*(1+tab!$D$108)*tab!$E$110)</f>
        <v>0</v>
      </c>
      <c r="T447" s="580">
        <f t="shared" si="127"/>
        <v>0</v>
      </c>
      <c r="U447" s="243">
        <f t="shared" si="119"/>
        <v>0</v>
      </c>
      <c r="V447" s="332">
        <f t="shared" si="120"/>
        <v>0</v>
      </c>
      <c r="W447" s="136"/>
      <c r="Z447" s="647" t="e">
        <f t="shared" si="121"/>
        <v>#VALUE!</v>
      </c>
      <c r="AA447" s="647" t="e">
        <f t="shared" si="122"/>
        <v>#VALUE!</v>
      </c>
      <c r="AB447" s="67">
        <f t="shared" si="123"/>
        <v>30</v>
      </c>
      <c r="AC447" s="67">
        <f t="shared" si="115"/>
        <v>30</v>
      </c>
      <c r="AD447" s="84">
        <f t="shared" si="124"/>
        <v>0</v>
      </c>
      <c r="AJ447" s="405"/>
    </row>
    <row r="448" spans="3:36" ht="12.75" customHeight="1">
      <c r="C448" s="131"/>
      <c r="D448" s="169" t="str">
        <f>IF(op!D336=0,"",op!D336)</f>
        <v/>
      </c>
      <c r="E448" s="169" t="str">
        <f>IF(op!E336=0,"",op!E336)</f>
        <v/>
      </c>
      <c r="F448" s="169" t="str">
        <f>IF(op!F336=0,"",op!F336)</f>
        <v/>
      </c>
      <c r="G448" s="170" t="str">
        <f>IF(op!G336="","",op!G336+1)</f>
        <v/>
      </c>
      <c r="H448" s="566" t="str">
        <f>IF(op!H336="","",op!H336)</f>
        <v/>
      </c>
      <c r="I448" s="170" t="str">
        <f>IF(op!I336=0,"",op!I336)</f>
        <v/>
      </c>
      <c r="J448" s="567" t="str">
        <f>IF(E448="","",IF(op!J336&gt;LOOKUP(I448,schaal2011,regels2011),J336-1,IF(op!J336=LOOKUP(I448,schaal2011,regels2011),op!J336,J336+1)))</f>
        <v/>
      </c>
      <c r="K448" s="568" t="str">
        <f>IF(op!K336="","",op!K336)</f>
        <v/>
      </c>
      <c r="L448" s="569" t="str">
        <f>IF(op!L336="","",op!L336)</f>
        <v/>
      </c>
      <c r="M448" s="570" t="str">
        <f>(IF(L448="",(K448),(K448)-L448))</f>
        <v/>
      </c>
      <c r="N448" s="155"/>
      <c r="O448" s="571" t="str">
        <f>IF(I448="","",VLOOKUP(I448,tab!$A$119:$V$159,J448+3,FALSE))</f>
        <v/>
      </c>
      <c r="P448" s="572">
        <f>IF(E448="",0,(O448*M448*12))</f>
        <v>0</v>
      </c>
      <c r="Q448" s="589">
        <f t="shared" si="125"/>
        <v>0.6</v>
      </c>
      <c r="R448" s="573">
        <f t="shared" si="126"/>
        <v>0</v>
      </c>
      <c r="S448" s="332">
        <f>IF(L448="",0,O448*12*L448*(1+tab!$D$108)*tab!$E$110)</f>
        <v>0</v>
      </c>
      <c r="T448" s="580">
        <f t="shared" si="127"/>
        <v>0</v>
      </c>
      <c r="U448" s="243">
        <f t="shared" si="119"/>
        <v>0</v>
      </c>
      <c r="V448" s="332">
        <f>IF(U448=25,(O448*1.08*(K448)/2),IF(U448=40,(O448*1.08*(K448)),IF(U448=0,0)))</f>
        <v>0</v>
      </c>
      <c r="W448" s="136"/>
      <c r="Z448" s="647" t="e">
        <f t="shared" si="121"/>
        <v>#VALUE!</v>
      </c>
      <c r="AA448" s="647" t="e">
        <f>YEAR($E$345)-YEAR(H448)-Z448</f>
        <v>#VALUE!</v>
      </c>
      <c r="AB448" s="67">
        <f>IF((H448=""),30,AA448)</f>
        <v>30</v>
      </c>
      <c r="AC448" s="67">
        <f t="shared" si="115"/>
        <v>30</v>
      </c>
      <c r="AD448" s="84">
        <f>(AC448*(SUM(K448:K448)))</f>
        <v>0</v>
      </c>
      <c r="AJ448" s="405"/>
    </row>
    <row r="449" spans="1:39" ht="12.75" customHeight="1">
      <c r="C449" s="131"/>
      <c r="D449" s="169" t="str">
        <f>IF(op!D337=0,"",op!D337)</f>
        <v/>
      </c>
      <c r="E449" s="169" t="str">
        <f>IF(op!E337=0,"",op!E337)</f>
        <v/>
      </c>
      <c r="F449" s="169" t="str">
        <f>IF(op!F337=0,"",op!F337)</f>
        <v/>
      </c>
      <c r="G449" s="170" t="str">
        <f>IF(op!G337="","",op!G337+1)</f>
        <v/>
      </c>
      <c r="H449" s="566" t="str">
        <f>IF(op!H337="","",op!H337)</f>
        <v/>
      </c>
      <c r="I449" s="170" t="str">
        <f>IF(op!I337=0,"",op!I337)</f>
        <v/>
      </c>
      <c r="J449" s="567" t="str">
        <f>IF(E449="","",IF(op!J337&gt;LOOKUP(I449,schaal2011,regels2011),J337-1,IF(op!J337=LOOKUP(I449,schaal2011,regels2011),op!J337,J337+1)))</f>
        <v/>
      </c>
      <c r="K449" s="568" t="str">
        <f>IF(op!K337="","",op!K337)</f>
        <v/>
      </c>
      <c r="L449" s="569" t="str">
        <f>IF(op!L337="","",op!L337)</f>
        <v/>
      </c>
      <c r="M449" s="570" t="str">
        <f>(IF(L449="",(K449),(K449)-L449))</f>
        <v/>
      </c>
      <c r="N449" s="155"/>
      <c r="O449" s="571" t="str">
        <f>IF(I449="","",VLOOKUP(I449,tab!$A$119:$V$159,J449+3,FALSE))</f>
        <v/>
      </c>
      <c r="P449" s="572">
        <f>IF(E449="",0,(O449*M449*12))</f>
        <v>0</v>
      </c>
      <c r="Q449" s="589">
        <f t="shared" si="125"/>
        <v>0.6</v>
      </c>
      <c r="R449" s="573">
        <f t="shared" si="126"/>
        <v>0</v>
      </c>
      <c r="S449" s="332">
        <f>IF(L449="",0,O449*12*L449*(1+tab!$D$108)*tab!$E$110)</f>
        <v>0</v>
      </c>
      <c r="T449" s="580">
        <f t="shared" si="127"/>
        <v>0</v>
      </c>
      <c r="U449" s="243">
        <f t="shared" si="119"/>
        <v>0</v>
      </c>
      <c r="V449" s="332">
        <f>IF(U449=25,(O449*1.08*(K449)/2),IF(U449=40,(O449*1.08*(K449)),IF(U449=0,0)))</f>
        <v>0</v>
      </c>
      <c r="W449" s="136"/>
      <c r="Z449" s="647" t="e">
        <f t="shared" si="121"/>
        <v>#VALUE!</v>
      </c>
      <c r="AA449" s="647" t="e">
        <f>YEAR($E$345)-YEAR(H449)-Z449</f>
        <v>#VALUE!</v>
      </c>
      <c r="AB449" s="67">
        <f>IF((H449=""),30,AA449)</f>
        <v>30</v>
      </c>
      <c r="AC449" s="67">
        <f t="shared" si="115"/>
        <v>30</v>
      </c>
      <c r="AD449" s="84">
        <f>(AC449*(SUM(K449:K449)))</f>
        <v>0</v>
      </c>
      <c r="AJ449" s="405"/>
    </row>
    <row r="450" spans="1:39" ht="12.75" customHeight="1">
      <c r="C450" s="131"/>
      <c r="D450" s="169" t="str">
        <f>IF(op!D338=0,"",op!D338)</f>
        <v/>
      </c>
      <c r="E450" s="169" t="str">
        <f>IF(op!E338=0,"",op!E338)</f>
        <v/>
      </c>
      <c r="F450" s="169" t="str">
        <f>IF(op!F338=0,"",op!F338)</f>
        <v/>
      </c>
      <c r="G450" s="170" t="str">
        <f>IF(op!G338="","",op!G338+1)</f>
        <v/>
      </c>
      <c r="H450" s="566" t="str">
        <f>IF(op!H338="","",op!H338)</f>
        <v/>
      </c>
      <c r="I450" s="170" t="str">
        <f>IF(op!I338=0,"",op!I338)</f>
        <v/>
      </c>
      <c r="J450" s="567" t="str">
        <f>IF(E450="","",IF(op!J338&gt;LOOKUP(I450,schaal2011,regels2011),J338-1,IF(op!J338=LOOKUP(I450,schaal2011,regels2011),op!J338,J338+1)))</f>
        <v/>
      </c>
      <c r="K450" s="568" t="str">
        <f>IF(op!K338="","",op!K338)</f>
        <v/>
      </c>
      <c r="L450" s="569" t="str">
        <f>IF(op!L338="","",op!L338)</f>
        <v/>
      </c>
      <c r="M450" s="570" t="str">
        <f>(IF(L450="",(K450),(K450)-L450))</f>
        <v/>
      </c>
      <c r="N450" s="155"/>
      <c r="O450" s="571" t="str">
        <f>IF(I450="","",VLOOKUP(I450,tab!$A$119:$V$159,J450+3,FALSE))</f>
        <v/>
      </c>
      <c r="P450" s="572">
        <f>IF(E450="",0,(O450*M450*12))</f>
        <v>0</v>
      </c>
      <c r="Q450" s="589">
        <f t="shared" si="125"/>
        <v>0.6</v>
      </c>
      <c r="R450" s="573">
        <f t="shared" si="126"/>
        <v>0</v>
      </c>
      <c r="S450" s="332">
        <f>IF(L450="",0,O450*12*L450*(1+tab!$D$108)*tab!$E$110)</f>
        <v>0</v>
      </c>
      <c r="T450" s="580">
        <f t="shared" si="127"/>
        <v>0</v>
      </c>
      <c r="U450" s="243">
        <f t="shared" si="119"/>
        <v>0</v>
      </c>
      <c r="V450" s="332">
        <f>IF(U450=25,(O450*1.08*(K450)/2),IF(U450=40,(O450*1.08*(K450)),IF(U450=0,0)))</f>
        <v>0</v>
      </c>
      <c r="W450" s="136"/>
      <c r="Z450" s="647" t="e">
        <f t="shared" si="121"/>
        <v>#VALUE!</v>
      </c>
      <c r="AA450" s="647" t="e">
        <f>YEAR($E$345)-YEAR(H450)-Z450</f>
        <v>#VALUE!</v>
      </c>
      <c r="AB450" s="67">
        <f>IF((H450=""),30,AA450)</f>
        <v>30</v>
      </c>
      <c r="AC450" s="67">
        <f t="shared" si="115"/>
        <v>30</v>
      </c>
      <c r="AD450" s="84">
        <f>(AC450*(SUM(K450:K450)))</f>
        <v>0</v>
      </c>
      <c r="AJ450" s="405"/>
    </row>
    <row r="451" spans="1:39" ht="12.75" customHeight="1">
      <c r="C451" s="131"/>
      <c r="D451" s="169" t="str">
        <f>IF(op!D339=0,"",op!D339)</f>
        <v/>
      </c>
      <c r="E451" s="169" t="str">
        <f>IF(op!E339=0,"",op!E339)</f>
        <v/>
      </c>
      <c r="F451" s="169" t="str">
        <f>IF(op!F339=0,"",op!F339)</f>
        <v/>
      </c>
      <c r="G451" s="170" t="str">
        <f>IF(op!G339="","",op!G339+1)</f>
        <v/>
      </c>
      <c r="H451" s="566" t="str">
        <f>IF(op!H339="","",op!H339)</f>
        <v/>
      </c>
      <c r="I451" s="170" t="str">
        <f>IF(op!I339=0,"",op!I339)</f>
        <v/>
      </c>
      <c r="J451" s="567" t="str">
        <f>IF(E451="","",IF(op!J339&gt;LOOKUP(I451,schaal2011,regels2011),J339-1,IF(op!J339=LOOKUP(I451,schaal2011,regels2011),op!J339,J339+1)))</f>
        <v/>
      </c>
      <c r="K451" s="568" t="str">
        <f>IF(op!K339="","",op!K339)</f>
        <v/>
      </c>
      <c r="L451" s="569" t="str">
        <f>IF(op!L339="","",op!L339)</f>
        <v/>
      </c>
      <c r="M451" s="570" t="str">
        <f>(IF(L451="",(K451),(K451)-L451))</f>
        <v/>
      </c>
      <c r="N451" s="155"/>
      <c r="O451" s="571" t="str">
        <f>IF(I451="","",VLOOKUP(I451,tab!$A$119:$V$159,J451+3,FALSE))</f>
        <v/>
      </c>
      <c r="P451" s="572">
        <f>IF(E451="",0,(O451*M451*12))</f>
        <v>0</v>
      </c>
      <c r="Q451" s="589">
        <f t="shared" si="125"/>
        <v>0.6</v>
      </c>
      <c r="R451" s="573">
        <f t="shared" si="126"/>
        <v>0</v>
      </c>
      <c r="S451" s="332">
        <f>IF(L451="",0,O451*12*L451*(1+tab!$D$108)*tab!$E$110)</f>
        <v>0</v>
      </c>
      <c r="T451" s="580">
        <f t="shared" si="127"/>
        <v>0</v>
      </c>
      <c r="U451" s="243">
        <f t="shared" si="119"/>
        <v>0</v>
      </c>
      <c r="V451" s="332">
        <f>IF(U451=25,(O451*1.08*(K451)/2),IF(U451=40,(O451*1.08*(K451)),IF(U451=0,0)))</f>
        <v>0</v>
      </c>
      <c r="W451" s="136"/>
      <c r="Z451" s="647" t="e">
        <f t="shared" si="121"/>
        <v>#VALUE!</v>
      </c>
      <c r="AA451" s="647" t="e">
        <f>YEAR($E$345)-YEAR(H451)-Z451</f>
        <v>#VALUE!</v>
      </c>
      <c r="AB451" s="67">
        <f>IF((H451=""),30,AA451)</f>
        <v>30</v>
      </c>
      <c r="AC451" s="67">
        <f t="shared" si="115"/>
        <v>30</v>
      </c>
      <c r="AD451" s="84">
        <f>(AC451*(SUM(K451:K451)))</f>
        <v>0</v>
      </c>
      <c r="AJ451" s="405"/>
    </row>
    <row r="452" spans="1:39">
      <c r="C452" s="131"/>
      <c r="D452" s="319"/>
      <c r="E452" s="139"/>
      <c r="F452" s="319"/>
      <c r="G452" s="319"/>
      <c r="H452" s="556"/>
      <c r="I452" s="139"/>
      <c r="J452" s="625"/>
      <c r="K452" s="575">
        <f>SUM(K352:K451)</f>
        <v>1</v>
      </c>
      <c r="L452" s="575">
        <f>SUM(L352:L451)</f>
        <v>0</v>
      </c>
      <c r="M452" s="575">
        <f>SUM(M352:M451)</f>
        <v>1</v>
      </c>
      <c r="N452" s="319"/>
      <c r="O452" s="309">
        <f t="shared" ref="O452:V452" si="128">SUM(O352:O451)</f>
        <v>3597</v>
      </c>
      <c r="P452" s="309">
        <f t="shared" si="128"/>
        <v>43164</v>
      </c>
      <c r="Q452" s="297"/>
      <c r="R452" s="344">
        <f t="shared" si="128"/>
        <v>25898.399999999998</v>
      </c>
      <c r="S452" s="344">
        <f t="shared" si="128"/>
        <v>0</v>
      </c>
      <c r="T452" s="309">
        <f t="shared" si="128"/>
        <v>69062.399999999994</v>
      </c>
      <c r="U452" s="574">
        <f t="shared" si="128"/>
        <v>0</v>
      </c>
      <c r="V452" s="344">
        <f t="shared" si="128"/>
        <v>0</v>
      </c>
      <c r="W452" s="136"/>
      <c r="Z452" s="86"/>
      <c r="AA452" s="86"/>
      <c r="AJ452" s="405"/>
    </row>
    <row r="453" spans="1:39">
      <c r="C453" s="141"/>
      <c r="D453" s="557"/>
      <c r="E453" s="557"/>
      <c r="F453" s="557"/>
      <c r="G453" s="557"/>
      <c r="H453" s="558"/>
      <c r="I453" s="146"/>
      <c r="J453" s="559"/>
      <c r="K453" s="560"/>
      <c r="L453" s="559"/>
      <c r="M453" s="560"/>
      <c r="N453" s="557"/>
      <c r="O453" s="559"/>
      <c r="P453" s="299"/>
      <c r="Q453" s="299"/>
      <c r="R453" s="299"/>
      <c r="S453" s="562"/>
      <c r="T453" s="299"/>
      <c r="U453" s="563"/>
      <c r="V453" s="562"/>
      <c r="W453" s="147"/>
      <c r="AJ453" s="405"/>
    </row>
    <row r="456" spans="1:39">
      <c r="C456" s="68" t="s">
        <v>290</v>
      </c>
      <c r="E456" s="370" t="str">
        <f>dir!E117</f>
        <v>2016/17</v>
      </c>
    </row>
    <row r="457" spans="1:39">
      <c r="C457" s="68" t="s">
        <v>291</v>
      </c>
      <c r="E457" s="370">
        <f>dir!E118</f>
        <v>42644</v>
      </c>
    </row>
    <row r="459" spans="1:39">
      <c r="C459" s="124"/>
      <c r="D459" s="514"/>
      <c r="E459" s="515"/>
      <c r="F459" s="516"/>
      <c r="G459" s="129"/>
      <c r="H459" s="517"/>
      <c r="I459" s="518"/>
      <c r="J459" s="518"/>
      <c r="K459" s="519"/>
      <c r="L459" s="518"/>
      <c r="M459" s="520"/>
      <c r="N459" s="127"/>
      <c r="O459" s="521"/>
      <c r="P459" s="127"/>
      <c r="Q459" s="127"/>
      <c r="R459" s="127"/>
      <c r="S459" s="522"/>
      <c r="T459" s="302"/>
      <c r="U459" s="523"/>
      <c r="V459" s="522"/>
      <c r="W459" s="130"/>
    </row>
    <row r="460" spans="1:39">
      <c r="C460" s="659"/>
      <c r="D460" s="1176" t="s">
        <v>292</v>
      </c>
      <c r="E460" s="1177"/>
      <c r="F460" s="1177"/>
      <c r="G460" s="1177"/>
      <c r="H460" s="1177"/>
      <c r="I460" s="1178"/>
      <c r="J460" s="1178"/>
      <c r="K460" s="1178"/>
      <c r="L460" s="1178"/>
      <c r="M460" s="1178"/>
      <c r="N460" s="525"/>
      <c r="O460" s="1176" t="s">
        <v>293</v>
      </c>
      <c r="P460" s="1178"/>
      <c r="Q460" s="1178"/>
      <c r="R460" s="1178"/>
      <c r="S460" s="1178"/>
      <c r="T460" s="1178"/>
      <c r="U460" s="526"/>
      <c r="V460" s="242"/>
      <c r="W460" s="660"/>
      <c r="Z460" s="67"/>
      <c r="AA460" s="67"/>
      <c r="AD460" s="67"/>
    </row>
    <row r="461" spans="1:39">
      <c r="C461" s="665"/>
      <c r="D461" s="528" t="s">
        <v>541</v>
      </c>
      <c r="E461" s="528" t="s">
        <v>294</v>
      </c>
      <c r="F461" s="528" t="s">
        <v>295</v>
      </c>
      <c r="G461" s="529" t="s">
        <v>296</v>
      </c>
      <c r="H461" s="530" t="s">
        <v>297</v>
      </c>
      <c r="I461" s="529" t="s">
        <v>302</v>
      </c>
      <c r="J461" s="529" t="s">
        <v>303</v>
      </c>
      <c r="K461" s="531" t="s">
        <v>305</v>
      </c>
      <c r="L461" s="532" t="s">
        <v>306</v>
      </c>
      <c r="M461" s="531" t="s">
        <v>307</v>
      </c>
      <c r="N461" s="528"/>
      <c r="O461" s="535" t="s">
        <v>304</v>
      </c>
      <c r="P461" s="535" t="s">
        <v>738</v>
      </c>
      <c r="Q461" s="587" t="s">
        <v>739</v>
      </c>
      <c r="R461" s="510"/>
      <c r="S461" s="536" t="s">
        <v>306</v>
      </c>
      <c r="T461" s="576" t="s">
        <v>308</v>
      </c>
      <c r="U461" s="537" t="s">
        <v>309</v>
      </c>
      <c r="V461" s="242" t="s">
        <v>740</v>
      </c>
      <c r="W461" s="666"/>
      <c r="Z461" s="82" t="s">
        <v>298</v>
      </c>
      <c r="AA461" s="82" t="s">
        <v>299</v>
      </c>
      <c r="AB461" s="82" t="s">
        <v>300</v>
      </c>
      <c r="AC461" s="646" t="s">
        <v>301</v>
      </c>
      <c r="AD461" s="391" t="s">
        <v>178</v>
      </c>
    </row>
    <row r="462" spans="1:39" s="403" customFormat="1">
      <c r="A462" s="402"/>
      <c r="B462" s="402"/>
      <c r="C462" s="669"/>
      <c r="D462" s="540"/>
      <c r="E462" s="528"/>
      <c r="F462" s="532"/>
      <c r="G462" s="529" t="s">
        <v>312</v>
      </c>
      <c r="H462" s="530" t="s">
        <v>313</v>
      </c>
      <c r="I462" s="529"/>
      <c r="J462" s="529"/>
      <c r="K462" s="531" t="s">
        <v>316</v>
      </c>
      <c r="L462" s="532" t="s">
        <v>317</v>
      </c>
      <c r="M462" s="531" t="s">
        <v>318</v>
      </c>
      <c r="N462" s="528"/>
      <c r="O462" s="535" t="s">
        <v>315</v>
      </c>
      <c r="P462" s="535" t="s">
        <v>741</v>
      </c>
      <c r="Q462" s="577">
        <f>Q350</f>
        <v>0.6</v>
      </c>
      <c r="R462" s="510" t="s">
        <v>742</v>
      </c>
      <c r="S462" s="536" t="s">
        <v>310</v>
      </c>
      <c r="T462" s="576" t="s">
        <v>391</v>
      </c>
      <c r="U462" s="537"/>
      <c r="V462" s="536" t="s">
        <v>310</v>
      </c>
      <c r="W462" s="670"/>
      <c r="Z462" s="384" t="s">
        <v>314</v>
      </c>
      <c r="AA462" s="384" t="s">
        <v>314</v>
      </c>
      <c r="AB462" s="383"/>
      <c r="AC462" s="385" t="s">
        <v>178</v>
      </c>
      <c r="AD462" s="388"/>
      <c r="AL462" s="420"/>
      <c r="AM462" s="602"/>
    </row>
    <row r="463" spans="1:39">
      <c r="C463" s="131"/>
      <c r="D463" s="155"/>
      <c r="E463" s="155"/>
      <c r="F463" s="155"/>
      <c r="G463" s="155"/>
      <c r="H463" s="543"/>
      <c r="I463" s="544"/>
      <c r="J463" s="544"/>
      <c r="K463" s="545"/>
      <c r="L463" s="542"/>
      <c r="M463" s="545"/>
      <c r="N463" s="155"/>
      <c r="O463" s="546"/>
      <c r="P463" s="547"/>
      <c r="Q463" s="547"/>
      <c r="R463" s="547"/>
      <c r="S463" s="548"/>
      <c r="T463" s="547"/>
      <c r="U463" s="549"/>
      <c r="V463" s="548"/>
      <c r="W463" s="136"/>
      <c r="AD463" s="391"/>
    </row>
    <row r="464" spans="1:39">
      <c r="C464" s="131"/>
      <c r="D464" s="169" t="str">
        <f>IF(op!D352=0,"",op!D352)</f>
        <v/>
      </c>
      <c r="E464" s="169" t="str">
        <f>IF(op!E352=0,"",op!E352)</f>
        <v>nn</v>
      </c>
      <c r="F464" s="169" t="str">
        <f>IF(op!F352=0,"",op!F352)</f>
        <v>nn</v>
      </c>
      <c r="G464" s="170" t="str">
        <f>IF(op!G352="","",op!G352+1)</f>
        <v/>
      </c>
      <c r="H464" s="566">
        <f>IF(op!H352="","",op!H352)</f>
        <v>18264</v>
      </c>
      <c r="I464" s="170" t="str">
        <f>IF(op!I352=0,"",op!I352)</f>
        <v>LB</v>
      </c>
      <c r="J464" s="567">
        <f>IF(E464="","",IF(op!J352&gt;LOOKUP(I464,schaal2011,regels2011),J352-1,IF(op!J352=LOOKUP(I464,schaal2011,regels2011),op!J352,J352+1)))</f>
        <v>15</v>
      </c>
      <c r="K464" s="568">
        <f>IF(op!K352="","",op!K352)</f>
        <v>1</v>
      </c>
      <c r="L464" s="569" t="str">
        <f>IF(op!L352="","",op!L352)</f>
        <v/>
      </c>
      <c r="M464" s="570">
        <f t="shared" ref="M464:M563" si="129">(IF(L464="",(K464),(K464)-L464))</f>
        <v>1</v>
      </c>
      <c r="N464" s="155"/>
      <c r="O464" s="571">
        <f>IF(I464="","",VLOOKUP(I464,tab!$A$119:$V$159,J464+3,FALSE))</f>
        <v>3597</v>
      </c>
      <c r="P464" s="572">
        <f t="shared" ref="P464:P495" si="130">IF(E464="",0,(O464*M464*12))</f>
        <v>43164</v>
      </c>
      <c r="Q464" s="589">
        <f>$Q$462</f>
        <v>0.6</v>
      </c>
      <c r="R464" s="573">
        <f>IF(E464=0,"",(P464)*Q464)</f>
        <v>25898.399999999998</v>
      </c>
      <c r="S464" s="332">
        <f>IF(L464="",0,O464*12*L464*(1+tab!$D$108)*tab!$E$110)</f>
        <v>0</v>
      </c>
      <c r="T464" s="580">
        <f>IF(E464=0,0,(P464+R464+S464))</f>
        <v>69062.399999999994</v>
      </c>
      <c r="U464" s="243">
        <f t="shared" ref="U464:U527" si="131">IF(G464&lt;25,0,IF(G464=25,25,IF(G464&lt;40,0,IF(G464=40,40,IF(G464&gt;=40,0)))))</f>
        <v>0</v>
      </c>
      <c r="V464" s="332">
        <f t="shared" ref="V464:V495" si="132">IF(U464=25,(O464*1.08*(K464)/2),IF(U464=40,(O464*1.08*(K464)),IF(U464=0,0)))</f>
        <v>0</v>
      </c>
      <c r="W464" s="553"/>
      <c r="Z464" s="647" t="b">
        <f t="shared" ref="Z464:Z495" si="133">DATE(YEAR($E$345),MONTH(H464),DAY(H464))&gt;$E$345</f>
        <v>0</v>
      </c>
      <c r="AA464" s="647">
        <f t="shared" ref="AA464:AA495" si="134">YEAR($E$345)-YEAR(H464)-Z464</f>
        <v>65</v>
      </c>
      <c r="AB464" s="67">
        <f t="shared" ref="AB464:AB495" si="135">IF((H464=""),30,AA464)</f>
        <v>65</v>
      </c>
      <c r="AC464" s="67">
        <f t="shared" ref="AC464:AC563" si="136">IF((AB464)&gt;50,50,(AB464))</f>
        <v>50</v>
      </c>
      <c r="AD464" s="84">
        <f t="shared" ref="AD464:AD495" si="137">(AC464*(SUM(K464:K464)))</f>
        <v>50</v>
      </c>
    </row>
    <row r="465" spans="3:30">
      <c r="C465" s="131"/>
      <c r="D465" s="169" t="str">
        <f>IF(op!D353=0,"",op!D353)</f>
        <v/>
      </c>
      <c r="E465" s="169" t="str">
        <f>IF(op!E353=0,"",op!E353)</f>
        <v/>
      </c>
      <c r="F465" s="169" t="str">
        <f>IF(op!F353=0,"",op!F353)</f>
        <v/>
      </c>
      <c r="G465" s="170" t="str">
        <f>IF(op!G353="","",op!G353+1)</f>
        <v/>
      </c>
      <c r="H465" s="566" t="str">
        <f>IF(op!H353="","",op!H353)</f>
        <v/>
      </c>
      <c r="I465" s="170" t="str">
        <f>IF(op!I353=0,"",op!I353)</f>
        <v/>
      </c>
      <c r="J465" s="567" t="str">
        <f>IF(E465="","",IF(op!J353&gt;LOOKUP(I465,schaal2011,regels2011),J353-1,IF(op!J353=LOOKUP(I465,schaal2011,regels2011),op!J353,J353+1)))</f>
        <v/>
      </c>
      <c r="K465" s="568" t="str">
        <f>IF(op!K353="","",op!K353)</f>
        <v/>
      </c>
      <c r="L465" s="569" t="str">
        <f>IF(op!L353="","",op!L353)</f>
        <v/>
      </c>
      <c r="M465" s="570" t="str">
        <f t="shared" si="129"/>
        <v/>
      </c>
      <c r="N465" s="155"/>
      <c r="O465" s="571" t="str">
        <f>IF(I465="","",VLOOKUP(I465,tab!$A$119:$V$159,J465+3,FALSE))</f>
        <v/>
      </c>
      <c r="P465" s="572">
        <f t="shared" si="130"/>
        <v>0</v>
      </c>
      <c r="Q465" s="589">
        <f t="shared" ref="Q465:Q528" si="138">$Q$462</f>
        <v>0.6</v>
      </c>
      <c r="R465" s="573">
        <f t="shared" ref="R465:R528" si="139">IF(E465=0,"",(P465)*Q465)</f>
        <v>0</v>
      </c>
      <c r="S465" s="332">
        <f>IF(L465="",0,O465*12*L465*(1+tab!$D$108)*tab!$E$110)</f>
        <v>0</v>
      </c>
      <c r="T465" s="580">
        <f t="shared" ref="T465:T528" si="140">IF(E465=0,0,(P465+R465+S465))</f>
        <v>0</v>
      </c>
      <c r="U465" s="243">
        <f t="shared" si="131"/>
        <v>0</v>
      </c>
      <c r="V465" s="332">
        <f t="shared" si="132"/>
        <v>0</v>
      </c>
      <c r="W465" s="553"/>
      <c r="Z465" s="647" t="e">
        <f t="shared" si="133"/>
        <v>#VALUE!</v>
      </c>
      <c r="AA465" s="647" t="e">
        <f t="shared" si="134"/>
        <v>#VALUE!</v>
      </c>
      <c r="AB465" s="67">
        <f t="shared" si="135"/>
        <v>30</v>
      </c>
      <c r="AC465" s="67">
        <f t="shared" si="136"/>
        <v>30</v>
      </c>
      <c r="AD465" s="84">
        <f t="shared" si="137"/>
        <v>0</v>
      </c>
    </row>
    <row r="466" spans="3:30">
      <c r="C466" s="131"/>
      <c r="D466" s="169" t="str">
        <f>IF(op!D354=0,"",op!D354)</f>
        <v/>
      </c>
      <c r="E466" s="169" t="str">
        <f>IF(op!E354=0,"",op!E354)</f>
        <v/>
      </c>
      <c r="F466" s="169" t="str">
        <f>IF(op!F354=0,"",op!F354)</f>
        <v/>
      </c>
      <c r="G466" s="170" t="str">
        <f>IF(op!G354="","",op!G354+1)</f>
        <v/>
      </c>
      <c r="H466" s="566" t="str">
        <f>IF(op!H354="","",op!H354)</f>
        <v/>
      </c>
      <c r="I466" s="170" t="str">
        <f>IF(op!I354=0,"",op!I354)</f>
        <v/>
      </c>
      <c r="J466" s="567" t="str">
        <f>IF(E466="","",IF(op!J354&gt;LOOKUP(I466,schaal2011,regels2011),J354-1,IF(op!J354=LOOKUP(I466,schaal2011,regels2011),op!J354,J354+1)))</f>
        <v/>
      </c>
      <c r="K466" s="568" t="str">
        <f>IF(op!K354="","",op!K354)</f>
        <v/>
      </c>
      <c r="L466" s="569" t="str">
        <f>IF(op!L354="","",op!L354)</f>
        <v/>
      </c>
      <c r="M466" s="570" t="str">
        <f t="shared" si="129"/>
        <v/>
      </c>
      <c r="N466" s="155"/>
      <c r="O466" s="571" t="str">
        <f>IF(I466="","",VLOOKUP(I466,tab!$A$119:$V$159,J466+3,FALSE))</f>
        <v/>
      </c>
      <c r="P466" s="572">
        <f t="shared" si="130"/>
        <v>0</v>
      </c>
      <c r="Q466" s="589">
        <f t="shared" si="138"/>
        <v>0.6</v>
      </c>
      <c r="R466" s="573">
        <f t="shared" si="139"/>
        <v>0</v>
      </c>
      <c r="S466" s="332">
        <f>IF(L466="",0,O466*12*L466*(1+tab!$D$108)*tab!$E$110)</f>
        <v>0</v>
      </c>
      <c r="T466" s="580">
        <f t="shared" si="140"/>
        <v>0</v>
      </c>
      <c r="U466" s="243">
        <f t="shared" si="131"/>
        <v>0</v>
      </c>
      <c r="V466" s="332">
        <f t="shared" si="132"/>
        <v>0</v>
      </c>
      <c r="W466" s="554"/>
      <c r="Z466" s="647" t="e">
        <f t="shared" si="133"/>
        <v>#VALUE!</v>
      </c>
      <c r="AA466" s="647" t="e">
        <f t="shared" si="134"/>
        <v>#VALUE!</v>
      </c>
      <c r="AB466" s="67">
        <f t="shared" si="135"/>
        <v>30</v>
      </c>
      <c r="AC466" s="67">
        <f t="shared" si="136"/>
        <v>30</v>
      </c>
      <c r="AD466" s="84">
        <f t="shared" si="137"/>
        <v>0</v>
      </c>
    </row>
    <row r="467" spans="3:30">
      <c r="C467" s="131"/>
      <c r="D467" s="169" t="str">
        <f>IF(op!D355=0,"",op!D355)</f>
        <v/>
      </c>
      <c r="E467" s="169" t="str">
        <f>IF(op!E355=0,"",op!E355)</f>
        <v/>
      </c>
      <c r="F467" s="169" t="str">
        <f>IF(op!F355=0,"",op!F355)</f>
        <v/>
      </c>
      <c r="G467" s="170" t="str">
        <f>IF(op!G355="","",op!G355+1)</f>
        <v/>
      </c>
      <c r="H467" s="566" t="str">
        <f>IF(op!H355="","",op!H355)</f>
        <v/>
      </c>
      <c r="I467" s="170" t="str">
        <f>IF(op!I355=0,"",op!I355)</f>
        <v/>
      </c>
      <c r="J467" s="567" t="str">
        <f>IF(E467="","",IF(op!J355&gt;LOOKUP(I467,schaal2011,regels2011),J355-1,IF(op!J355=LOOKUP(I467,schaal2011,regels2011),op!J355,J355+1)))</f>
        <v/>
      </c>
      <c r="K467" s="568" t="str">
        <f>IF(op!K355="","",op!K355)</f>
        <v/>
      </c>
      <c r="L467" s="569" t="str">
        <f>IF(op!L355="","",op!L355)</f>
        <v/>
      </c>
      <c r="M467" s="570" t="str">
        <f t="shared" si="129"/>
        <v/>
      </c>
      <c r="N467" s="155"/>
      <c r="O467" s="571" t="str">
        <f>IF(I467="","",VLOOKUP(I467,tab!$A$119:$V$159,J467+3,FALSE))</f>
        <v/>
      </c>
      <c r="P467" s="572">
        <f t="shared" si="130"/>
        <v>0</v>
      </c>
      <c r="Q467" s="589">
        <f t="shared" si="138"/>
        <v>0.6</v>
      </c>
      <c r="R467" s="573">
        <f t="shared" si="139"/>
        <v>0</v>
      </c>
      <c r="S467" s="332">
        <f>IF(L467="",0,O467*12*L467*(1+tab!$D$108)*tab!$E$110)</f>
        <v>0</v>
      </c>
      <c r="T467" s="580">
        <f t="shared" si="140"/>
        <v>0</v>
      </c>
      <c r="U467" s="243">
        <f t="shared" si="131"/>
        <v>0</v>
      </c>
      <c r="V467" s="332">
        <f t="shared" si="132"/>
        <v>0</v>
      </c>
      <c r="W467" s="554"/>
      <c r="Z467" s="647" t="e">
        <f t="shared" si="133"/>
        <v>#VALUE!</v>
      </c>
      <c r="AA467" s="647" t="e">
        <f t="shared" si="134"/>
        <v>#VALUE!</v>
      </c>
      <c r="AB467" s="67">
        <f t="shared" si="135"/>
        <v>30</v>
      </c>
      <c r="AC467" s="67">
        <f t="shared" si="136"/>
        <v>30</v>
      </c>
      <c r="AD467" s="84">
        <f t="shared" si="137"/>
        <v>0</v>
      </c>
    </row>
    <row r="468" spans="3:30">
      <c r="C468" s="131"/>
      <c r="D468" s="169" t="str">
        <f>IF(op!D356=0,"",op!D356)</f>
        <v/>
      </c>
      <c r="E468" s="169" t="str">
        <f>IF(op!E356=0,"",op!E356)</f>
        <v/>
      </c>
      <c r="F468" s="169" t="str">
        <f>IF(op!F356=0,"",op!F356)</f>
        <v/>
      </c>
      <c r="G468" s="170" t="str">
        <f>IF(op!G356="","",op!G356+1)</f>
        <v/>
      </c>
      <c r="H468" s="566" t="str">
        <f>IF(op!H356="","",op!H356)</f>
        <v/>
      </c>
      <c r="I468" s="170" t="str">
        <f>IF(op!I356=0,"",op!I356)</f>
        <v/>
      </c>
      <c r="J468" s="567" t="str">
        <f>IF(E468="","",IF(op!J356&gt;LOOKUP(I468,schaal2011,regels2011),J356-1,IF(op!J356=LOOKUP(I468,schaal2011,regels2011),op!J356,J356+1)))</f>
        <v/>
      </c>
      <c r="K468" s="568" t="str">
        <f>IF(op!K356="","",op!K356)</f>
        <v/>
      </c>
      <c r="L468" s="569" t="str">
        <f>IF(op!L356="","",op!L356)</f>
        <v/>
      </c>
      <c r="M468" s="570" t="str">
        <f t="shared" si="129"/>
        <v/>
      </c>
      <c r="N468" s="155"/>
      <c r="O468" s="571" t="str">
        <f>IF(I468="","",VLOOKUP(I468,tab!$A$119:$V$159,J468+3,FALSE))</f>
        <v/>
      </c>
      <c r="P468" s="572">
        <f t="shared" si="130"/>
        <v>0</v>
      </c>
      <c r="Q468" s="589">
        <f t="shared" si="138"/>
        <v>0.6</v>
      </c>
      <c r="R468" s="573">
        <f t="shared" si="139"/>
        <v>0</v>
      </c>
      <c r="S468" s="332">
        <f>IF(L468="",0,O468*12*L468*(1+tab!$D$108)*tab!$E$110)</f>
        <v>0</v>
      </c>
      <c r="T468" s="580">
        <f t="shared" si="140"/>
        <v>0</v>
      </c>
      <c r="U468" s="243">
        <f t="shared" si="131"/>
        <v>0</v>
      </c>
      <c r="V468" s="332">
        <f t="shared" si="132"/>
        <v>0</v>
      </c>
      <c r="W468" s="553"/>
      <c r="Z468" s="647" t="e">
        <f t="shared" si="133"/>
        <v>#VALUE!</v>
      </c>
      <c r="AA468" s="647" t="e">
        <f t="shared" si="134"/>
        <v>#VALUE!</v>
      </c>
      <c r="AB468" s="67">
        <f t="shared" si="135"/>
        <v>30</v>
      </c>
      <c r="AC468" s="67">
        <f t="shared" si="136"/>
        <v>30</v>
      </c>
      <c r="AD468" s="84">
        <f t="shared" si="137"/>
        <v>0</v>
      </c>
    </row>
    <row r="469" spans="3:30">
      <c r="C469" s="131"/>
      <c r="D469" s="169" t="str">
        <f>IF(op!D357=0,"",op!D357)</f>
        <v/>
      </c>
      <c r="E469" s="169" t="str">
        <f>IF(op!E357=0,"",op!E357)</f>
        <v/>
      </c>
      <c r="F469" s="169" t="str">
        <f>IF(op!F357=0,"",op!F357)</f>
        <v/>
      </c>
      <c r="G469" s="170" t="str">
        <f>IF(op!G357="","",op!G357+1)</f>
        <v/>
      </c>
      <c r="H469" s="566" t="str">
        <f>IF(op!H357="","",op!H357)</f>
        <v/>
      </c>
      <c r="I469" s="170" t="str">
        <f>IF(op!I357=0,"",op!I357)</f>
        <v/>
      </c>
      <c r="J469" s="567" t="str">
        <f>IF(E469="","",IF(op!J357&gt;LOOKUP(I469,schaal2011,regels2011),J357-1,IF(op!J357=LOOKUP(I469,schaal2011,regels2011),op!J357,J357+1)))</f>
        <v/>
      </c>
      <c r="K469" s="568" t="str">
        <f>IF(op!K357="","",op!K357)</f>
        <v/>
      </c>
      <c r="L469" s="569" t="str">
        <f>IF(op!L357="","",op!L357)</f>
        <v/>
      </c>
      <c r="M469" s="570" t="str">
        <f t="shared" si="129"/>
        <v/>
      </c>
      <c r="N469" s="155"/>
      <c r="O469" s="571" t="str">
        <f>IF(I469="","",VLOOKUP(I469,tab!$A$119:$V$159,J469+3,FALSE))</f>
        <v/>
      </c>
      <c r="P469" s="572">
        <f t="shared" si="130"/>
        <v>0</v>
      </c>
      <c r="Q469" s="589">
        <f t="shared" si="138"/>
        <v>0.6</v>
      </c>
      <c r="R469" s="573">
        <f t="shared" si="139"/>
        <v>0</v>
      </c>
      <c r="S469" s="332">
        <f>IF(L469="",0,O469*12*L469*(1+tab!$D$108)*tab!$E$110)</f>
        <v>0</v>
      </c>
      <c r="T469" s="580">
        <f t="shared" si="140"/>
        <v>0</v>
      </c>
      <c r="U469" s="243">
        <f t="shared" si="131"/>
        <v>0</v>
      </c>
      <c r="V469" s="332">
        <f t="shared" si="132"/>
        <v>0</v>
      </c>
      <c r="W469" s="553"/>
      <c r="Z469" s="647" t="e">
        <f t="shared" si="133"/>
        <v>#VALUE!</v>
      </c>
      <c r="AA469" s="647" t="e">
        <f t="shared" si="134"/>
        <v>#VALUE!</v>
      </c>
      <c r="AB469" s="67">
        <f t="shared" si="135"/>
        <v>30</v>
      </c>
      <c r="AC469" s="67">
        <f t="shared" si="136"/>
        <v>30</v>
      </c>
      <c r="AD469" s="84">
        <f t="shared" si="137"/>
        <v>0</v>
      </c>
    </row>
    <row r="470" spans="3:30">
      <c r="C470" s="131"/>
      <c r="D470" s="169" t="str">
        <f>IF(op!D358=0,"",op!D358)</f>
        <v/>
      </c>
      <c r="E470" s="169" t="str">
        <f>IF(op!E358=0,"",op!E358)</f>
        <v/>
      </c>
      <c r="F470" s="169" t="str">
        <f>IF(op!F358=0,"",op!F358)</f>
        <v/>
      </c>
      <c r="G470" s="170" t="str">
        <f>IF(op!G358="","",op!G358+1)</f>
        <v/>
      </c>
      <c r="H470" s="566" t="str">
        <f>IF(op!H358="","",op!H358)</f>
        <v/>
      </c>
      <c r="I470" s="170" t="str">
        <f>IF(op!I358=0,"",op!I358)</f>
        <v/>
      </c>
      <c r="J470" s="567" t="str">
        <f>IF(E470="","",IF(op!J358&gt;LOOKUP(I470,schaal2011,regels2011),J358-1,IF(op!J358=LOOKUP(I470,schaal2011,regels2011),op!J358,J358+1)))</f>
        <v/>
      </c>
      <c r="K470" s="568" t="str">
        <f>IF(op!K358="","",op!K358)</f>
        <v/>
      </c>
      <c r="L470" s="569" t="str">
        <f>IF(op!L358="","",op!L358)</f>
        <v/>
      </c>
      <c r="M470" s="570" t="str">
        <f t="shared" si="129"/>
        <v/>
      </c>
      <c r="N470" s="155"/>
      <c r="O470" s="571" t="str">
        <f>IF(I470="","",VLOOKUP(I470,tab!$A$119:$V$159,J470+3,FALSE))</f>
        <v/>
      </c>
      <c r="P470" s="572">
        <f t="shared" si="130"/>
        <v>0</v>
      </c>
      <c r="Q470" s="589">
        <f t="shared" si="138"/>
        <v>0.6</v>
      </c>
      <c r="R470" s="573">
        <f t="shared" si="139"/>
        <v>0</v>
      </c>
      <c r="S470" s="332">
        <f>IF(L470="",0,O470*12*L470*(1+tab!$D$108)*tab!$E$110)</f>
        <v>0</v>
      </c>
      <c r="T470" s="580">
        <f t="shared" si="140"/>
        <v>0</v>
      </c>
      <c r="U470" s="243">
        <f t="shared" si="131"/>
        <v>0</v>
      </c>
      <c r="V470" s="332">
        <f t="shared" si="132"/>
        <v>0</v>
      </c>
      <c r="W470" s="136"/>
      <c r="Z470" s="647" t="e">
        <f t="shared" si="133"/>
        <v>#VALUE!</v>
      </c>
      <c r="AA470" s="647" t="e">
        <f t="shared" si="134"/>
        <v>#VALUE!</v>
      </c>
      <c r="AB470" s="67">
        <f t="shared" si="135"/>
        <v>30</v>
      </c>
      <c r="AC470" s="67">
        <f t="shared" si="136"/>
        <v>30</v>
      </c>
      <c r="AD470" s="84">
        <f t="shared" si="137"/>
        <v>0</v>
      </c>
    </row>
    <row r="471" spans="3:30">
      <c r="C471" s="131"/>
      <c r="D471" s="169" t="str">
        <f>IF(op!D359=0,"",op!D359)</f>
        <v/>
      </c>
      <c r="E471" s="169" t="str">
        <f>IF(op!E359=0,"",op!E359)</f>
        <v/>
      </c>
      <c r="F471" s="169" t="str">
        <f>IF(op!F359=0,"",op!F359)</f>
        <v/>
      </c>
      <c r="G471" s="170" t="str">
        <f>IF(op!G359="","",op!G359+1)</f>
        <v/>
      </c>
      <c r="H471" s="566" t="str">
        <f>IF(op!H359="","",op!H359)</f>
        <v/>
      </c>
      <c r="I471" s="170" t="str">
        <f>IF(op!I359=0,"",op!I359)</f>
        <v/>
      </c>
      <c r="J471" s="567" t="str">
        <f>IF(E471="","",IF(op!J359&gt;LOOKUP(I471,schaal2011,regels2011),J359-1,IF(op!J359=LOOKUP(I471,schaal2011,regels2011),op!J359,J359+1)))</f>
        <v/>
      </c>
      <c r="K471" s="568" t="str">
        <f>IF(op!K359="","",op!K359)</f>
        <v/>
      </c>
      <c r="L471" s="569" t="str">
        <f>IF(op!L359="","",op!L359)</f>
        <v/>
      </c>
      <c r="M471" s="570" t="str">
        <f t="shared" si="129"/>
        <v/>
      </c>
      <c r="N471" s="155"/>
      <c r="O471" s="571" t="str">
        <f>IF(I471="","",VLOOKUP(I471,tab!$A$119:$V$159,J471+3,FALSE))</f>
        <v/>
      </c>
      <c r="P471" s="572">
        <f t="shared" si="130"/>
        <v>0</v>
      </c>
      <c r="Q471" s="589">
        <f t="shared" si="138"/>
        <v>0.6</v>
      </c>
      <c r="R471" s="573">
        <f t="shared" si="139"/>
        <v>0</v>
      </c>
      <c r="S471" s="332">
        <f>IF(L471="",0,O471*12*L471*(1+tab!$D$108)*tab!$E$110)</f>
        <v>0</v>
      </c>
      <c r="T471" s="580">
        <f t="shared" si="140"/>
        <v>0</v>
      </c>
      <c r="U471" s="243">
        <f t="shared" si="131"/>
        <v>0</v>
      </c>
      <c r="V471" s="332">
        <f t="shared" si="132"/>
        <v>0</v>
      </c>
      <c r="W471" s="136"/>
      <c r="Z471" s="647" t="e">
        <f t="shared" si="133"/>
        <v>#VALUE!</v>
      </c>
      <c r="AA471" s="647" t="e">
        <f t="shared" si="134"/>
        <v>#VALUE!</v>
      </c>
      <c r="AB471" s="67">
        <f t="shared" si="135"/>
        <v>30</v>
      </c>
      <c r="AC471" s="67">
        <f t="shared" si="136"/>
        <v>30</v>
      </c>
      <c r="AD471" s="84">
        <f t="shared" si="137"/>
        <v>0</v>
      </c>
    </row>
    <row r="472" spans="3:30">
      <c r="C472" s="131"/>
      <c r="D472" s="169" t="str">
        <f>IF(op!D360=0,"",op!D360)</f>
        <v/>
      </c>
      <c r="E472" s="169" t="str">
        <f>IF(op!E360=0,"",op!E360)</f>
        <v/>
      </c>
      <c r="F472" s="169" t="str">
        <f>IF(op!F360=0,"",op!F360)</f>
        <v/>
      </c>
      <c r="G472" s="170" t="str">
        <f>IF(op!G360="","",op!G360+1)</f>
        <v/>
      </c>
      <c r="H472" s="566" t="str">
        <f>IF(op!H360="","",op!H360)</f>
        <v/>
      </c>
      <c r="I472" s="170" t="str">
        <f>IF(op!I360=0,"",op!I360)</f>
        <v/>
      </c>
      <c r="J472" s="567" t="str">
        <f>IF(E472="","",IF(op!J360&gt;LOOKUP(I472,schaal2011,regels2011),J360-1,IF(op!J360=LOOKUP(I472,schaal2011,regels2011),op!J360,J360+1)))</f>
        <v/>
      </c>
      <c r="K472" s="568" t="str">
        <f>IF(op!K360="","",op!K360)</f>
        <v/>
      </c>
      <c r="L472" s="569" t="str">
        <f>IF(op!L360="","",op!L360)</f>
        <v/>
      </c>
      <c r="M472" s="570" t="str">
        <f t="shared" si="129"/>
        <v/>
      </c>
      <c r="N472" s="155"/>
      <c r="O472" s="571" t="str">
        <f>IF(I472="","",VLOOKUP(I472,tab!$A$119:$V$159,J472+3,FALSE))</f>
        <v/>
      </c>
      <c r="P472" s="572">
        <f t="shared" si="130"/>
        <v>0</v>
      </c>
      <c r="Q472" s="589">
        <f t="shared" si="138"/>
        <v>0.6</v>
      </c>
      <c r="R472" s="573">
        <f t="shared" si="139"/>
        <v>0</v>
      </c>
      <c r="S472" s="332">
        <f>IF(L472="",0,O472*12*L472*(1+tab!$D$108)*tab!$E$110)</f>
        <v>0</v>
      </c>
      <c r="T472" s="580">
        <f t="shared" si="140"/>
        <v>0</v>
      </c>
      <c r="U472" s="243">
        <f t="shared" si="131"/>
        <v>0</v>
      </c>
      <c r="V472" s="332">
        <f t="shared" si="132"/>
        <v>0</v>
      </c>
      <c r="W472" s="136"/>
      <c r="Z472" s="647" t="e">
        <f t="shared" si="133"/>
        <v>#VALUE!</v>
      </c>
      <c r="AA472" s="647" t="e">
        <f t="shared" si="134"/>
        <v>#VALUE!</v>
      </c>
      <c r="AB472" s="67">
        <f t="shared" si="135"/>
        <v>30</v>
      </c>
      <c r="AC472" s="67">
        <f t="shared" si="136"/>
        <v>30</v>
      </c>
      <c r="AD472" s="84">
        <f t="shared" si="137"/>
        <v>0</v>
      </c>
    </row>
    <row r="473" spans="3:30">
      <c r="C473" s="131"/>
      <c r="D473" s="169" t="str">
        <f>IF(op!D361=0,"",op!D361)</f>
        <v/>
      </c>
      <c r="E473" s="169" t="str">
        <f>IF(op!E361=0,"",op!E361)</f>
        <v/>
      </c>
      <c r="F473" s="169" t="str">
        <f>IF(op!F361=0,"",op!F361)</f>
        <v/>
      </c>
      <c r="G473" s="170" t="str">
        <f>IF(op!G361="","",op!G361+1)</f>
        <v/>
      </c>
      <c r="H473" s="566" t="str">
        <f>IF(op!H361="","",op!H361)</f>
        <v/>
      </c>
      <c r="I473" s="170" t="str">
        <f>IF(op!I361=0,"",op!I361)</f>
        <v/>
      </c>
      <c r="J473" s="567" t="str">
        <f>IF(E473="","",IF(op!J361&gt;LOOKUP(I473,schaal2011,regels2011),J361-1,IF(op!J361=LOOKUP(I473,schaal2011,regels2011),op!J361,J361+1)))</f>
        <v/>
      </c>
      <c r="K473" s="568" t="str">
        <f>IF(op!K361="","",op!K361)</f>
        <v/>
      </c>
      <c r="L473" s="569" t="str">
        <f>IF(op!L361="","",op!L361)</f>
        <v/>
      </c>
      <c r="M473" s="570" t="str">
        <f t="shared" si="129"/>
        <v/>
      </c>
      <c r="N473" s="155"/>
      <c r="O473" s="571" t="str">
        <f>IF(I473="","",VLOOKUP(I473,tab!$A$119:$V$159,J473+3,FALSE))</f>
        <v/>
      </c>
      <c r="P473" s="572">
        <f t="shared" si="130"/>
        <v>0</v>
      </c>
      <c r="Q473" s="589">
        <f t="shared" si="138"/>
        <v>0.6</v>
      </c>
      <c r="R473" s="573">
        <f t="shared" si="139"/>
        <v>0</v>
      </c>
      <c r="S473" s="332">
        <f>IF(L473="",0,O473*12*L473*(1+tab!$D$108)*tab!$E$110)</f>
        <v>0</v>
      </c>
      <c r="T473" s="580">
        <f t="shared" si="140"/>
        <v>0</v>
      </c>
      <c r="U473" s="243">
        <f t="shared" si="131"/>
        <v>0</v>
      </c>
      <c r="V473" s="332">
        <f t="shared" si="132"/>
        <v>0</v>
      </c>
      <c r="W473" s="136"/>
      <c r="Z473" s="647" t="e">
        <f t="shared" si="133"/>
        <v>#VALUE!</v>
      </c>
      <c r="AA473" s="647" t="e">
        <f t="shared" si="134"/>
        <v>#VALUE!</v>
      </c>
      <c r="AB473" s="67">
        <f t="shared" si="135"/>
        <v>30</v>
      </c>
      <c r="AC473" s="67">
        <f t="shared" si="136"/>
        <v>30</v>
      </c>
      <c r="AD473" s="84">
        <f t="shared" si="137"/>
        <v>0</v>
      </c>
    </row>
    <row r="474" spans="3:30">
      <c r="C474" s="131"/>
      <c r="D474" s="169" t="str">
        <f>IF(op!D362=0,"",op!D362)</f>
        <v/>
      </c>
      <c r="E474" s="169" t="str">
        <f>IF(op!E362=0,"",op!E362)</f>
        <v/>
      </c>
      <c r="F474" s="169" t="str">
        <f>IF(op!F362=0,"",op!F362)</f>
        <v/>
      </c>
      <c r="G474" s="170" t="str">
        <f>IF(op!G362="","",op!G362+1)</f>
        <v/>
      </c>
      <c r="H474" s="566" t="str">
        <f>IF(op!H362="","",op!H362)</f>
        <v/>
      </c>
      <c r="I474" s="170" t="str">
        <f>IF(op!I362=0,"",op!I362)</f>
        <v/>
      </c>
      <c r="J474" s="567" t="str">
        <f>IF(E474="","",IF(op!J362&gt;LOOKUP(I474,schaal2011,regels2011),J362-1,IF(op!J362=LOOKUP(I474,schaal2011,regels2011),op!J362,J362+1)))</f>
        <v/>
      </c>
      <c r="K474" s="568" t="str">
        <f>IF(op!K362="","",op!K362)</f>
        <v/>
      </c>
      <c r="L474" s="569" t="str">
        <f>IF(op!L362="","",op!L362)</f>
        <v/>
      </c>
      <c r="M474" s="570" t="str">
        <f t="shared" si="129"/>
        <v/>
      </c>
      <c r="N474" s="155"/>
      <c r="O474" s="571" t="str">
        <f>IF(I474="","",VLOOKUP(I474,tab!$A$119:$V$159,J474+3,FALSE))</f>
        <v/>
      </c>
      <c r="P474" s="572">
        <f t="shared" si="130"/>
        <v>0</v>
      </c>
      <c r="Q474" s="589">
        <f t="shared" si="138"/>
        <v>0.6</v>
      </c>
      <c r="R474" s="573">
        <f t="shared" si="139"/>
        <v>0</v>
      </c>
      <c r="S474" s="332">
        <f>IF(L474="",0,O474*12*L474*(1+tab!$D$108)*tab!$E$110)</f>
        <v>0</v>
      </c>
      <c r="T474" s="580">
        <f t="shared" si="140"/>
        <v>0</v>
      </c>
      <c r="U474" s="243">
        <f t="shared" si="131"/>
        <v>0</v>
      </c>
      <c r="V474" s="332">
        <f t="shared" si="132"/>
        <v>0</v>
      </c>
      <c r="W474" s="136"/>
      <c r="Z474" s="647" t="e">
        <f t="shared" si="133"/>
        <v>#VALUE!</v>
      </c>
      <c r="AA474" s="647" t="e">
        <f t="shared" si="134"/>
        <v>#VALUE!</v>
      </c>
      <c r="AB474" s="67">
        <f t="shared" si="135"/>
        <v>30</v>
      </c>
      <c r="AC474" s="67">
        <f t="shared" si="136"/>
        <v>30</v>
      </c>
      <c r="AD474" s="84">
        <f t="shared" si="137"/>
        <v>0</v>
      </c>
    </row>
    <row r="475" spans="3:30">
      <c r="C475" s="131"/>
      <c r="D475" s="169" t="str">
        <f>IF(op!D363=0,"",op!D363)</f>
        <v/>
      </c>
      <c r="E475" s="169" t="str">
        <f>IF(op!E363=0,"",op!E363)</f>
        <v/>
      </c>
      <c r="F475" s="169" t="str">
        <f>IF(op!F363=0,"",op!F363)</f>
        <v/>
      </c>
      <c r="G475" s="170" t="str">
        <f>IF(op!G363="","",op!G363+1)</f>
        <v/>
      </c>
      <c r="H475" s="566" t="str">
        <f>IF(op!H363="","",op!H363)</f>
        <v/>
      </c>
      <c r="I475" s="170" t="str">
        <f>IF(op!I363=0,"",op!I363)</f>
        <v/>
      </c>
      <c r="J475" s="567" t="str">
        <f>IF(E475="","",IF(op!J363&gt;LOOKUP(I475,schaal2011,regels2011),J363-1,IF(op!J363=LOOKUP(I475,schaal2011,regels2011),op!J363,J363+1)))</f>
        <v/>
      </c>
      <c r="K475" s="568" t="str">
        <f>IF(op!K363="","",op!K363)</f>
        <v/>
      </c>
      <c r="L475" s="569" t="str">
        <f>IF(op!L363="","",op!L363)</f>
        <v/>
      </c>
      <c r="M475" s="570" t="str">
        <f t="shared" si="129"/>
        <v/>
      </c>
      <c r="N475" s="155"/>
      <c r="O475" s="571" t="str">
        <f>IF(I475="","",VLOOKUP(I475,tab!$A$119:$V$159,J475+3,FALSE))</f>
        <v/>
      </c>
      <c r="P475" s="572">
        <f t="shared" si="130"/>
        <v>0</v>
      </c>
      <c r="Q475" s="589">
        <f t="shared" si="138"/>
        <v>0.6</v>
      </c>
      <c r="R475" s="573">
        <f t="shared" si="139"/>
        <v>0</v>
      </c>
      <c r="S475" s="332">
        <f>IF(L475="",0,O475*12*L475*(1+tab!$D$108)*tab!$E$110)</f>
        <v>0</v>
      </c>
      <c r="T475" s="580">
        <f t="shared" si="140"/>
        <v>0</v>
      </c>
      <c r="U475" s="243">
        <f t="shared" si="131"/>
        <v>0</v>
      </c>
      <c r="V475" s="332">
        <f t="shared" si="132"/>
        <v>0</v>
      </c>
      <c r="W475" s="136"/>
      <c r="Z475" s="647" t="e">
        <f t="shared" si="133"/>
        <v>#VALUE!</v>
      </c>
      <c r="AA475" s="647" t="e">
        <f t="shared" si="134"/>
        <v>#VALUE!</v>
      </c>
      <c r="AB475" s="67">
        <f t="shared" si="135"/>
        <v>30</v>
      </c>
      <c r="AC475" s="67">
        <f t="shared" si="136"/>
        <v>30</v>
      </c>
      <c r="AD475" s="84">
        <f t="shared" si="137"/>
        <v>0</v>
      </c>
    </row>
    <row r="476" spans="3:30">
      <c r="C476" s="131"/>
      <c r="D476" s="169" t="str">
        <f>IF(op!D364=0,"",op!D364)</f>
        <v/>
      </c>
      <c r="E476" s="169" t="str">
        <f>IF(op!E364=0,"",op!E364)</f>
        <v/>
      </c>
      <c r="F476" s="169" t="str">
        <f>IF(op!F364=0,"",op!F364)</f>
        <v/>
      </c>
      <c r="G476" s="170" t="str">
        <f>IF(op!G364="","",op!G364+1)</f>
        <v/>
      </c>
      <c r="H476" s="566" t="str">
        <f>IF(op!H364="","",op!H364)</f>
        <v/>
      </c>
      <c r="I476" s="170" t="str">
        <f>IF(op!I364=0,"",op!I364)</f>
        <v/>
      </c>
      <c r="J476" s="567" t="str">
        <f>IF(E476="","",IF(op!J364&gt;LOOKUP(I476,schaal2011,regels2011),J364-1,IF(op!J364=LOOKUP(I476,schaal2011,regels2011),op!J364,J364+1)))</f>
        <v/>
      </c>
      <c r="K476" s="568" t="str">
        <f>IF(op!K364="","",op!K364)</f>
        <v/>
      </c>
      <c r="L476" s="569" t="str">
        <f>IF(op!L364="","",op!L364)</f>
        <v/>
      </c>
      <c r="M476" s="570" t="str">
        <f t="shared" si="129"/>
        <v/>
      </c>
      <c r="N476" s="155"/>
      <c r="O476" s="571" t="str">
        <f>IF(I476="","",VLOOKUP(I476,tab!$A$119:$V$159,J476+3,FALSE))</f>
        <v/>
      </c>
      <c r="P476" s="572">
        <f t="shared" si="130"/>
        <v>0</v>
      </c>
      <c r="Q476" s="589">
        <f t="shared" si="138"/>
        <v>0.6</v>
      </c>
      <c r="R476" s="573">
        <f t="shared" si="139"/>
        <v>0</v>
      </c>
      <c r="S476" s="332">
        <f>IF(L476="",0,O476*12*L476*(1+tab!$D$108)*tab!$E$110)</f>
        <v>0</v>
      </c>
      <c r="T476" s="580">
        <f t="shared" si="140"/>
        <v>0</v>
      </c>
      <c r="U476" s="243">
        <f t="shared" si="131"/>
        <v>0</v>
      </c>
      <c r="V476" s="332">
        <f t="shared" si="132"/>
        <v>0</v>
      </c>
      <c r="W476" s="136"/>
      <c r="Z476" s="647" t="e">
        <f t="shared" si="133"/>
        <v>#VALUE!</v>
      </c>
      <c r="AA476" s="647" t="e">
        <f t="shared" si="134"/>
        <v>#VALUE!</v>
      </c>
      <c r="AB476" s="67">
        <f t="shared" si="135"/>
        <v>30</v>
      </c>
      <c r="AC476" s="67">
        <f t="shared" si="136"/>
        <v>30</v>
      </c>
      <c r="AD476" s="84">
        <f t="shared" si="137"/>
        <v>0</v>
      </c>
    </row>
    <row r="477" spans="3:30">
      <c r="C477" s="131"/>
      <c r="D477" s="169" t="str">
        <f>IF(op!D365=0,"",op!D365)</f>
        <v/>
      </c>
      <c r="E477" s="169" t="str">
        <f>IF(op!E365=0,"",op!E365)</f>
        <v/>
      </c>
      <c r="F477" s="169" t="str">
        <f>IF(op!F365=0,"",op!F365)</f>
        <v/>
      </c>
      <c r="G477" s="170" t="str">
        <f>IF(op!G365="","",op!G365+1)</f>
        <v/>
      </c>
      <c r="H477" s="566" t="str">
        <f>IF(op!H365="","",op!H365)</f>
        <v/>
      </c>
      <c r="I477" s="170" t="str">
        <f>IF(op!I365=0,"",op!I365)</f>
        <v/>
      </c>
      <c r="J477" s="567" t="str">
        <f>IF(E477="","",IF(op!J365&gt;LOOKUP(I477,schaal2011,regels2011),J365-1,IF(op!J365=LOOKUP(I477,schaal2011,regels2011),op!J365,J365+1)))</f>
        <v/>
      </c>
      <c r="K477" s="568" t="str">
        <f>IF(op!K365="","",op!K365)</f>
        <v/>
      </c>
      <c r="L477" s="569" t="str">
        <f>IF(op!L365="","",op!L365)</f>
        <v/>
      </c>
      <c r="M477" s="570" t="str">
        <f t="shared" si="129"/>
        <v/>
      </c>
      <c r="N477" s="155"/>
      <c r="O477" s="571" t="str">
        <f>IF(I477="","",VLOOKUP(I477,tab!$A$119:$V$159,J477+3,FALSE))</f>
        <v/>
      </c>
      <c r="P477" s="572">
        <f t="shared" si="130"/>
        <v>0</v>
      </c>
      <c r="Q477" s="589">
        <f t="shared" si="138"/>
        <v>0.6</v>
      </c>
      <c r="R477" s="573">
        <f t="shared" si="139"/>
        <v>0</v>
      </c>
      <c r="S477" s="332">
        <f>IF(L477="",0,O477*12*L477*(1+tab!$D$108)*tab!$E$110)</f>
        <v>0</v>
      </c>
      <c r="T477" s="580">
        <f t="shared" si="140"/>
        <v>0</v>
      </c>
      <c r="U477" s="243">
        <f t="shared" si="131"/>
        <v>0</v>
      </c>
      <c r="V477" s="332">
        <f t="shared" si="132"/>
        <v>0</v>
      </c>
      <c r="W477" s="136"/>
      <c r="Z477" s="647" t="e">
        <f t="shared" si="133"/>
        <v>#VALUE!</v>
      </c>
      <c r="AA477" s="647" t="e">
        <f t="shared" si="134"/>
        <v>#VALUE!</v>
      </c>
      <c r="AB477" s="67">
        <f t="shared" si="135"/>
        <v>30</v>
      </c>
      <c r="AC477" s="67">
        <f t="shared" si="136"/>
        <v>30</v>
      </c>
      <c r="AD477" s="84">
        <f t="shared" si="137"/>
        <v>0</v>
      </c>
    </row>
    <row r="478" spans="3:30">
      <c r="C478" s="131"/>
      <c r="D478" s="169" t="str">
        <f>IF(op!D366=0,"",op!D366)</f>
        <v/>
      </c>
      <c r="E478" s="169" t="str">
        <f>IF(op!E366=0,"",op!E366)</f>
        <v/>
      </c>
      <c r="F478" s="169" t="str">
        <f>IF(op!F366=0,"",op!F366)</f>
        <v/>
      </c>
      <c r="G478" s="170" t="str">
        <f>IF(op!G366="","",op!G366+1)</f>
        <v/>
      </c>
      <c r="H478" s="566" t="str">
        <f>IF(op!H366="","",op!H366)</f>
        <v/>
      </c>
      <c r="I478" s="170" t="str">
        <f>IF(op!I366=0,"",op!I366)</f>
        <v/>
      </c>
      <c r="J478" s="567" t="str">
        <f>IF(E478="","",IF(op!J366&gt;LOOKUP(I478,schaal2011,regels2011),J366-1,IF(op!J366=LOOKUP(I478,schaal2011,regels2011),op!J366,J366+1)))</f>
        <v/>
      </c>
      <c r="K478" s="568" t="str">
        <f>IF(op!K366="","",op!K366)</f>
        <v/>
      </c>
      <c r="L478" s="569" t="str">
        <f>IF(op!L366="","",op!L366)</f>
        <v/>
      </c>
      <c r="M478" s="570" t="str">
        <f t="shared" si="129"/>
        <v/>
      </c>
      <c r="N478" s="155"/>
      <c r="O478" s="571" t="str">
        <f>IF(I478="","",VLOOKUP(I478,tab!$A$119:$V$159,J478+3,FALSE))</f>
        <v/>
      </c>
      <c r="P478" s="572">
        <f t="shared" si="130"/>
        <v>0</v>
      </c>
      <c r="Q478" s="589">
        <f t="shared" si="138"/>
        <v>0.6</v>
      </c>
      <c r="R478" s="573">
        <f t="shared" si="139"/>
        <v>0</v>
      </c>
      <c r="S478" s="332">
        <f>IF(L478="",0,O478*12*L478*(1+tab!$D$108)*tab!$E$110)</f>
        <v>0</v>
      </c>
      <c r="T478" s="580">
        <f t="shared" si="140"/>
        <v>0</v>
      </c>
      <c r="U478" s="243">
        <f t="shared" si="131"/>
        <v>0</v>
      </c>
      <c r="V478" s="332">
        <f t="shared" si="132"/>
        <v>0</v>
      </c>
      <c r="W478" s="136"/>
      <c r="Z478" s="647" t="e">
        <f t="shared" si="133"/>
        <v>#VALUE!</v>
      </c>
      <c r="AA478" s="647" t="e">
        <f t="shared" si="134"/>
        <v>#VALUE!</v>
      </c>
      <c r="AB478" s="67">
        <f t="shared" si="135"/>
        <v>30</v>
      </c>
      <c r="AC478" s="67">
        <f t="shared" si="136"/>
        <v>30</v>
      </c>
      <c r="AD478" s="84">
        <f t="shared" si="137"/>
        <v>0</v>
      </c>
    </row>
    <row r="479" spans="3:30">
      <c r="C479" s="131"/>
      <c r="D479" s="169" t="str">
        <f>IF(op!D367=0,"",op!D367)</f>
        <v/>
      </c>
      <c r="E479" s="169" t="str">
        <f>IF(op!E367=0,"",op!E367)</f>
        <v/>
      </c>
      <c r="F479" s="169" t="str">
        <f>IF(op!F367=0,"",op!F367)</f>
        <v/>
      </c>
      <c r="G479" s="170" t="str">
        <f>IF(op!G367="","",op!G367+1)</f>
        <v/>
      </c>
      <c r="H479" s="566" t="str">
        <f>IF(op!H367="","",op!H367)</f>
        <v/>
      </c>
      <c r="I479" s="170" t="str">
        <f>IF(op!I367=0,"",op!I367)</f>
        <v/>
      </c>
      <c r="J479" s="567" t="str">
        <f>IF(E479="","",IF(op!J367&gt;LOOKUP(I479,schaal2011,regels2011),J367-1,IF(op!J367=LOOKUP(I479,schaal2011,regels2011),op!J367,J367+1)))</f>
        <v/>
      </c>
      <c r="K479" s="568" t="str">
        <f>IF(op!K367="","",op!K367)</f>
        <v/>
      </c>
      <c r="L479" s="569" t="str">
        <f>IF(op!L367="","",op!L367)</f>
        <v/>
      </c>
      <c r="M479" s="570" t="str">
        <f t="shared" si="129"/>
        <v/>
      </c>
      <c r="N479" s="155"/>
      <c r="O479" s="571" t="str">
        <f>IF(I479="","",VLOOKUP(I479,tab!$A$119:$V$159,J479+3,FALSE))</f>
        <v/>
      </c>
      <c r="P479" s="572">
        <f t="shared" si="130"/>
        <v>0</v>
      </c>
      <c r="Q479" s="589">
        <f t="shared" si="138"/>
        <v>0.6</v>
      </c>
      <c r="R479" s="573">
        <f t="shared" si="139"/>
        <v>0</v>
      </c>
      <c r="S479" s="332">
        <f>IF(L479="",0,O479*12*L479*(1+tab!$D$108)*tab!$E$110)</f>
        <v>0</v>
      </c>
      <c r="T479" s="580">
        <f t="shared" si="140"/>
        <v>0</v>
      </c>
      <c r="U479" s="243">
        <f t="shared" si="131"/>
        <v>0</v>
      </c>
      <c r="V479" s="332">
        <f t="shared" si="132"/>
        <v>0</v>
      </c>
      <c r="W479" s="136"/>
      <c r="Z479" s="647" t="e">
        <f t="shared" si="133"/>
        <v>#VALUE!</v>
      </c>
      <c r="AA479" s="647" t="e">
        <f t="shared" si="134"/>
        <v>#VALUE!</v>
      </c>
      <c r="AB479" s="67">
        <f t="shared" si="135"/>
        <v>30</v>
      </c>
      <c r="AC479" s="67">
        <f t="shared" si="136"/>
        <v>30</v>
      </c>
      <c r="AD479" s="84">
        <f t="shared" si="137"/>
        <v>0</v>
      </c>
    </row>
    <row r="480" spans="3:30">
      <c r="C480" s="131"/>
      <c r="D480" s="169" t="str">
        <f>IF(op!D368=0,"",op!D368)</f>
        <v/>
      </c>
      <c r="E480" s="169" t="str">
        <f>IF(op!E368=0,"",op!E368)</f>
        <v/>
      </c>
      <c r="F480" s="169" t="str">
        <f>IF(op!F368=0,"",op!F368)</f>
        <v/>
      </c>
      <c r="G480" s="170" t="str">
        <f>IF(op!G368="","",op!G368+1)</f>
        <v/>
      </c>
      <c r="H480" s="566" t="str">
        <f>IF(op!H368="","",op!H368)</f>
        <v/>
      </c>
      <c r="I480" s="170" t="str">
        <f>IF(op!I368=0,"",op!I368)</f>
        <v/>
      </c>
      <c r="J480" s="567" t="str">
        <f>IF(E480="","",IF(op!J368&gt;LOOKUP(I480,schaal2011,regels2011),J368-1,IF(op!J368=LOOKUP(I480,schaal2011,regels2011),op!J368,J368+1)))</f>
        <v/>
      </c>
      <c r="K480" s="568" t="str">
        <f>IF(op!K368="","",op!K368)</f>
        <v/>
      </c>
      <c r="L480" s="569" t="str">
        <f>IF(op!L368="","",op!L368)</f>
        <v/>
      </c>
      <c r="M480" s="570" t="str">
        <f t="shared" si="129"/>
        <v/>
      </c>
      <c r="N480" s="155"/>
      <c r="O480" s="571" t="str">
        <f>IF(I480="","",VLOOKUP(I480,tab!$A$119:$V$159,J480+3,FALSE))</f>
        <v/>
      </c>
      <c r="P480" s="572">
        <f t="shared" si="130"/>
        <v>0</v>
      </c>
      <c r="Q480" s="589">
        <f t="shared" si="138"/>
        <v>0.6</v>
      </c>
      <c r="R480" s="573">
        <f t="shared" si="139"/>
        <v>0</v>
      </c>
      <c r="S480" s="332">
        <f>IF(L480="",0,O480*12*L480*(1+tab!$D$108)*tab!$E$110)</f>
        <v>0</v>
      </c>
      <c r="T480" s="580">
        <f t="shared" si="140"/>
        <v>0</v>
      </c>
      <c r="U480" s="243">
        <f t="shared" si="131"/>
        <v>0</v>
      </c>
      <c r="V480" s="332">
        <f t="shared" si="132"/>
        <v>0</v>
      </c>
      <c r="W480" s="136"/>
      <c r="Z480" s="647" t="e">
        <f t="shared" si="133"/>
        <v>#VALUE!</v>
      </c>
      <c r="AA480" s="647" t="e">
        <f t="shared" si="134"/>
        <v>#VALUE!</v>
      </c>
      <c r="AB480" s="67">
        <f t="shared" si="135"/>
        <v>30</v>
      </c>
      <c r="AC480" s="67">
        <f t="shared" si="136"/>
        <v>30</v>
      </c>
      <c r="AD480" s="84">
        <f t="shared" si="137"/>
        <v>0</v>
      </c>
    </row>
    <row r="481" spans="3:30">
      <c r="C481" s="131"/>
      <c r="D481" s="169" t="str">
        <f>IF(op!D369=0,"",op!D369)</f>
        <v/>
      </c>
      <c r="E481" s="169" t="str">
        <f>IF(op!E369=0,"",op!E369)</f>
        <v/>
      </c>
      <c r="F481" s="169" t="str">
        <f>IF(op!F369=0,"",op!F369)</f>
        <v/>
      </c>
      <c r="G481" s="170" t="str">
        <f>IF(op!G369="","",op!G369+1)</f>
        <v/>
      </c>
      <c r="H481" s="566" t="str">
        <f>IF(op!H369="","",op!H369)</f>
        <v/>
      </c>
      <c r="I481" s="170" t="str">
        <f>IF(op!I369=0,"",op!I369)</f>
        <v/>
      </c>
      <c r="J481" s="567" t="str">
        <f>IF(E481="","",IF(op!J369&gt;LOOKUP(I481,schaal2011,regels2011),J369-1,IF(op!J369=LOOKUP(I481,schaal2011,regels2011),op!J369,J369+1)))</f>
        <v/>
      </c>
      <c r="K481" s="568" t="str">
        <f>IF(op!K369="","",op!K369)</f>
        <v/>
      </c>
      <c r="L481" s="569" t="str">
        <f>IF(op!L369="","",op!L369)</f>
        <v/>
      </c>
      <c r="M481" s="570" t="str">
        <f t="shared" si="129"/>
        <v/>
      </c>
      <c r="N481" s="155"/>
      <c r="O481" s="571" t="str">
        <f>IF(I481="","",VLOOKUP(I481,tab!$A$119:$V$159,J481+3,FALSE))</f>
        <v/>
      </c>
      <c r="P481" s="572">
        <f t="shared" si="130"/>
        <v>0</v>
      </c>
      <c r="Q481" s="589">
        <f t="shared" si="138"/>
        <v>0.6</v>
      </c>
      <c r="R481" s="573">
        <f t="shared" si="139"/>
        <v>0</v>
      </c>
      <c r="S481" s="332">
        <f>IF(L481="",0,O481*12*L481*(1+tab!$D$108)*tab!$E$110)</f>
        <v>0</v>
      </c>
      <c r="T481" s="580">
        <f t="shared" si="140"/>
        <v>0</v>
      </c>
      <c r="U481" s="243">
        <f t="shared" si="131"/>
        <v>0</v>
      </c>
      <c r="V481" s="332">
        <f t="shared" si="132"/>
        <v>0</v>
      </c>
      <c r="W481" s="136"/>
      <c r="Z481" s="647" t="e">
        <f t="shared" si="133"/>
        <v>#VALUE!</v>
      </c>
      <c r="AA481" s="647" t="e">
        <f t="shared" si="134"/>
        <v>#VALUE!</v>
      </c>
      <c r="AB481" s="67">
        <f t="shared" si="135"/>
        <v>30</v>
      </c>
      <c r="AC481" s="67">
        <f t="shared" si="136"/>
        <v>30</v>
      </c>
      <c r="AD481" s="84">
        <f t="shared" si="137"/>
        <v>0</v>
      </c>
    </row>
    <row r="482" spans="3:30">
      <c r="C482" s="131"/>
      <c r="D482" s="169" t="str">
        <f>IF(op!D370=0,"",op!D370)</f>
        <v/>
      </c>
      <c r="E482" s="169" t="str">
        <f>IF(op!E370=0,"",op!E370)</f>
        <v/>
      </c>
      <c r="F482" s="169" t="str">
        <f>IF(op!F370=0,"",op!F370)</f>
        <v/>
      </c>
      <c r="G482" s="170" t="str">
        <f>IF(op!G370="","",op!G370+1)</f>
        <v/>
      </c>
      <c r="H482" s="566" t="str">
        <f>IF(op!H370="","",op!H370)</f>
        <v/>
      </c>
      <c r="I482" s="170" t="str">
        <f>IF(op!I370=0,"",op!I370)</f>
        <v/>
      </c>
      <c r="J482" s="567" t="str">
        <f>IF(E482="","",IF(op!J370&gt;LOOKUP(I482,schaal2011,regels2011),J370-1,IF(op!J370=LOOKUP(I482,schaal2011,regels2011),op!J370,J370+1)))</f>
        <v/>
      </c>
      <c r="K482" s="568" t="str">
        <f>IF(op!K370="","",op!K370)</f>
        <v/>
      </c>
      <c r="L482" s="569" t="str">
        <f>IF(op!L370="","",op!L370)</f>
        <v/>
      </c>
      <c r="M482" s="570" t="str">
        <f t="shared" si="129"/>
        <v/>
      </c>
      <c r="N482" s="155"/>
      <c r="O482" s="571" t="str">
        <f>IF(I482="","",VLOOKUP(I482,tab!$A$119:$V$159,J482+3,FALSE))</f>
        <v/>
      </c>
      <c r="P482" s="572">
        <f t="shared" si="130"/>
        <v>0</v>
      </c>
      <c r="Q482" s="589">
        <f t="shared" si="138"/>
        <v>0.6</v>
      </c>
      <c r="R482" s="573">
        <f t="shared" si="139"/>
        <v>0</v>
      </c>
      <c r="S482" s="332">
        <f>IF(L482="",0,O482*12*L482*(1+tab!$D$108)*tab!$E$110)</f>
        <v>0</v>
      </c>
      <c r="T482" s="580">
        <f t="shared" si="140"/>
        <v>0</v>
      </c>
      <c r="U482" s="243">
        <f t="shared" si="131"/>
        <v>0</v>
      </c>
      <c r="V482" s="332">
        <f t="shared" si="132"/>
        <v>0</v>
      </c>
      <c r="W482" s="136"/>
      <c r="Z482" s="647" t="e">
        <f t="shared" si="133"/>
        <v>#VALUE!</v>
      </c>
      <c r="AA482" s="647" t="e">
        <f t="shared" si="134"/>
        <v>#VALUE!</v>
      </c>
      <c r="AB482" s="67">
        <f t="shared" si="135"/>
        <v>30</v>
      </c>
      <c r="AC482" s="67">
        <f t="shared" si="136"/>
        <v>30</v>
      </c>
      <c r="AD482" s="84">
        <f t="shared" si="137"/>
        <v>0</v>
      </c>
    </row>
    <row r="483" spans="3:30">
      <c r="C483" s="131"/>
      <c r="D483" s="169" t="str">
        <f>IF(op!D371=0,"",op!D371)</f>
        <v/>
      </c>
      <c r="E483" s="169" t="str">
        <f>IF(op!E371=0,"",op!E371)</f>
        <v/>
      </c>
      <c r="F483" s="169" t="str">
        <f>IF(op!F371=0,"",op!F371)</f>
        <v/>
      </c>
      <c r="G483" s="170" t="str">
        <f>IF(op!G371="","",op!G371+1)</f>
        <v/>
      </c>
      <c r="H483" s="566" t="str">
        <f>IF(op!H371="","",op!H371)</f>
        <v/>
      </c>
      <c r="I483" s="170" t="str">
        <f>IF(op!I371=0,"",op!I371)</f>
        <v/>
      </c>
      <c r="J483" s="567" t="str">
        <f>IF(E483="","",IF(op!J371&gt;LOOKUP(I483,schaal2011,regels2011),J371-1,IF(op!J371=LOOKUP(I483,schaal2011,regels2011),op!J371,J371+1)))</f>
        <v/>
      </c>
      <c r="K483" s="568" t="str">
        <f>IF(op!K371="","",op!K371)</f>
        <v/>
      </c>
      <c r="L483" s="569" t="str">
        <f>IF(op!L371="","",op!L371)</f>
        <v/>
      </c>
      <c r="M483" s="570" t="str">
        <f t="shared" si="129"/>
        <v/>
      </c>
      <c r="N483" s="155"/>
      <c r="O483" s="571" t="str">
        <f>IF(I483="","",VLOOKUP(I483,tab!$A$119:$V$159,J483+3,FALSE))</f>
        <v/>
      </c>
      <c r="P483" s="572">
        <f t="shared" si="130"/>
        <v>0</v>
      </c>
      <c r="Q483" s="589">
        <f t="shared" si="138"/>
        <v>0.6</v>
      </c>
      <c r="R483" s="573">
        <f t="shared" si="139"/>
        <v>0</v>
      </c>
      <c r="S483" s="332">
        <f>IF(L483="",0,O483*12*L483*(1+tab!$D$108)*tab!$E$110)</f>
        <v>0</v>
      </c>
      <c r="T483" s="580">
        <f t="shared" si="140"/>
        <v>0</v>
      </c>
      <c r="U483" s="243">
        <f t="shared" si="131"/>
        <v>0</v>
      </c>
      <c r="V483" s="332">
        <f t="shared" si="132"/>
        <v>0</v>
      </c>
      <c r="W483" s="136"/>
      <c r="Z483" s="647" t="e">
        <f t="shared" si="133"/>
        <v>#VALUE!</v>
      </c>
      <c r="AA483" s="647" t="e">
        <f t="shared" si="134"/>
        <v>#VALUE!</v>
      </c>
      <c r="AB483" s="67">
        <f t="shared" si="135"/>
        <v>30</v>
      </c>
      <c r="AC483" s="67">
        <f t="shared" si="136"/>
        <v>30</v>
      </c>
      <c r="AD483" s="84">
        <f t="shared" si="137"/>
        <v>0</v>
      </c>
    </row>
    <row r="484" spans="3:30">
      <c r="C484" s="131"/>
      <c r="D484" s="169" t="str">
        <f>IF(op!D372=0,"",op!D372)</f>
        <v/>
      </c>
      <c r="E484" s="169" t="str">
        <f>IF(op!E372=0,"",op!E372)</f>
        <v/>
      </c>
      <c r="F484" s="169" t="str">
        <f>IF(op!F372=0,"",op!F372)</f>
        <v/>
      </c>
      <c r="G484" s="170" t="str">
        <f>IF(op!G372="","",op!G372+1)</f>
        <v/>
      </c>
      <c r="H484" s="566" t="str">
        <f>IF(op!H372="","",op!H372)</f>
        <v/>
      </c>
      <c r="I484" s="170" t="str">
        <f>IF(op!I372=0,"",op!I372)</f>
        <v/>
      </c>
      <c r="J484" s="567" t="str">
        <f>IF(E484="","",IF(op!J372&gt;LOOKUP(I484,schaal2011,regels2011),J372-1,IF(op!J372=LOOKUP(I484,schaal2011,regels2011),op!J372,J372+1)))</f>
        <v/>
      </c>
      <c r="K484" s="568" t="str">
        <f>IF(op!K372="","",op!K372)</f>
        <v/>
      </c>
      <c r="L484" s="569" t="str">
        <f>IF(op!L372="","",op!L372)</f>
        <v/>
      </c>
      <c r="M484" s="570" t="str">
        <f t="shared" si="129"/>
        <v/>
      </c>
      <c r="N484" s="155"/>
      <c r="O484" s="571" t="str">
        <f>IF(I484="","",VLOOKUP(I484,tab!$A$119:$V$159,J484+3,FALSE))</f>
        <v/>
      </c>
      <c r="P484" s="572">
        <f t="shared" si="130"/>
        <v>0</v>
      </c>
      <c r="Q484" s="589">
        <f t="shared" si="138"/>
        <v>0.6</v>
      </c>
      <c r="R484" s="573">
        <f t="shared" si="139"/>
        <v>0</v>
      </c>
      <c r="S484" s="332">
        <f>IF(L484="",0,O484*12*L484*(1+tab!$D$108)*tab!$E$110)</f>
        <v>0</v>
      </c>
      <c r="T484" s="580">
        <f t="shared" si="140"/>
        <v>0</v>
      </c>
      <c r="U484" s="243">
        <f t="shared" si="131"/>
        <v>0</v>
      </c>
      <c r="V484" s="332">
        <f t="shared" si="132"/>
        <v>0</v>
      </c>
      <c r="W484" s="136"/>
      <c r="Z484" s="647" t="e">
        <f t="shared" si="133"/>
        <v>#VALUE!</v>
      </c>
      <c r="AA484" s="647" t="e">
        <f t="shared" si="134"/>
        <v>#VALUE!</v>
      </c>
      <c r="AB484" s="67">
        <f t="shared" si="135"/>
        <v>30</v>
      </c>
      <c r="AC484" s="67">
        <f t="shared" si="136"/>
        <v>30</v>
      </c>
      <c r="AD484" s="84">
        <f t="shared" si="137"/>
        <v>0</v>
      </c>
    </row>
    <row r="485" spans="3:30">
      <c r="C485" s="131"/>
      <c r="D485" s="169" t="str">
        <f>IF(op!D373=0,"",op!D373)</f>
        <v/>
      </c>
      <c r="E485" s="169" t="str">
        <f>IF(op!E373=0,"",op!E373)</f>
        <v/>
      </c>
      <c r="F485" s="169" t="str">
        <f>IF(op!F373=0,"",op!F373)</f>
        <v/>
      </c>
      <c r="G485" s="170" t="str">
        <f>IF(op!G373="","",op!G373+1)</f>
        <v/>
      </c>
      <c r="H485" s="566" t="str">
        <f>IF(op!H373="","",op!H373)</f>
        <v/>
      </c>
      <c r="I485" s="170" t="str">
        <f>IF(op!I373=0,"",op!I373)</f>
        <v/>
      </c>
      <c r="J485" s="567" t="str">
        <f>IF(E485="","",IF(op!J373&gt;LOOKUP(I485,schaal2011,regels2011),J373-1,IF(op!J373=LOOKUP(I485,schaal2011,regels2011),op!J373,J373+1)))</f>
        <v/>
      </c>
      <c r="K485" s="568" t="str">
        <f>IF(op!K373="","",op!K373)</f>
        <v/>
      </c>
      <c r="L485" s="569" t="str">
        <f>IF(op!L373="","",op!L373)</f>
        <v/>
      </c>
      <c r="M485" s="570" t="str">
        <f t="shared" si="129"/>
        <v/>
      </c>
      <c r="N485" s="155"/>
      <c r="O485" s="571" t="str">
        <f>IF(I485="","",VLOOKUP(I485,tab!$A$119:$V$159,J485+3,FALSE))</f>
        <v/>
      </c>
      <c r="P485" s="572">
        <f t="shared" si="130"/>
        <v>0</v>
      </c>
      <c r="Q485" s="589">
        <f t="shared" si="138"/>
        <v>0.6</v>
      </c>
      <c r="R485" s="573">
        <f t="shared" si="139"/>
        <v>0</v>
      </c>
      <c r="S485" s="332">
        <f>IF(L485="",0,O485*12*L485*(1+tab!$D$108)*tab!$E$110)</f>
        <v>0</v>
      </c>
      <c r="T485" s="580">
        <f t="shared" si="140"/>
        <v>0</v>
      </c>
      <c r="U485" s="243">
        <f t="shared" si="131"/>
        <v>0</v>
      </c>
      <c r="V485" s="332">
        <f t="shared" si="132"/>
        <v>0</v>
      </c>
      <c r="W485" s="136"/>
      <c r="Z485" s="647" t="e">
        <f t="shared" si="133"/>
        <v>#VALUE!</v>
      </c>
      <c r="AA485" s="647" t="e">
        <f t="shared" si="134"/>
        <v>#VALUE!</v>
      </c>
      <c r="AB485" s="67">
        <f t="shared" si="135"/>
        <v>30</v>
      </c>
      <c r="AC485" s="67">
        <f t="shared" si="136"/>
        <v>30</v>
      </c>
      <c r="AD485" s="84">
        <f t="shared" si="137"/>
        <v>0</v>
      </c>
    </row>
    <row r="486" spans="3:30">
      <c r="C486" s="131"/>
      <c r="D486" s="169" t="str">
        <f>IF(op!D374=0,"",op!D374)</f>
        <v/>
      </c>
      <c r="E486" s="169" t="str">
        <f>IF(op!E374=0,"",op!E374)</f>
        <v/>
      </c>
      <c r="F486" s="169" t="str">
        <f>IF(op!F374=0,"",op!F374)</f>
        <v/>
      </c>
      <c r="G486" s="170" t="str">
        <f>IF(op!G374="","",op!G374+1)</f>
        <v/>
      </c>
      <c r="H486" s="566" t="str">
        <f>IF(op!H374="","",op!H374)</f>
        <v/>
      </c>
      <c r="I486" s="170" t="str">
        <f>IF(op!I374=0,"",op!I374)</f>
        <v/>
      </c>
      <c r="J486" s="567" t="str">
        <f>IF(E486="","",IF(op!J374&gt;LOOKUP(I486,schaal2011,regels2011),J374-1,IF(op!J374=LOOKUP(I486,schaal2011,regels2011),op!J374,J374+1)))</f>
        <v/>
      </c>
      <c r="K486" s="568" t="str">
        <f>IF(op!K374="","",op!K374)</f>
        <v/>
      </c>
      <c r="L486" s="569" t="str">
        <f>IF(op!L374="","",op!L374)</f>
        <v/>
      </c>
      <c r="M486" s="570" t="str">
        <f t="shared" si="129"/>
        <v/>
      </c>
      <c r="N486" s="155"/>
      <c r="O486" s="571" t="str">
        <f>IF(I486="","",VLOOKUP(I486,tab!$A$119:$V$159,J486+3,FALSE))</f>
        <v/>
      </c>
      <c r="P486" s="572">
        <f t="shared" si="130"/>
        <v>0</v>
      </c>
      <c r="Q486" s="589">
        <f t="shared" si="138"/>
        <v>0.6</v>
      </c>
      <c r="R486" s="573">
        <f t="shared" si="139"/>
        <v>0</v>
      </c>
      <c r="S486" s="332">
        <f>IF(L486="",0,O486*12*L486*(1+tab!$D$108)*tab!$E$110)</f>
        <v>0</v>
      </c>
      <c r="T486" s="580">
        <f t="shared" si="140"/>
        <v>0</v>
      </c>
      <c r="U486" s="243">
        <f t="shared" si="131"/>
        <v>0</v>
      </c>
      <c r="V486" s="332">
        <f t="shared" si="132"/>
        <v>0</v>
      </c>
      <c r="W486" s="136"/>
      <c r="Z486" s="647" t="e">
        <f t="shared" si="133"/>
        <v>#VALUE!</v>
      </c>
      <c r="AA486" s="647" t="e">
        <f t="shared" si="134"/>
        <v>#VALUE!</v>
      </c>
      <c r="AB486" s="67">
        <f t="shared" si="135"/>
        <v>30</v>
      </c>
      <c r="AC486" s="67">
        <f t="shared" si="136"/>
        <v>30</v>
      </c>
      <c r="AD486" s="84">
        <f t="shared" si="137"/>
        <v>0</v>
      </c>
    </row>
    <row r="487" spans="3:30">
      <c r="C487" s="131"/>
      <c r="D487" s="169" t="str">
        <f>IF(op!D375=0,"",op!D375)</f>
        <v/>
      </c>
      <c r="E487" s="169" t="str">
        <f>IF(op!E375=0,"",op!E375)</f>
        <v/>
      </c>
      <c r="F487" s="169" t="str">
        <f>IF(op!F375=0,"",op!F375)</f>
        <v/>
      </c>
      <c r="G487" s="170" t="str">
        <f>IF(op!G375="","",op!G375+1)</f>
        <v/>
      </c>
      <c r="H487" s="566" t="str">
        <f>IF(op!H375="","",op!H375)</f>
        <v/>
      </c>
      <c r="I487" s="170" t="str">
        <f>IF(op!I375=0,"",op!I375)</f>
        <v/>
      </c>
      <c r="J487" s="567" t="str">
        <f>IF(E487="","",IF(op!J375&gt;LOOKUP(I487,schaal2011,regels2011),J375-1,IF(op!J375=LOOKUP(I487,schaal2011,regels2011),op!J375,J375+1)))</f>
        <v/>
      </c>
      <c r="K487" s="568" t="str">
        <f>IF(op!K375="","",op!K375)</f>
        <v/>
      </c>
      <c r="L487" s="569" t="str">
        <f>IF(op!L375="","",op!L375)</f>
        <v/>
      </c>
      <c r="M487" s="570" t="str">
        <f t="shared" si="129"/>
        <v/>
      </c>
      <c r="N487" s="155"/>
      <c r="O487" s="571" t="str">
        <f>IF(I487="","",VLOOKUP(I487,tab!$A$119:$V$159,J487+3,FALSE))</f>
        <v/>
      </c>
      <c r="P487" s="572">
        <f t="shared" si="130"/>
        <v>0</v>
      </c>
      <c r="Q487" s="589">
        <f t="shared" si="138"/>
        <v>0.6</v>
      </c>
      <c r="R487" s="573">
        <f t="shared" si="139"/>
        <v>0</v>
      </c>
      <c r="S487" s="332">
        <f>IF(L487="",0,O487*12*L487*(1+tab!$D$108)*tab!$E$110)</f>
        <v>0</v>
      </c>
      <c r="T487" s="580">
        <f t="shared" si="140"/>
        <v>0</v>
      </c>
      <c r="U487" s="243">
        <f t="shared" si="131"/>
        <v>0</v>
      </c>
      <c r="V487" s="332">
        <f t="shared" si="132"/>
        <v>0</v>
      </c>
      <c r="W487" s="136"/>
      <c r="Z487" s="647" t="e">
        <f t="shared" si="133"/>
        <v>#VALUE!</v>
      </c>
      <c r="AA487" s="647" t="e">
        <f t="shared" si="134"/>
        <v>#VALUE!</v>
      </c>
      <c r="AB487" s="67">
        <f t="shared" si="135"/>
        <v>30</v>
      </c>
      <c r="AC487" s="67">
        <f t="shared" si="136"/>
        <v>30</v>
      </c>
      <c r="AD487" s="84">
        <f t="shared" si="137"/>
        <v>0</v>
      </c>
    </row>
    <row r="488" spans="3:30">
      <c r="C488" s="131"/>
      <c r="D488" s="169" t="str">
        <f>IF(op!D376=0,"",op!D376)</f>
        <v/>
      </c>
      <c r="E488" s="169" t="str">
        <f>IF(op!E376=0,"",op!E376)</f>
        <v/>
      </c>
      <c r="F488" s="169" t="str">
        <f>IF(op!F376=0,"",op!F376)</f>
        <v/>
      </c>
      <c r="G488" s="170" t="str">
        <f>IF(op!G376="","",op!G376+1)</f>
        <v/>
      </c>
      <c r="H488" s="566" t="str">
        <f>IF(op!H376="","",op!H376)</f>
        <v/>
      </c>
      <c r="I488" s="170" t="str">
        <f>IF(op!I376=0,"",op!I376)</f>
        <v/>
      </c>
      <c r="J488" s="567" t="str">
        <f>IF(E488="","",IF(op!J376&gt;LOOKUP(I488,schaal2011,regels2011),J376-1,IF(op!J376=LOOKUP(I488,schaal2011,regels2011),op!J376,J376+1)))</f>
        <v/>
      </c>
      <c r="K488" s="568" t="str">
        <f>IF(op!K376="","",op!K376)</f>
        <v/>
      </c>
      <c r="L488" s="569" t="str">
        <f>IF(op!L376="","",op!L376)</f>
        <v/>
      </c>
      <c r="M488" s="570" t="str">
        <f t="shared" si="129"/>
        <v/>
      </c>
      <c r="N488" s="155"/>
      <c r="O488" s="571" t="str">
        <f>IF(I488="","",VLOOKUP(I488,tab!$A$119:$V$159,J488+3,FALSE))</f>
        <v/>
      </c>
      <c r="P488" s="572">
        <f t="shared" si="130"/>
        <v>0</v>
      </c>
      <c r="Q488" s="589">
        <f t="shared" si="138"/>
        <v>0.6</v>
      </c>
      <c r="R488" s="573">
        <f t="shared" si="139"/>
        <v>0</v>
      </c>
      <c r="S488" s="332">
        <f>IF(L488="",0,O488*12*L488*(1+tab!$D$108)*tab!$E$110)</f>
        <v>0</v>
      </c>
      <c r="T488" s="580">
        <f t="shared" si="140"/>
        <v>0</v>
      </c>
      <c r="U488" s="243">
        <f t="shared" si="131"/>
        <v>0</v>
      </c>
      <c r="V488" s="332">
        <f t="shared" si="132"/>
        <v>0</v>
      </c>
      <c r="W488" s="136"/>
      <c r="Z488" s="647" t="e">
        <f t="shared" si="133"/>
        <v>#VALUE!</v>
      </c>
      <c r="AA488" s="647" t="e">
        <f t="shared" si="134"/>
        <v>#VALUE!</v>
      </c>
      <c r="AB488" s="67">
        <f t="shared" si="135"/>
        <v>30</v>
      </c>
      <c r="AC488" s="67">
        <f t="shared" si="136"/>
        <v>30</v>
      </c>
      <c r="AD488" s="84">
        <f t="shared" si="137"/>
        <v>0</v>
      </c>
    </row>
    <row r="489" spans="3:30">
      <c r="C489" s="131"/>
      <c r="D489" s="169" t="str">
        <f>IF(op!D377=0,"",op!D377)</f>
        <v/>
      </c>
      <c r="E489" s="169" t="str">
        <f>IF(op!E377=0,"",op!E377)</f>
        <v/>
      </c>
      <c r="F489" s="169" t="str">
        <f>IF(op!F377=0,"",op!F377)</f>
        <v/>
      </c>
      <c r="G489" s="170" t="str">
        <f>IF(op!G377="","",op!G377+1)</f>
        <v/>
      </c>
      <c r="H489" s="566" t="str">
        <f>IF(op!H377="","",op!H377)</f>
        <v/>
      </c>
      <c r="I489" s="170" t="str">
        <f>IF(op!I377=0,"",op!I377)</f>
        <v/>
      </c>
      <c r="J489" s="567" t="str">
        <f>IF(E489="","",IF(op!J377&gt;LOOKUP(I489,schaal2011,regels2011),J377-1,IF(op!J377=LOOKUP(I489,schaal2011,regels2011),op!J377,J377+1)))</f>
        <v/>
      </c>
      <c r="K489" s="568" t="str">
        <f>IF(op!K377="","",op!K377)</f>
        <v/>
      </c>
      <c r="L489" s="569" t="str">
        <f>IF(op!L377="","",op!L377)</f>
        <v/>
      </c>
      <c r="M489" s="570" t="str">
        <f t="shared" si="129"/>
        <v/>
      </c>
      <c r="N489" s="155"/>
      <c r="O489" s="571" t="str">
        <f>IF(I489="","",VLOOKUP(I489,tab!$A$119:$V$159,J489+3,FALSE))</f>
        <v/>
      </c>
      <c r="P489" s="572">
        <f t="shared" si="130"/>
        <v>0</v>
      </c>
      <c r="Q489" s="589">
        <f t="shared" si="138"/>
        <v>0.6</v>
      </c>
      <c r="R489" s="573">
        <f t="shared" si="139"/>
        <v>0</v>
      </c>
      <c r="S489" s="332">
        <f>IF(L489="",0,O489*12*L489*(1+tab!$D$108)*tab!$E$110)</f>
        <v>0</v>
      </c>
      <c r="T489" s="580">
        <f t="shared" si="140"/>
        <v>0</v>
      </c>
      <c r="U489" s="243">
        <f t="shared" si="131"/>
        <v>0</v>
      </c>
      <c r="V489" s="332">
        <f t="shared" si="132"/>
        <v>0</v>
      </c>
      <c r="W489" s="136"/>
      <c r="Z489" s="647" t="e">
        <f t="shared" si="133"/>
        <v>#VALUE!</v>
      </c>
      <c r="AA489" s="647" t="e">
        <f t="shared" si="134"/>
        <v>#VALUE!</v>
      </c>
      <c r="AB489" s="67">
        <f t="shared" si="135"/>
        <v>30</v>
      </c>
      <c r="AC489" s="67">
        <f t="shared" si="136"/>
        <v>30</v>
      </c>
      <c r="AD489" s="84">
        <f t="shared" si="137"/>
        <v>0</v>
      </c>
    </row>
    <row r="490" spans="3:30">
      <c r="C490" s="131"/>
      <c r="D490" s="169" t="str">
        <f>IF(op!D378=0,"",op!D378)</f>
        <v/>
      </c>
      <c r="E490" s="169" t="str">
        <f>IF(op!E378=0,"",op!E378)</f>
        <v/>
      </c>
      <c r="F490" s="169" t="str">
        <f>IF(op!F378=0,"",op!F378)</f>
        <v/>
      </c>
      <c r="G490" s="170" t="str">
        <f>IF(op!G378="","",op!G378+1)</f>
        <v/>
      </c>
      <c r="H490" s="566" t="str">
        <f>IF(op!H378="","",op!H378)</f>
        <v/>
      </c>
      <c r="I490" s="170" t="str">
        <f>IF(op!I378=0,"",op!I378)</f>
        <v/>
      </c>
      <c r="J490" s="567" t="str">
        <f>IF(E490="","",IF(op!J378&gt;LOOKUP(I490,schaal2011,regels2011),J378-1,IF(op!J378=LOOKUP(I490,schaal2011,regels2011),op!J378,J378+1)))</f>
        <v/>
      </c>
      <c r="K490" s="568" t="str">
        <f>IF(op!K378="","",op!K378)</f>
        <v/>
      </c>
      <c r="L490" s="569" t="str">
        <f>IF(op!L378="","",op!L378)</f>
        <v/>
      </c>
      <c r="M490" s="570" t="str">
        <f t="shared" si="129"/>
        <v/>
      </c>
      <c r="N490" s="155"/>
      <c r="O490" s="571" t="str">
        <f>IF(I490="","",VLOOKUP(I490,tab!$A$119:$V$159,J490+3,FALSE))</f>
        <v/>
      </c>
      <c r="P490" s="572">
        <f t="shared" si="130"/>
        <v>0</v>
      </c>
      <c r="Q490" s="589">
        <f t="shared" si="138"/>
        <v>0.6</v>
      </c>
      <c r="R490" s="573">
        <f t="shared" si="139"/>
        <v>0</v>
      </c>
      <c r="S490" s="332">
        <f>IF(L490="",0,O490*12*L490*(1+tab!$D$108)*tab!$E$110)</f>
        <v>0</v>
      </c>
      <c r="T490" s="580">
        <f t="shared" si="140"/>
        <v>0</v>
      </c>
      <c r="U490" s="243">
        <f t="shared" si="131"/>
        <v>0</v>
      </c>
      <c r="V490" s="332">
        <f t="shared" si="132"/>
        <v>0</v>
      </c>
      <c r="W490" s="136"/>
      <c r="Z490" s="647" t="e">
        <f t="shared" si="133"/>
        <v>#VALUE!</v>
      </c>
      <c r="AA490" s="647" t="e">
        <f t="shared" si="134"/>
        <v>#VALUE!</v>
      </c>
      <c r="AB490" s="67">
        <f t="shared" si="135"/>
        <v>30</v>
      </c>
      <c r="AC490" s="67">
        <f t="shared" si="136"/>
        <v>30</v>
      </c>
      <c r="AD490" s="84">
        <f t="shared" si="137"/>
        <v>0</v>
      </c>
    </row>
    <row r="491" spans="3:30">
      <c r="C491" s="131"/>
      <c r="D491" s="169" t="str">
        <f>IF(op!D379=0,"",op!D379)</f>
        <v/>
      </c>
      <c r="E491" s="169" t="str">
        <f>IF(op!E379=0,"",op!E379)</f>
        <v/>
      </c>
      <c r="F491" s="169" t="str">
        <f>IF(op!F379=0,"",op!F379)</f>
        <v/>
      </c>
      <c r="G491" s="170" t="str">
        <f>IF(op!G379="","",op!G379+1)</f>
        <v/>
      </c>
      <c r="H491" s="566" t="str">
        <f>IF(op!H379="","",op!H379)</f>
        <v/>
      </c>
      <c r="I491" s="170" t="str">
        <f>IF(op!I379=0,"",op!I379)</f>
        <v/>
      </c>
      <c r="J491" s="567" t="str">
        <f>IF(E491="","",IF(op!J379&gt;LOOKUP(I491,schaal2011,regels2011),J379-1,IF(op!J379=LOOKUP(I491,schaal2011,regels2011),op!J379,J379+1)))</f>
        <v/>
      </c>
      <c r="K491" s="568" t="str">
        <f>IF(op!K379="","",op!K379)</f>
        <v/>
      </c>
      <c r="L491" s="569" t="str">
        <f>IF(op!L379="","",op!L379)</f>
        <v/>
      </c>
      <c r="M491" s="570" t="str">
        <f t="shared" si="129"/>
        <v/>
      </c>
      <c r="N491" s="155"/>
      <c r="O491" s="571" t="str">
        <f>IF(I491="","",VLOOKUP(I491,tab!$A$119:$V$159,J491+3,FALSE))</f>
        <v/>
      </c>
      <c r="P491" s="572">
        <f t="shared" si="130"/>
        <v>0</v>
      </c>
      <c r="Q491" s="589">
        <f t="shared" si="138"/>
        <v>0.6</v>
      </c>
      <c r="R491" s="573">
        <f t="shared" si="139"/>
        <v>0</v>
      </c>
      <c r="S491" s="332">
        <f>IF(L491="",0,O491*12*L491*(1+tab!$D$108)*tab!$E$110)</f>
        <v>0</v>
      </c>
      <c r="T491" s="580">
        <f t="shared" si="140"/>
        <v>0</v>
      </c>
      <c r="U491" s="243">
        <f t="shared" si="131"/>
        <v>0</v>
      </c>
      <c r="V491" s="332">
        <f t="shared" si="132"/>
        <v>0</v>
      </c>
      <c r="W491" s="136"/>
      <c r="Z491" s="647" t="e">
        <f t="shared" si="133"/>
        <v>#VALUE!</v>
      </c>
      <c r="AA491" s="647" t="e">
        <f t="shared" si="134"/>
        <v>#VALUE!</v>
      </c>
      <c r="AB491" s="67">
        <f t="shared" si="135"/>
        <v>30</v>
      </c>
      <c r="AC491" s="67">
        <f t="shared" si="136"/>
        <v>30</v>
      </c>
      <c r="AD491" s="84">
        <f t="shared" si="137"/>
        <v>0</v>
      </c>
    </row>
    <row r="492" spans="3:30">
      <c r="C492" s="131"/>
      <c r="D492" s="169" t="str">
        <f>IF(op!D380=0,"",op!D380)</f>
        <v/>
      </c>
      <c r="E492" s="169" t="str">
        <f>IF(op!E380=0,"",op!E380)</f>
        <v/>
      </c>
      <c r="F492" s="169" t="str">
        <f>IF(op!F380=0,"",op!F380)</f>
        <v/>
      </c>
      <c r="G492" s="170" t="str">
        <f>IF(op!G380="","",op!G380+1)</f>
        <v/>
      </c>
      <c r="H492" s="566" t="str">
        <f>IF(op!H380="","",op!H380)</f>
        <v/>
      </c>
      <c r="I492" s="170" t="str">
        <f>IF(op!I380=0,"",op!I380)</f>
        <v/>
      </c>
      <c r="J492" s="567" t="str">
        <f>IF(E492="","",IF(op!J380&gt;LOOKUP(I492,schaal2011,regels2011),J380-1,IF(op!J380=LOOKUP(I492,schaal2011,regels2011),op!J380,J380+1)))</f>
        <v/>
      </c>
      <c r="K492" s="568" t="str">
        <f>IF(op!K380="","",op!K380)</f>
        <v/>
      </c>
      <c r="L492" s="569" t="str">
        <f>IF(op!L380="","",op!L380)</f>
        <v/>
      </c>
      <c r="M492" s="570" t="str">
        <f t="shared" si="129"/>
        <v/>
      </c>
      <c r="N492" s="155"/>
      <c r="O492" s="571" t="str">
        <f>IF(I492="","",VLOOKUP(I492,tab!$A$119:$V$159,J492+3,FALSE))</f>
        <v/>
      </c>
      <c r="P492" s="572">
        <f t="shared" si="130"/>
        <v>0</v>
      </c>
      <c r="Q492" s="589">
        <f t="shared" si="138"/>
        <v>0.6</v>
      </c>
      <c r="R492" s="573">
        <f t="shared" si="139"/>
        <v>0</v>
      </c>
      <c r="S492" s="332">
        <f>IF(L492="",0,O492*12*L492*(1+tab!$D$108)*tab!$E$110)</f>
        <v>0</v>
      </c>
      <c r="T492" s="580">
        <f t="shared" si="140"/>
        <v>0</v>
      </c>
      <c r="U492" s="243">
        <f t="shared" si="131"/>
        <v>0</v>
      </c>
      <c r="V492" s="332">
        <f t="shared" si="132"/>
        <v>0</v>
      </c>
      <c r="W492" s="136"/>
      <c r="Z492" s="647" t="e">
        <f t="shared" si="133"/>
        <v>#VALUE!</v>
      </c>
      <c r="AA492" s="647" t="e">
        <f t="shared" si="134"/>
        <v>#VALUE!</v>
      </c>
      <c r="AB492" s="67">
        <f t="shared" si="135"/>
        <v>30</v>
      </c>
      <c r="AC492" s="67">
        <f t="shared" si="136"/>
        <v>30</v>
      </c>
      <c r="AD492" s="84">
        <f t="shared" si="137"/>
        <v>0</v>
      </c>
    </row>
    <row r="493" spans="3:30">
      <c r="C493" s="131"/>
      <c r="D493" s="169" t="str">
        <f>IF(op!D381=0,"",op!D381)</f>
        <v/>
      </c>
      <c r="E493" s="169" t="str">
        <f>IF(op!E381=0,"",op!E381)</f>
        <v/>
      </c>
      <c r="F493" s="169" t="str">
        <f>IF(op!F381=0,"",op!F381)</f>
        <v/>
      </c>
      <c r="G493" s="170" t="str">
        <f>IF(op!G381="","",op!G381+1)</f>
        <v/>
      </c>
      <c r="H493" s="566" t="str">
        <f>IF(op!H381="","",op!H381)</f>
        <v/>
      </c>
      <c r="I493" s="170" t="str">
        <f>IF(op!I381=0,"",op!I381)</f>
        <v/>
      </c>
      <c r="J493" s="567" t="str">
        <f>IF(E493="","",IF(op!J381&gt;LOOKUP(I493,schaal2011,regels2011),J381-1,IF(op!J381=LOOKUP(I493,schaal2011,regels2011),op!J381,J381+1)))</f>
        <v/>
      </c>
      <c r="K493" s="568" t="str">
        <f>IF(op!K381="","",op!K381)</f>
        <v/>
      </c>
      <c r="L493" s="569" t="str">
        <f>IF(op!L381="","",op!L381)</f>
        <v/>
      </c>
      <c r="M493" s="570" t="str">
        <f t="shared" si="129"/>
        <v/>
      </c>
      <c r="N493" s="155"/>
      <c r="O493" s="571" t="str">
        <f>IF(I493="","",VLOOKUP(I493,tab!$A$119:$V$159,J493+3,FALSE))</f>
        <v/>
      </c>
      <c r="P493" s="572">
        <f t="shared" si="130"/>
        <v>0</v>
      </c>
      <c r="Q493" s="589">
        <f t="shared" si="138"/>
        <v>0.6</v>
      </c>
      <c r="R493" s="573">
        <f t="shared" si="139"/>
        <v>0</v>
      </c>
      <c r="S493" s="332">
        <f>IF(L493="",0,O493*12*L493*(1+tab!$D$108)*tab!$E$110)</f>
        <v>0</v>
      </c>
      <c r="T493" s="580">
        <f t="shared" si="140"/>
        <v>0</v>
      </c>
      <c r="U493" s="243">
        <f t="shared" si="131"/>
        <v>0</v>
      </c>
      <c r="V493" s="332">
        <f t="shared" si="132"/>
        <v>0</v>
      </c>
      <c r="W493" s="136"/>
      <c r="Z493" s="647" t="e">
        <f t="shared" si="133"/>
        <v>#VALUE!</v>
      </c>
      <c r="AA493" s="647" t="e">
        <f t="shared" si="134"/>
        <v>#VALUE!</v>
      </c>
      <c r="AB493" s="67">
        <f t="shared" si="135"/>
        <v>30</v>
      </c>
      <c r="AC493" s="67">
        <f t="shared" si="136"/>
        <v>30</v>
      </c>
      <c r="AD493" s="84">
        <f t="shared" si="137"/>
        <v>0</v>
      </c>
    </row>
    <row r="494" spans="3:30">
      <c r="C494" s="131"/>
      <c r="D494" s="169" t="str">
        <f>IF(op!D382=0,"",op!D382)</f>
        <v/>
      </c>
      <c r="E494" s="169" t="str">
        <f>IF(op!E382=0,"",op!E382)</f>
        <v/>
      </c>
      <c r="F494" s="169" t="str">
        <f>IF(op!F382=0,"",op!F382)</f>
        <v/>
      </c>
      <c r="G494" s="170" t="str">
        <f>IF(op!G382="","",op!G382+1)</f>
        <v/>
      </c>
      <c r="H494" s="566" t="str">
        <f>IF(op!H382="","",op!H382)</f>
        <v/>
      </c>
      <c r="I494" s="170" t="str">
        <f>IF(op!I382=0,"",op!I382)</f>
        <v/>
      </c>
      <c r="J494" s="567" t="str">
        <f>IF(E494="","",IF(op!J382&gt;LOOKUP(I494,schaal2011,regels2011),J382-1,IF(op!J382=LOOKUP(I494,schaal2011,regels2011),op!J382,J382+1)))</f>
        <v/>
      </c>
      <c r="K494" s="568" t="str">
        <f>IF(op!K382="","",op!K382)</f>
        <v/>
      </c>
      <c r="L494" s="569" t="str">
        <f>IF(op!L382="","",op!L382)</f>
        <v/>
      </c>
      <c r="M494" s="570" t="str">
        <f t="shared" si="129"/>
        <v/>
      </c>
      <c r="N494" s="155"/>
      <c r="O494" s="571" t="str">
        <f>IF(I494="","",VLOOKUP(I494,tab!$A$119:$V$159,J494+3,FALSE))</f>
        <v/>
      </c>
      <c r="P494" s="572">
        <f t="shared" si="130"/>
        <v>0</v>
      </c>
      <c r="Q494" s="589">
        <f t="shared" si="138"/>
        <v>0.6</v>
      </c>
      <c r="R494" s="573">
        <f t="shared" si="139"/>
        <v>0</v>
      </c>
      <c r="S494" s="332">
        <f>IF(L494="",0,O494*12*L494*(1+tab!$D$108)*tab!$E$110)</f>
        <v>0</v>
      </c>
      <c r="T494" s="580">
        <f t="shared" si="140"/>
        <v>0</v>
      </c>
      <c r="U494" s="243">
        <f t="shared" si="131"/>
        <v>0</v>
      </c>
      <c r="V494" s="332">
        <f t="shared" si="132"/>
        <v>0</v>
      </c>
      <c r="W494" s="136"/>
      <c r="Z494" s="647" t="e">
        <f t="shared" si="133"/>
        <v>#VALUE!</v>
      </c>
      <c r="AA494" s="647" t="e">
        <f t="shared" si="134"/>
        <v>#VALUE!</v>
      </c>
      <c r="AB494" s="67">
        <f t="shared" si="135"/>
        <v>30</v>
      </c>
      <c r="AC494" s="67">
        <f t="shared" si="136"/>
        <v>30</v>
      </c>
      <c r="AD494" s="84">
        <f t="shared" si="137"/>
        <v>0</v>
      </c>
    </row>
    <row r="495" spans="3:30">
      <c r="C495" s="131"/>
      <c r="D495" s="169" t="str">
        <f>IF(op!D383=0,"",op!D383)</f>
        <v/>
      </c>
      <c r="E495" s="169" t="str">
        <f>IF(op!E383=0,"",op!E383)</f>
        <v/>
      </c>
      <c r="F495" s="169" t="str">
        <f>IF(op!F383=0,"",op!F383)</f>
        <v/>
      </c>
      <c r="G495" s="170" t="str">
        <f>IF(op!G383="","",op!G383+1)</f>
        <v/>
      </c>
      <c r="H495" s="566" t="str">
        <f>IF(op!H383="","",op!H383)</f>
        <v/>
      </c>
      <c r="I495" s="170" t="str">
        <f>IF(op!I383=0,"",op!I383)</f>
        <v/>
      </c>
      <c r="J495" s="567" t="str">
        <f>IF(E495="","",IF(op!J383&gt;LOOKUP(I495,schaal2011,regels2011),J383-1,IF(op!J383=LOOKUP(I495,schaal2011,regels2011),op!J383,J383+1)))</f>
        <v/>
      </c>
      <c r="K495" s="568" t="str">
        <f>IF(op!K383="","",op!K383)</f>
        <v/>
      </c>
      <c r="L495" s="569" t="str">
        <f>IF(op!L383="","",op!L383)</f>
        <v/>
      </c>
      <c r="M495" s="570" t="str">
        <f t="shared" si="129"/>
        <v/>
      </c>
      <c r="N495" s="155"/>
      <c r="O495" s="571" t="str">
        <f>IF(I495="","",VLOOKUP(I495,tab!$A$119:$V$159,J495+3,FALSE))</f>
        <v/>
      </c>
      <c r="P495" s="572">
        <f t="shared" si="130"/>
        <v>0</v>
      </c>
      <c r="Q495" s="589">
        <f t="shared" si="138"/>
        <v>0.6</v>
      </c>
      <c r="R495" s="573">
        <f t="shared" si="139"/>
        <v>0</v>
      </c>
      <c r="S495" s="332">
        <f>IF(L495="",0,O495*12*L495*(1+tab!$D$108)*tab!$E$110)</f>
        <v>0</v>
      </c>
      <c r="T495" s="580">
        <f t="shared" si="140"/>
        <v>0</v>
      </c>
      <c r="U495" s="243">
        <f t="shared" si="131"/>
        <v>0</v>
      </c>
      <c r="V495" s="332">
        <f t="shared" si="132"/>
        <v>0</v>
      </c>
      <c r="W495" s="136"/>
      <c r="Z495" s="647" t="e">
        <f t="shared" si="133"/>
        <v>#VALUE!</v>
      </c>
      <c r="AA495" s="647" t="e">
        <f t="shared" si="134"/>
        <v>#VALUE!</v>
      </c>
      <c r="AB495" s="67">
        <f t="shared" si="135"/>
        <v>30</v>
      </c>
      <c r="AC495" s="67">
        <f t="shared" si="136"/>
        <v>30</v>
      </c>
      <c r="AD495" s="84">
        <f t="shared" si="137"/>
        <v>0</v>
      </c>
    </row>
    <row r="496" spans="3:30">
      <c r="C496" s="131"/>
      <c r="D496" s="169" t="str">
        <f>IF(op!D384=0,"",op!D384)</f>
        <v/>
      </c>
      <c r="E496" s="169" t="str">
        <f>IF(op!E384=0,"",op!E384)</f>
        <v/>
      </c>
      <c r="F496" s="169" t="str">
        <f>IF(op!F384=0,"",op!F384)</f>
        <v/>
      </c>
      <c r="G496" s="170" t="str">
        <f>IF(op!G384="","",op!G384+1)</f>
        <v/>
      </c>
      <c r="H496" s="566" t="str">
        <f>IF(op!H384="","",op!H384)</f>
        <v/>
      </c>
      <c r="I496" s="170" t="str">
        <f>IF(op!I384=0,"",op!I384)</f>
        <v/>
      </c>
      <c r="J496" s="567" t="str">
        <f>IF(E496="","",IF(op!J384&gt;LOOKUP(I496,schaal2011,regels2011),J384-1,IF(op!J384=LOOKUP(I496,schaal2011,regels2011),op!J384,J384+1)))</f>
        <v/>
      </c>
      <c r="K496" s="568" t="str">
        <f>IF(op!K384="","",op!K384)</f>
        <v/>
      </c>
      <c r="L496" s="569" t="str">
        <f>IF(op!L384="","",op!L384)</f>
        <v/>
      </c>
      <c r="M496" s="570" t="str">
        <f t="shared" si="129"/>
        <v/>
      </c>
      <c r="N496" s="155"/>
      <c r="O496" s="571" t="str">
        <f>IF(I496="","",VLOOKUP(I496,tab!$A$119:$V$159,J496+3,FALSE))</f>
        <v/>
      </c>
      <c r="P496" s="572">
        <f t="shared" ref="P496:P527" si="141">IF(E496="",0,(O496*M496*12))</f>
        <v>0</v>
      </c>
      <c r="Q496" s="589">
        <f t="shared" si="138"/>
        <v>0.6</v>
      </c>
      <c r="R496" s="573">
        <f t="shared" si="139"/>
        <v>0</v>
      </c>
      <c r="S496" s="332">
        <f>IF(L496="",0,O496*12*L496*(1+tab!$D$108)*tab!$E$110)</f>
        <v>0</v>
      </c>
      <c r="T496" s="580">
        <f t="shared" si="140"/>
        <v>0</v>
      </c>
      <c r="U496" s="243">
        <f t="shared" si="131"/>
        <v>0</v>
      </c>
      <c r="V496" s="332">
        <f t="shared" ref="V496:V527" si="142">IF(U496=25,(O496*1.08*(K496)/2),IF(U496=40,(O496*1.08*(K496)),IF(U496=0,0)))</f>
        <v>0</v>
      </c>
      <c r="W496" s="136"/>
      <c r="Z496" s="647" t="e">
        <f t="shared" ref="Z496:Z527" si="143">DATE(YEAR($E$345),MONTH(H496),DAY(H496))&gt;$E$345</f>
        <v>#VALUE!</v>
      </c>
      <c r="AA496" s="647" t="e">
        <f t="shared" ref="AA496:AA527" si="144">YEAR($E$345)-YEAR(H496)-Z496</f>
        <v>#VALUE!</v>
      </c>
      <c r="AB496" s="67">
        <f t="shared" ref="AB496:AB527" si="145">IF((H496=""),30,AA496)</f>
        <v>30</v>
      </c>
      <c r="AC496" s="67">
        <f t="shared" si="136"/>
        <v>30</v>
      </c>
      <c r="AD496" s="84">
        <f t="shared" ref="AD496:AD527" si="146">(AC496*(SUM(K496:K496)))</f>
        <v>0</v>
      </c>
    </row>
    <row r="497" spans="3:30">
      <c r="C497" s="131"/>
      <c r="D497" s="169" t="str">
        <f>IF(op!D385=0,"",op!D385)</f>
        <v/>
      </c>
      <c r="E497" s="169" t="str">
        <f>IF(op!E385=0,"",op!E385)</f>
        <v/>
      </c>
      <c r="F497" s="169" t="str">
        <f>IF(op!F385=0,"",op!F385)</f>
        <v/>
      </c>
      <c r="G497" s="170" t="str">
        <f>IF(op!G385="","",op!G385+1)</f>
        <v/>
      </c>
      <c r="H497" s="566" t="str">
        <f>IF(op!H385="","",op!H385)</f>
        <v/>
      </c>
      <c r="I497" s="170" t="str">
        <f>IF(op!I385=0,"",op!I385)</f>
        <v/>
      </c>
      <c r="J497" s="567" t="str">
        <f>IF(E497="","",IF(op!J385&gt;LOOKUP(I497,schaal2011,regels2011),J385-1,IF(op!J385=LOOKUP(I497,schaal2011,regels2011),op!J385,J385+1)))</f>
        <v/>
      </c>
      <c r="K497" s="568" t="str">
        <f>IF(op!K385="","",op!K385)</f>
        <v/>
      </c>
      <c r="L497" s="569" t="str">
        <f>IF(op!L385="","",op!L385)</f>
        <v/>
      </c>
      <c r="M497" s="570" t="str">
        <f t="shared" si="129"/>
        <v/>
      </c>
      <c r="N497" s="155"/>
      <c r="O497" s="571" t="str">
        <f>IF(I497="","",VLOOKUP(I497,tab!$A$119:$V$159,J497+3,FALSE))</f>
        <v/>
      </c>
      <c r="P497" s="572">
        <f t="shared" si="141"/>
        <v>0</v>
      </c>
      <c r="Q497" s="589">
        <f t="shared" si="138"/>
        <v>0.6</v>
      </c>
      <c r="R497" s="573">
        <f t="shared" si="139"/>
        <v>0</v>
      </c>
      <c r="S497" s="332">
        <f>IF(L497="",0,O497*12*L497*(1+tab!$D$108)*tab!$E$110)</f>
        <v>0</v>
      </c>
      <c r="T497" s="580">
        <f t="shared" si="140"/>
        <v>0</v>
      </c>
      <c r="U497" s="243">
        <f t="shared" si="131"/>
        <v>0</v>
      </c>
      <c r="V497" s="332">
        <f t="shared" si="142"/>
        <v>0</v>
      </c>
      <c r="W497" s="136"/>
      <c r="Z497" s="647" t="e">
        <f t="shared" si="143"/>
        <v>#VALUE!</v>
      </c>
      <c r="AA497" s="647" t="e">
        <f t="shared" si="144"/>
        <v>#VALUE!</v>
      </c>
      <c r="AB497" s="67">
        <f t="shared" si="145"/>
        <v>30</v>
      </c>
      <c r="AC497" s="67">
        <f t="shared" si="136"/>
        <v>30</v>
      </c>
      <c r="AD497" s="84">
        <f t="shared" si="146"/>
        <v>0</v>
      </c>
    </row>
    <row r="498" spans="3:30">
      <c r="C498" s="131"/>
      <c r="D498" s="169" t="str">
        <f>IF(op!D386=0,"",op!D386)</f>
        <v/>
      </c>
      <c r="E498" s="169" t="str">
        <f>IF(op!E386=0,"",op!E386)</f>
        <v/>
      </c>
      <c r="F498" s="169" t="str">
        <f>IF(op!F386=0,"",op!F386)</f>
        <v/>
      </c>
      <c r="G498" s="170" t="str">
        <f>IF(op!G386="","",op!G386+1)</f>
        <v/>
      </c>
      <c r="H498" s="566" t="str">
        <f>IF(op!H386="","",op!H386)</f>
        <v/>
      </c>
      <c r="I498" s="170" t="str">
        <f>IF(op!I386=0,"",op!I386)</f>
        <v/>
      </c>
      <c r="J498" s="567" t="str">
        <f>IF(E498="","",IF(op!J386&gt;LOOKUP(I498,schaal2011,regels2011),J386-1,IF(op!J386=LOOKUP(I498,schaal2011,regels2011),op!J386,J386+1)))</f>
        <v/>
      </c>
      <c r="K498" s="568" t="str">
        <f>IF(op!K386="","",op!K386)</f>
        <v/>
      </c>
      <c r="L498" s="569" t="str">
        <f>IF(op!L386="","",op!L386)</f>
        <v/>
      </c>
      <c r="M498" s="570" t="str">
        <f t="shared" si="129"/>
        <v/>
      </c>
      <c r="N498" s="155"/>
      <c r="O498" s="571" t="str">
        <f>IF(I498="","",VLOOKUP(I498,tab!$A$119:$V$159,J498+3,FALSE))</f>
        <v/>
      </c>
      <c r="P498" s="572">
        <f t="shared" si="141"/>
        <v>0</v>
      </c>
      <c r="Q498" s="589">
        <f t="shared" si="138"/>
        <v>0.6</v>
      </c>
      <c r="R498" s="573">
        <f t="shared" si="139"/>
        <v>0</v>
      </c>
      <c r="S498" s="332">
        <f>IF(L498="",0,O498*12*L498*(1+tab!$D$108)*tab!$E$110)</f>
        <v>0</v>
      </c>
      <c r="T498" s="580">
        <f t="shared" si="140"/>
        <v>0</v>
      </c>
      <c r="U498" s="243">
        <f t="shared" si="131"/>
        <v>0</v>
      </c>
      <c r="V498" s="332">
        <f t="shared" si="142"/>
        <v>0</v>
      </c>
      <c r="W498" s="136"/>
      <c r="Z498" s="647" t="e">
        <f t="shared" si="143"/>
        <v>#VALUE!</v>
      </c>
      <c r="AA498" s="647" t="e">
        <f t="shared" si="144"/>
        <v>#VALUE!</v>
      </c>
      <c r="AB498" s="67">
        <f t="shared" si="145"/>
        <v>30</v>
      </c>
      <c r="AC498" s="67">
        <f t="shared" si="136"/>
        <v>30</v>
      </c>
      <c r="AD498" s="84">
        <f t="shared" si="146"/>
        <v>0</v>
      </c>
    </row>
    <row r="499" spans="3:30">
      <c r="C499" s="131"/>
      <c r="D499" s="169" t="str">
        <f>IF(op!D387=0,"",op!D387)</f>
        <v/>
      </c>
      <c r="E499" s="169" t="str">
        <f>IF(op!E387=0,"",op!E387)</f>
        <v/>
      </c>
      <c r="F499" s="169" t="str">
        <f>IF(op!F387=0,"",op!F387)</f>
        <v/>
      </c>
      <c r="G499" s="170" t="str">
        <f>IF(op!G387="","",op!G387+1)</f>
        <v/>
      </c>
      <c r="H499" s="566" t="str">
        <f>IF(op!H387="","",op!H387)</f>
        <v/>
      </c>
      <c r="I499" s="170" t="str">
        <f>IF(op!I387=0,"",op!I387)</f>
        <v/>
      </c>
      <c r="J499" s="567" t="str">
        <f>IF(E499="","",IF(op!J387&gt;LOOKUP(I499,schaal2011,regels2011),J387-1,IF(op!J387=LOOKUP(I499,schaal2011,regels2011),op!J387,J387+1)))</f>
        <v/>
      </c>
      <c r="K499" s="568" t="str">
        <f>IF(op!K387="","",op!K387)</f>
        <v/>
      </c>
      <c r="L499" s="569" t="str">
        <f>IF(op!L387="","",op!L387)</f>
        <v/>
      </c>
      <c r="M499" s="570" t="str">
        <f t="shared" si="129"/>
        <v/>
      </c>
      <c r="N499" s="155"/>
      <c r="O499" s="571" t="str">
        <f>IF(I499="","",VLOOKUP(I499,tab!$A$119:$V$159,J499+3,FALSE))</f>
        <v/>
      </c>
      <c r="P499" s="572">
        <f t="shared" si="141"/>
        <v>0</v>
      </c>
      <c r="Q499" s="589">
        <f t="shared" si="138"/>
        <v>0.6</v>
      </c>
      <c r="R499" s="573">
        <f t="shared" si="139"/>
        <v>0</v>
      </c>
      <c r="S499" s="332">
        <f>IF(L499="",0,O499*12*L499*(1+tab!$D$108)*tab!$E$110)</f>
        <v>0</v>
      </c>
      <c r="T499" s="580">
        <f t="shared" si="140"/>
        <v>0</v>
      </c>
      <c r="U499" s="243">
        <f t="shared" si="131"/>
        <v>0</v>
      </c>
      <c r="V499" s="332">
        <f t="shared" si="142"/>
        <v>0</v>
      </c>
      <c r="W499" s="136"/>
      <c r="Z499" s="647" t="e">
        <f t="shared" si="143"/>
        <v>#VALUE!</v>
      </c>
      <c r="AA499" s="647" t="e">
        <f t="shared" si="144"/>
        <v>#VALUE!</v>
      </c>
      <c r="AB499" s="67">
        <f t="shared" si="145"/>
        <v>30</v>
      </c>
      <c r="AC499" s="67">
        <f t="shared" si="136"/>
        <v>30</v>
      </c>
      <c r="AD499" s="84">
        <f t="shared" si="146"/>
        <v>0</v>
      </c>
    </row>
    <row r="500" spans="3:30">
      <c r="C500" s="131"/>
      <c r="D500" s="169" t="str">
        <f>IF(op!D388=0,"",op!D388)</f>
        <v/>
      </c>
      <c r="E500" s="169" t="str">
        <f>IF(op!E388=0,"",op!E388)</f>
        <v/>
      </c>
      <c r="F500" s="169" t="str">
        <f>IF(op!F388=0,"",op!F388)</f>
        <v/>
      </c>
      <c r="G500" s="170" t="str">
        <f>IF(op!G388="","",op!G388+1)</f>
        <v/>
      </c>
      <c r="H500" s="566" t="str">
        <f>IF(op!H388="","",op!H388)</f>
        <v/>
      </c>
      <c r="I500" s="170" t="str">
        <f>IF(op!I388=0,"",op!I388)</f>
        <v/>
      </c>
      <c r="J500" s="567" t="str">
        <f>IF(E500="","",IF(op!J388&gt;LOOKUP(I500,schaal2011,regels2011),J388-1,IF(op!J388=LOOKUP(I500,schaal2011,regels2011),op!J388,J388+1)))</f>
        <v/>
      </c>
      <c r="K500" s="568" t="str">
        <f>IF(op!K388="","",op!K388)</f>
        <v/>
      </c>
      <c r="L500" s="569" t="str">
        <f>IF(op!L388="","",op!L388)</f>
        <v/>
      </c>
      <c r="M500" s="570" t="str">
        <f t="shared" si="129"/>
        <v/>
      </c>
      <c r="N500" s="155"/>
      <c r="O500" s="571" t="str">
        <f>IF(I500="","",VLOOKUP(I500,tab!$A$119:$V$159,J500+3,FALSE))</f>
        <v/>
      </c>
      <c r="P500" s="572">
        <f t="shared" si="141"/>
        <v>0</v>
      </c>
      <c r="Q500" s="589">
        <f t="shared" si="138"/>
        <v>0.6</v>
      </c>
      <c r="R500" s="573">
        <f t="shared" si="139"/>
        <v>0</v>
      </c>
      <c r="S500" s="332">
        <f>IF(L500="",0,O500*12*L500*(1+tab!$D$108)*tab!$E$110)</f>
        <v>0</v>
      </c>
      <c r="T500" s="580">
        <f t="shared" si="140"/>
        <v>0</v>
      </c>
      <c r="U500" s="243">
        <f t="shared" si="131"/>
        <v>0</v>
      </c>
      <c r="V500" s="332">
        <f t="shared" si="142"/>
        <v>0</v>
      </c>
      <c r="W500" s="136"/>
      <c r="Z500" s="647" t="e">
        <f t="shared" si="143"/>
        <v>#VALUE!</v>
      </c>
      <c r="AA500" s="647" t="e">
        <f t="shared" si="144"/>
        <v>#VALUE!</v>
      </c>
      <c r="AB500" s="67">
        <f t="shared" si="145"/>
        <v>30</v>
      </c>
      <c r="AC500" s="67">
        <f t="shared" si="136"/>
        <v>30</v>
      </c>
      <c r="AD500" s="84">
        <f t="shared" si="146"/>
        <v>0</v>
      </c>
    </row>
    <row r="501" spans="3:30">
      <c r="C501" s="131"/>
      <c r="D501" s="169" t="str">
        <f>IF(op!D389=0,"",op!D389)</f>
        <v/>
      </c>
      <c r="E501" s="169" t="str">
        <f>IF(op!E389=0,"",op!E389)</f>
        <v/>
      </c>
      <c r="F501" s="169" t="str">
        <f>IF(op!F389=0,"",op!F389)</f>
        <v/>
      </c>
      <c r="G501" s="170" t="str">
        <f>IF(op!G389="","",op!G389+1)</f>
        <v/>
      </c>
      <c r="H501" s="566" t="str">
        <f>IF(op!H389="","",op!H389)</f>
        <v/>
      </c>
      <c r="I501" s="170" t="str">
        <f>IF(op!I389=0,"",op!I389)</f>
        <v/>
      </c>
      <c r="J501" s="567" t="str">
        <f>IF(E501="","",IF(op!J389&gt;LOOKUP(I501,schaal2011,regels2011),J389-1,IF(op!J389=LOOKUP(I501,schaal2011,regels2011),op!J389,J389+1)))</f>
        <v/>
      </c>
      <c r="K501" s="568" t="str">
        <f>IF(op!K389="","",op!K389)</f>
        <v/>
      </c>
      <c r="L501" s="569" t="str">
        <f>IF(op!L389="","",op!L389)</f>
        <v/>
      </c>
      <c r="M501" s="570" t="str">
        <f t="shared" si="129"/>
        <v/>
      </c>
      <c r="N501" s="155"/>
      <c r="O501" s="571" t="str">
        <f>IF(I501="","",VLOOKUP(I501,tab!$A$119:$V$159,J501+3,FALSE))</f>
        <v/>
      </c>
      <c r="P501" s="572">
        <f t="shared" si="141"/>
        <v>0</v>
      </c>
      <c r="Q501" s="589">
        <f t="shared" si="138"/>
        <v>0.6</v>
      </c>
      <c r="R501" s="573">
        <f t="shared" si="139"/>
        <v>0</v>
      </c>
      <c r="S501" s="332">
        <f>IF(L501="",0,O501*12*L501*(1+tab!$D$108)*tab!$E$110)</f>
        <v>0</v>
      </c>
      <c r="T501" s="580">
        <f t="shared" si="140"/>
        <v>0</v>
      </c>
      <c r="U501" s="243">
        <f t="shared" si="131"/>
        <v>0</v>
      </c>
      <c r="V501" s="332">
        <f t="shared" si="142"/>
        <v>0</v>
      </c>
      <c r="W501" s="136"/>
      <c r="Z501" s="647" t="e">
        <f t="shared" si="143"/>
        <v>#VALUE!</v>
      </c>
      <c r="AA501" s="647" t="e">
        <f t="shared" si="144"/>
        <v>#VALUE!</v>
      </c>
      <c r="AB501" s="67">
        <f t="shared" si="145"/>
        <v>30</v>
      </c>
      <c r="AC501" s="67">
        <f t="shared" si="136"/>
        <v>30</v>
      </c>
      <c r="AD501" s="84">
        <f t="shared" si="146"/>
        <v>0</v>
      </c>
    </row>
    <row r="502" spans="3:30">
      <c r="C502" s="131"/>
      <c r="D502" s="169" t="str">
        <f>IF(op!D390=0,"",op!D390)</f>
        <v/>
      </c>
      <c r="E502" s="169" t="str">
        <f>IF(op!E390=0,"",op!E390)</f>
        <v/>
      </c>
      <c r="F502" s="169" t="str">
        <f>IF(op!F390=0,"",op!F390)</f>
        <v/>
      </c>
      <c r="G502" s="170" t="str">
        <f>IF(op!G390="","",op!G390+1)</f>
        <v/>
      </c>
      <c r="H502" s="566" t="str">
        <f>IF(op!H390="","",op!H390)</f>
        <v/>
      </c>
      <c r="I502" s="170" t="str">
        <f>IF(op!I390=0,"",op!I390)</f>
        <v/>
      </c>
      <c r="J502" s="567" t="str">
        <f>IF(E502="","",IF(op!J390&gt;LOOKUP(I502,schaal2011,regels2011),J390-1,IF(op!J390=LOOKUP(I502,schaal2011,regels2011),op!J390,J390+1)))</f>
        <v/>
      </c>
      <c r="K502" s="568" t="str">
        <f>IF(op!K390="","",op!K390)</f>
        <v/>
      </c>
      <c r="L502" s="569" t="str">
        <f>IF(op!L390="","",op!L390)</f>
        <v/>
      </c>
      <c r="M502" s="570" t="str">
        <f t="shared" si="129"/>
        <v/>
      </c>
      <c r="N502" s="155"/>
      <c r="O502" s="571" t="str">
        <f>IF(I502="","",VLOOKUP(I502,tab!$A$119:$V$159,J502+3,FALSE))</f>
        <v/>
      </c>
      <c r="P502" s="572">
        <f t="shared" si="141"/>
        <v>0</v>
      </c>
      <c r="Q502" s="589">
        <f t="shared" si="138"/>
        <v>0.6</v>
      </c>
      <c r="R502" s="573">
        <f t="shared" si="139"/>
        <v>0</v>
      </c>
      <c r="S502" s="332">
        <f>IF(L502="",0,O502*12*L502*(1+tab!$D$108)*tab!$E$110)</f>
        <v>0</v>
      </c>
      <c r="T502" s="580">
        <f t="shared" si="140"/>
        <v>0</v>
      </c>
      <c r="U502" s="243">
        <f t="shared" si="131"/>
        <v>0</v>
      </c>
      <c r="V502" s="332">
        <f t="shared" si="142"/>
        <v>0</v>
      </c>
      <c r="W502" s="136"/>
      <c r="Z502" s="647" t="e">
        <f t="shared" si="143"/>
        <v>#VALUE!</v>
      </c>
      <c r="AA502" s="647" t="e">
        <f t="shared" si="144"/>
        <v>#VALUE!</v>
      </c>
      <c r="AB502" s="67">
        <f t="shared" si="145"/>
        <v>30</v>
      </c>
      <c r="AC502" s="67">
        <f t="shared" si="136"/>
        <v>30</v>
      </c>
      <c r="AD502" s="84">
        <f t="shared" si="146"/>
        <v>0</v>
      </c>
    </row>
    <row r="503" spans="3:30">
      <c r="C503" s="131"/>
      <c r="D503" s="169" t="str">
        <f>IF(op!D391=0,"",op!D391)</f>
        <v/>
      </c>
      <c r="E503" s="169" t="str">
        <f>IF(op!E391=0,"",op!E391)</f>
        <v/>
      </c>
      <c r="F503" s="169" t="str">
        <f>IF(op!F391=0,"",op!F391)</f>
        <v/>
      </c>
      <c r="G503" s="170" t="str">
        <f>IF(op!G391="","",op!G391+1)</f>
        <v/>
      </c>
      <c r="H503" s="566" t="str">
        <f>IF(op!H391="","",op!H391)</f>
        <v/>
      </c>
      <c r="I503" s="170" t="str">
        <f>IF(op!I391=0,"",op!I391)</f>
        <v/>
      </c>
      <c r="J503" s="567" t="str">
        <f>IF(E503="","",IF(op!J391&gt;LOOKUP(I503,schaal2011,regels2011),J391-1,IF(op!J391=LOOKUP(I503,schaal2011,regels2011),op!J391,J391+1)))</f>
        <v/>
      </c>
      <c r="K503" s="568" t="str">
        <f>IF(op!K391="","",op!K391)</f>
        <v/>
      </c>
      <c r="L503" s="569" t="str">
        <f>IF(op!L391="","",op!L391)</f>
        <v/>
      </c>
      <c r="M503" s="570" t="str">
        <f t="shared" si="129"/>
        <v/>
      </c>
      <c r="N503" s="155"/>
      <c r="O503" s="571" t="str">
        <f>IF(I503="","",VLOOKUP(I503,tab!$A$119:$V$159,J503+3,FALSE))</f>
        <v/>
      </c>
      <c r="P503" s="572">
        <f t="shared" si="141"/>
        <v>0</v>
      </c>
      <c r="Q503" s="589">
        <f t="shared" si="138"/>
        <v>0.6</v>
      </c>
      <c r="R503" s="573">
        <f t="shared" si="139"/>
        <v>0</v>
      </c>
      <c r="S503" s="332">
        <f>IF(L503="",0,O503*12*L503*(1+tab!$D$108)*tab!$E$110)</f>
        <v>0</v>
      </c>
      <c r="T503" s="580">
        <f t="shared" si="140"/>
        <v>0</v>
      </c>
      <c r="U503" s="243">
        <f t="shared" si="131"/>
        <v>0</v>
      </c>
      <c r="V503" s="332">
        <f t="shared" si="142"/>
        <v>0</v>
      </c>
      <c r="W503" s="136"/>
      <c r="Z503" s="647" t="e">
        <f t="shared" si="143"/>
        <v>#VALUE!</v>
      </c>
      <c r="AA503" s="647" t="e">
        <f t="shared" si="144"/>
        <v>#VALUE!</v>
      </c>
      <c r="AB503" s="67">
        <f t="shared" si="145"/>
        <v>30</v>
      </c>
      <c r="AC503" s="67">
        <f t="shared" si="136"/>
        <v>30</v>
      </c>
      <c r="AD503" s="84">
        <f t="shared" si="146"/>
        <v>0</v>
      </c>
    </row>
    <row r="504" spans="3:30">
      <c r="C504" s="131"/>
      <c r="D504" s="169" t="str">
        <f>IF(op!D392=0,"",op!D392)</f>
        <v/>
      </c>
      <c r="E504" s="169" t="str">
        <f>IF(op!E392=0,"",op!E392)</f>
        <v/>
      </c>
      <c r="F504" s="169" t="str">
        <f>IF(op!F392=0,"",op!F392)</f>
        <v/>
      </c>
      <c r="G504" s="170" t="str">
        <f>IF(op!G392="","",op!G392+1)</f>
        <v/>
      </c>
      <c r="H504" s="566" t="str">
        <f>IF(op!H392="","",op!H392)</f>
        <v/>
      </c>
      <c r="I504" s="170" t="str">
        <f>IF(op!I392=0,"",op!I392)</f>
        <v/>
      </c>
      <c r="J504" s="567" t="str">
        <f>IF(E504="","",IF(op!J392&gt;LOOKUP(I504,schaal2011,regels2011),J392-1,IF(op!J392=LOOKUP(I504,schaal2011,regels2011),op!J392,J392+1)))</f>
        <v/>
      </c>
      <c r="K504" s="568" t="str">
        <f>IF(op!K392="","",op!K392)</f>
        <v/>
      </c>
      <c r="L504" s="569" t="str">
        <f>IF(op!L392="","",op!L392)</f>
        <v/>
      </c>
      <c r="M504" s="570" t="str">
        <f t="shared" si="129"/>
        <v/>
      </c>
      <c r="N504" s="155"/>
      <c r="O504" s="571" t="str">
        <f>IF(I504="","",VLOOKUP(I504,tab!$A$119:$V$159,J504+3,FALSE))</f>
        <v/>
      </c>
      <c r="P504" s="572">
        <f t="shared" si="141"/>
        <v>0</v>
      </c>
      <c r="Q504" s="589">
        <f t="shared" si="138"/>
        <v>0.6</v>
      </c>
      <c r="R504" s="573">
        <f t="shared" si="139"/>
        <v>0</v>
      </c>
      <c r="S504" s="332">
        <f>IF(L504="",0,O504*12*L504*(1+tab!$D$108)*tab!$E$110)</f>
        <v>0</v>
      </c>
      <c r="T504" s="580">
        <f t="shared" si="140"/>
        <v>0</v>
      </c>
      <c r="U504" s="243">
        <f t="shared" si="131"/>
        <v>0</v>
      </c>
      <c r="V504" s="332">
        <f t="shared" si="142"/>
        <v>0</v>
      </c>
      <c r="W504" s="136"/>
      <c r="Z504" s="647" t="e">
        <f t="shared" si="143"/>
        <v>#VALUE!</v>
      </c>
      <c r="AA504" s="647" t="e">
        <f t="shared" si="144"/>
        <v>#VALUE!</v>
      </c>
      <c r="AB504" s="67">
        <f t="shared" si="145"/>
        <v>30</v>
      </c>
      <c r="AC504" s="67">
        <f t="shared" si="136"/>
        <v>30</v>
      </c>
      <c r="AD504" s="84">
        <f t="shared" si="146"/>
        <v>0</v>
      </c>
    </row>
    <row r="505" spans="3:30">
      <c r="C505" s="131"/>
      <c r="D505" s="169" t="str">
        <f>IF(op!D393=0,"",op!D393)</f>
        <v/>
      </c>
      <c r="E505" s="169" t="str">
        <f>IF(op!E393=0,"",op!E393)</f>
        <v/>
      </c>
      <c r="F505" s="169" t="str">
        <f>IF(op!F393=0,"",op!F393)</f>
        <v/>
      </c>
      <c r="G505" s="170" t="str">
        <f>IF(op!G393="","",op!G393+1)</f>
        <v/>
      </c>
      <c r="H505" s="566" t="str">
        <f>IF(op!H393="","",op!H393)</f>
        <v/>
      </c>
      <c r="I505" s="170" t="str">
        <f>IF(op!I393=0,"",op!I393)</f>
        <v/>
      </c>
      <c r="J505" s="567" t="str">
        <f>IF(E505="","",IF(op!J393&gt;LOOKUP(I505,schaal2011,regels2011),J393-1,IF(op!J393=LOOKUP(I505,schaal2011,regels2011),op!J393,J393+1)))</f>
        <v/>
      </c>
      <c r="K505" s="568" t="str">
        <f>IF(op!K393="","",op!K393)</f>
        <v/>
      </c>
      <c r="L505" s="569" t="str">
        <f>IF(op!L393="","",op!L393)</f>
        <v/>
      </c>
      <c r="M505" s="570" t="str">
        <f t="shared" si="129"/>
        <v/>
      </c>
      <c r="N505" s="155"/>
      <c r="O505" s="571" t="str">
        <f>IF(I505="","",VLOOKUP(I505,tab!$A$119:$V$159,J505+3,FALSE))</f>
        <v/>
      </c>
      <c r="P505" s="572">
        <f t="shared" si="141"/>
        <v>0</v>
      </c>
      <c r="Q505" s="589">
        <f t="shared" si="138"/>
        <v>0.6</v>
      </c>
      <c r="R505" s="573">
        <f t="shared" si="139"/>
        <v>0</v>
      </c>
      <c r="S505" s="332">
        <f>IF(L505="",0,O505*12*L505*(1+tab!$D$108)*tab!$E$110)</f>
        <v>0</v>
      </c>
      <c r="T505" s="580">
        <f t="shared" si="140"/>
        <v>0</v>
      </c>
      <c r="U505" s="243">
        <f t="shared" si="131"/>
        <v>0</v>
      </c>
      <c r="V505" s="332">
        <f t="shared" si="142"/>
        <v>0</v>
      </c>
      <c r="W505" s="136"/>
      <c r="Z505" s="647" t="e">
        <f t="shared" si="143"/>
        <v>#VALUE!</v>
      </c>
      <c r="AA505" s="647" t="e">
        <f t="shared" si="144"/>
        <v>#VALUE!</v>
      </c>
      <c r="AB505" s="67">
        <f t="shared" si="145"/>
        <v>30</v>
      </c>
      <c r="AC505" s="67">
        <f t="shared" si="136"/>
        <v>30</v>
      </c>
      <c r="AD505" s="84">
        <f t="shared" si="146"/>
        <v>0</v>
      </c>
    </row>
    <row r="506" spans="3:30">
      <c r="C506" s="131"/>
      <c r="D506" s="169" t="str">
        <f>IF(op!D394=0,"",op!D394)</f>
        <v/>
      </c>
      <c r="E506" s="169" t="str">
        <f>IF(op!E394=0,"",op!E394)</f>
        <v/>
      </c>
      <c r="F506" s="169" t="str">
        <f>IF(op!F394=0,"",op!F394)</f>
        <v/>
      </c>
      <c r="G506" s="170" t="str">
        <f>IF(op!G394="","",op!G394+1)</f>
        <v/>
      </c>
      <c r="H506" s="566" t="str">
        <f>IF(op!H394="","",op!H394)</f>
        <v/>
      </c>
      <c r="I506" s="170" t="str">
        <f>IF(op!I394=0,"",op!I394)</f>
        <v/>
      </c>
      <c r="J506" s="567" t="str">
        <f>IF(E506="","",IF(op!J394&gt;LOOKUP(I506,schaal2011,regels2011),J394-1,IF(op!J394=LOOKUP(I506,schaal2011,regels2011),op!J394,J394+1)))</f>
        <v/>
      </c>
      <c r="K506" s="568" t="str">
        <f>IF(op!K394="","",op!K394)</f>
        <v/>
      </c>
      <c r="L506" s="569" t="str">
        <f>IF(op!L394="","",op!L394)</f>
        <v/>
      </c>
      <c r="M506" s="570" t="str">
        <f t="shared" si="129"/>
        <v/>
      </c>
      <c r="N506" s="155"/>
      <c r="O506" s="571" t="str">
        <f>IF(I506="","",VLOOKUP(I506,tab!$A$119:$V$159,J506+3,FALSE))</f>
        <v/>
      </c>
      <c r="P506" s="572">
        <f t="shared" si="141"/>
        <v>0</v>
      </c>
      <c r="Q506" s="589">
        <f t="shared" si="138"/>
        <v>0.6</v>
      </c>
      <c r="R506" s="573">
        <f t="shared" si="139"/>
        <v>0</v>
      </c>
      <c r="S506" s="332">
        <f>IF(L506="",0,O506*12*L506*(1+tab!$D$108)*tab!$E$110)</f>
        <v>0</v>
      </c>
      <c r="T506" s="580">
        <f t="shared" si="140"/>
        <v>0</v>
      </c>
      <c r="U506" s="243">
        <f t="shared" si="131"/>
        <v>0</v>
      </c>
      <c r="V506" s="332">
        <f t="shared" si="142"/>
        <v>0</v>
      </c>
      <c r="W506" s="136"/>
      <c r="Z506" s="647" t="e">
        <f t="shared" si="143"/>
        <v>#VALUE!</v>
      </c>
      <c r="AA506" s="647" t="e">
        <f t="shared" si="144"/>
        <v>#VALUE!</v>
      </c>
      <c r="AB506" s="67">
        <f t="shared" si="145"/>
        <v>30</v>
      </c>
      <c r="AC506" s="67">
        <f t="shared" si="136"/>
        <v>30</v>
      </c>
      <c r="AD506" s="84">
        <f t="shared" si="146"/>
        <v>0</v>
      </c>
    </row>
    <row r="507" spans="3:30">
      <c r="C507" s="131"/>
      <c r="D507" s="169" t="str">
        <f>IF(op!D395=0,"",op!D395)</f>
        <v/>
      </c>
      <c r="E507" s="169" t="str">
        <f>IF(op!E395=0,"",op!E395)</f>
        <v/>
      </c>
      <c r="F507" s="169" t="str">
        <f>IF(op!F395=0,"",op!F395)</f>
        <v/>
      </c>
      <c r="G507" s="170" t="str">
        <f>IF(op!G395="","",op!G395+1)</f>
        <v/>
      </c>
      <c r="H507" s="566" t="str">
        <f>IF(op!H395="","",op!H395)</f>
        <v/>
      </c>
      <c r="I507" s="170" t="str">
        <f>IF(op!I395=0,"",op!I395)</f>
        <v/>
      </c>
      <c r="J507" s="567" t="str">
        <f>IF(E507="","",IF(op!J395&gt;LOOKUP(I507,schaal2011,regels2011),J395-1,IF(op!J395=LOOKUP(I507,schaal2011,regels2011),op!J395,J395+1)))</f>
        <v/>
      </c>
      <c r="K507" s="568" t="str">
        <f>IF(op!K395="","",op!K395)</f>
        <v/>
      </c>
      <c r="L507" s="569" t="str">
        <f>IF(op!L395="","",op!L395)</f>
        <v/>
      </c>
      <c r="M507" s="570" t="str">
        <f t="shared" si="129"/>
        <v/>
      </c>
      <c r="N507" s="155"/>
      <c r="O507" s="571" t="str">
        <f>IF(I507="","",VLOOKUP(I507,tab!$A$119:$V$159,J507+3,FALSE))</f>
        <v/>
      </c>
      <c r="P507" s="572">
        <f t="shared" si="141"/>
        <v>0</v>
      </c>
      <c r="Q507" s="589">
        <f t="shared" si="138"/>
        <v>0.6</v>
      </c>
      <c r="R507" s="573">
        <f t="shared" si="139"/>
        <v>0</v>
      </c>
      <c r="S507" s="332">
        <f>IF(L507="",0,O507*12*L507*(1+tab!$D$108)*tab!$E$110)</f>
        <v>0</v>
      </c>
      <c r="T507" s="580">
        <f t="shared" si="140"/>
        <v>0</v>
      </c>
      <c r="U507" s="243">
        <f t="shared" si="131"/>
        <v>0</v>
      </c>
      <c r="V507" s="332">
        <f t="shared" si="142"/>
        <v>0</v>
      </c>
      <c r="W507" s="136"/>
      <c r="Z507" s="647" t="e">
        <f t="shared" si="143"/>
        <v>#VALUE!</v>
      </c>
      <c r="AA507" s="647" t="e">
        <f t="shared" si="144"/>
        <v>#VALUE!</v>
      </c>
      <c r="AB507" s="67">
        <f t="shared" si="145"/>
        <v>30</v>
      </c>
      <c r="AC507" s="67">
        <f t="shared" si="136"/>
        <v>30</v>
      </c>
      <c r="AD507" s="84">
        <f t="shared" si="146"/>
        <v>0</v>
      </c>
    </row>
    <row r="508" spans="3:30">
      <c r="C508" s="131"/>
      <c r="D508" s="169" t="str">
        <f>IF(op!D396=0,"",op!D396)</f>
        <v/>
      </c>
      <c r="E508" s="169" t="str">
        <f>IF(op!E396=0,"",op!E396)</f>
        <v/>
      </c>
      <c r="F508" s="169" t="str">
        <f>IF(op!F396=0,"",op!F396)</f>
        <v/>
      </c>
      <c r="G508" s="170" t="str">
        <f>IF(op!G396="","",op!G396+1)</f>
        <v/>
      </c>
      <c r="H508" s="566" t="str">
        <f>IF(op!H396="","",op!H396)</f>
        <v/>
      </c>
      <c r="I508" s="170" t="str">
        <f>IF(op!I396=0,"",op!I396)</f>
        <v/>
      </c>
      <c r="J508" s="567" t="str">
        <f>IF(E508="","",IF(op!J396&gt;LOOKUP(I508,schaal2011,regels2011),J396-1,IF(op!J396=LOOKUP(I508,schaal2011,regels2011),op!J396,J396+1)))</f>
        <v/>
      </c>
      <c r="K508" s="568" t="str">
        <f>IF(op!K396="","",op!K396)</f>
        <v/>
      </c>
      <c r="L508" s="569" t="str">
        <f>IF(op!L396="","",op!L396)</f>
        <v/>
      </c>
      <c r="M508" s="570" t="str">
        <f t="shared" si="129"/>
        <v/>
      </c>
      <c r="N508" s="155"/>
      <c r="O508" s="571" t="str">
        <f>IF(I508="","",VLOOKUP(I508,tab!$A$119:$V$159,J508+3,FALSE))</f>
        <v/>
      </c>
      <c r="P508" s="572">
        <f t="shared" si="141"/>
        <v>0</v>
      </c>
      <c r="Q508" s="589">
        <f t="shared" si="138"/>
        <v>0.6</v>
      </c>
      <c r="R508" s="573">
        <f t="shared" si="139"/>
        <v>0</v>
      </c>
      <c r="S508" s="332">
        <f>IF(L508="",0,O508*12*L508*(1+tab!$D$108)*tab!$E$110)</f>
        <v>0</v>
      </c>
      <c r="T508" s="580">
        <f t="shared" si="140"/>
        <v>0</v>
      </c>
      <c r="U508" s="243">
        <f t="shared" si="131"/>
        <v>0</v>
      </c>
      <c r="V508" s="332">
        <f t="shared" si="142"/>
        <v>0</v>
      </c>
      <c r="W508" s="136"/>
      <c r="Z508" s="647" t="e">
        <f t="shared" si="143"/>
        <v>#VALUE!</v>
      </c>
      <c r="AA508" s="647" t="e">
        <f t="shared" si="144"/>
        <v>#VALUE!</v>
      </c>
      <c r="AB508" s="67">
        <f t="shared" si="145"/>
        <v>30</v>
      </c>
      <c r="AC508" s="67">
        <f t="shared" si="136"/>
        <v>30</v>
      </c>
      <c r="AD508" s="84">
        <f t="shared" si="146"/>
        <v>0</v>
      </c>
    </row>
    <row r="509" spans="3:30">
      <c r="C509" s="131"/>
      <c r="D509" s="169" t="str">
        <f>IF(op!D397=0,"",op!D397)</f>
        <v/>
      </c>
      <c r="E509" s="169" t="str">
        <f>IF(op!E397=0,"",op!E397)</f>
        <v/>
      </c>
      <c r="F509" s="169" t="str">
        <f>IF(op!F397=0,"",op!F397)</f>
        <v/>
      </c>
      <c r="G509" s="170" t="str">
        <f>IF(op!G397="","",op!G397+1)</f>
        <v/>
      </c>
      <c r="H509" s="566" t="str">
        <f>IF(op!H397="","",op!H397)</f>
        <v/>
      </c>
      <c r="I509" s="170" t="str">
        <f>IF(op!I397=0,"",op!I397)</f>
        <v/>
      </c>
      <c r="J509" s="567" t="str">
        <f>IF(E509="","",IF(op!J397&gt;LOOKUP(I509,schaal2011,regels2011),J397-1,IF(op!J397=LOOKUP(I509,schaal2011,regels2011),op!J397,J397+1)))</f>
        <v/>
      </c>
      <c r="K509" s="568" t="str">
        <f>IF(op!K397="","",op!K397)</f>
        <v/>
      </c>
      <c r="L509" s="569" t="str">
        <f>IF(op!L397="","",op!L397)</f>
        <v/>
      </c>
      <c r="M509" s="570" t="str">
        <f t="shared" si="129"/>
        <v/>
      </c>
      <c r="N509" s="155"/>
      <c r="O509" s="571" t="str">
        <f>IF(I509="","",VLOOKUP(I509,tab!$A$119:$V$159,J509+3,FALSE))</f>
        <v/>
      </c>
      <c r="P509" s="572">
        <f t="shared" si="141"/>
        <v>0</v>
      </c>
      <c r="Q509" s="589">
        <f t="shared" si="138"/>
        <v>0.6</v>
      </c>
      <c r="R509" s="573">
        <f t="shared" si="139"/>
        <v>0</v>
      </c>
      <c r="S509" s="332">
        <f>IF(L509="",0,O509*12*L509*(1+tab!$D$108)*tab!$E$110)</f>
        <v>0</v>
      </c>
      <c r="T509" s="580">
        <f t="shared" si="140"/>
        <v>0</v>
      </c>
      <c r="U509" s="243">
        <f t="shared" si="131"/>
        <v>0</v>
      </c>
      <c r="V509" s="332">
        <f t="shared" si="142"/>
        <v>0</v>
      </c>
      <c r="W509" s="136"/>
      <c r="Z509" s="647" t="e">
        <f t="shared" si="143"/>
        <v>#VALUE!</v>
      </c>
      <c r="AA509" s="647" t="e">
        <f t="shared" si="144"/>
        <v>#VALUE!</v>
      </c>
      <c r="AB509" s="67">
        <f t="shared" si="145"/>
        <v>30</v>
      </c>
      <c r="AC509" s="67">
        <f t="shared" si="136"/>
        <v>30</v>
      </c>
      <c r="AD509" s="84">
        <f t="shared" si="146"/>
        <v>0</v>
      </c>
    </row>
    <row r="510" spans="3:30">
      <c r="C510" s="131"/>
      <c r="D510" s="169" t="str">
        <f>IF(op!D398=0,"",op!D398)</f>
        <v/>
      </c>
      <c r="E510" s="169" t="str">
        <f>IF(op!E398=0,"",op!E398)</f>
        <v/>
      </c>
      <c r="F510" s="169" t="str">
        <f>IF(op!F398=0,"",op!F398)</f>
        <v/>
      </c>
      <c r="G510" s="170" t="str">
        <f>IF(op!G398="","",op!G398+1)</f>
        <v/>
      </c>
      <c r="H510" s="566" t="str">
        <f>IF(op!H398="","",op!H398)</f>
        <v/>
      </c>
      <c r="I510" s="170" t="str">
        <f>IF(op!I398=0,"",op!I398)</f>
        <v/>
      </c>
      <c r="J510" s="567" t="str">
        <f>IF(E510="","",IF(op!J398&gt;LOOKUP(I510,schaal2011,regels2011),J398-1,IF(op!J398=LOOKUP(I510,schaal2011,regels2011),op!J398,J398+1)))</f>
        <v/>
      </c>
      <c r="K510" s="568" t="str">
        <f>IF(op!K398="","",op!K398)</f>
        <v/>
      </c>
      <c r="L510" s="569" t="str">
        <f>IF(op!L398="","",op!L398)</f>
        <v/>
      </c>
      <c r="M510" s="570" t="str">
        <f t="shared" si="129"/>
        <v/>
      </c>
      <c r="N510" s="155"/>
      <c r="O510" s="571" t="str">
        <f>IF(I510="","",VLOOKUP(I510,tab!$A$119:$V$159,J510+3,FALSE))</f>
        <v/>
      </c>
      <c r="P510" s="572">
        <f t="shared" si="141"/>
        <v>0</v>
      </c>
      <c r="Q510" s="589">
        <f t="shared" si="138"/>
        <v>0.6</v>
      </c>
      <c r="R510" s="573">
        <f t="shared" si="139"/>
        <v>0</v>
      </c>
      <c r="S510" s="332">
        <f>IF(L510="",0,O510*12*L510*(1+tab!$D$108)*tab!$E$110)</f>
        <v>0</v>
      </c>
      <c r="T510" s="580">
        <f t="shared" si="140"/>
        <v>0</v>
      </c>
      <c r="U510" s="243">
        <f t="shared" si="131"/>
        <v>0</v>
      </c>
      <c r="V510" s="332">
        <f t="shared" si="142"/>
        <v>0</v>
      </c>
      <c r="W510" s="136"/>
      <c r="Z510" s="647" t="e">
        <f t="shared" si="143"/>
        <v>#VALUE!</v>
      </c>
      <c r="AA510" s="647" t="e">
        <f t="shared" si="144"/>
        <v>#VALUE!</v>
      </c>
      <c r="AB510" s="67">
        <f t="shared" si="145"/>
        <v>30</v>
      </c>
      <c r="AC510" s="67">
        <f t="shared" si="136"/>
        <v>30</v>
      </c>
      <c r="AD510" s="84">
        <f t="shared" si="146"/>
        <v>0</v>
      </c>
    </row>
    <row r="511" spans="3:30">
      <c r="C511" s="131"/>
      <c r="D511" s="169" t="str">
        <f>IF(op!D399=0,"",op!D399)</f>
        <v/>
      </c>
      <c r="E511" s="169" t="str">
        <f>IF(op!E399=0,"",op!E399)</f>
        <v/>
      </c>
      <c r="F511" s="169" t="str">
        <f>IF(op!F399=0,"",op!F399)</f>
        <v/>
      </c>
      <c r="G511" s="170" t="str">
        <f>IF(op!G399="","",op!G399+1)</f>
        <v/>
      </c>
      <c r="H511" s="566" t="str">
        <f>IF(op!H399="","",op!H399)</f>
        <v/>
      </c>
      <c r="I511" s="170" t="str">
        <f>IF(op!I399=0,"",op!I399)</f>
        <v/>
      </c>
      <c r="J511" s="567" t="str">
        <f>IF(E511="","",IF(op!J399&gt;LOOKUP(I511,schaal2011,regels2011),J399-1,IF(op!J399=LOOKUP(I511,schaal2011,regels2011),op!J399,J399+1)))</f>
        <v/>
      </c>
      <c r="K511" s="568" t="str">
        <f>IF(op!K399="","",op!K399)</f>
        <v/>
      </c>
      <c r="L511" s="569" t="str">
        <f>IF(op!L399="","",op!L399)</f>
        <v/>
      </c>
      <c r="M511" s="570" t="str">
        <f t="shared" si="129"/>
        <v/>
      </c>
      <c r="N511" s="155"/>
      <c r="O511" s="571" t="str">
        <f>IF(I511="","",VLOOKUP(I511,tab!$A$119:$V$159,J511+3,FALSE))</f>
        <v/>
      </c>
      <c r="P511" s="572">
        <f t="shared" si="141"/>
        <v>0</v>
      </c>
      <c r="Q511" s="589">
        <f t="shared" si="138"/>
        <v>0.6</v>
      </c>
      <c r="R511" s="573">
        <f t="shared" si="139"/>
        <v>0</v>
      </c>
      <c r="S511" s="332">
        <f>IF(L511="",0,O511*12*L511*(1+tab!$D$108)*tab!$E$110)</f>
        <v>0</v>
      </c>
      <c r="T511" s="580">
        <f t="shared" si="140"/>
        <v>0</v>
      </c>
      <c r="U511" s="243">
        <f t="shared" si="131"/>
        <v>0</v>
      </c>
      <c r="V511" s="332">
        <f t="shared" si="142"/>
        <v>0</v>
      </c>
      <c r="W511" s="136"/>
      <c r="Z511" s="647" t="e">
        <f t="shared" si="143"/>
        <v>#VALUE!</v>
      </c>
      <c r="AA511" s="647" t="e">
        <f t="shared" si="144"/>
        <v>#VALUE!</v>
      </c>
      <c r="AB511" s="67">
        <f t="shared" si="145"/>
        <v>30</v>
      </c>
      <c r="AC511" s="67">
        <f t="shared" si="136"/>
        <v>30</v>
      </c>
      <c r="AD511" s="84">
        <f t="shared" si="146"/>
        <v>0</v>
      </c>
    </row>
    <row r="512" spans="3:30">
      <c r="C512" s="131"/>
      <c r="D512" s="169" t="str">
        <f>IF(op!D400=0,"",op!D400)</f>
        <v/>
      </c>
      <c r="E512" s="169" t="str">
        <f>IF(op!E400=0,"",op!E400)</f>
        <v/>
      </c>
      <c r="F512" s="169" t="str">
        <f>IF(op!F400=0,"",op!F400)</f>
        <v/>
      </c>
      <c r="G512" s="170" t="str">
        <f>IF(op!G400="","",op!G400+1)</f>
        <v/>
      </c>
      <c r="H512" s="566" t="str">
        <f>IF(op!H400="","",op!H400)</f>
        <v/>
      </c>
      <c r="I512" s="170" t="str">
        <f>IF(op!I400=0,"",op!I400)</f>
        <v/>
      </c>
      <c r="J512" s="567" t="str">
        <f>IF(E512="","",IF(op!J400&gt;LOOKUP(I512,schaal2011,regels2011),J400-1,IF(op!J400=LOOKUP(I512,schaal2011,regels2011),op!J400,J400+1)))</f>
        <v/>
      </c>
      <c r="K512" s="568" t="str">
        <f>IF(op!K400="","",op!K400)</f>
        <v/>
      </c>
      <c r="L512" s="569" t="str">
        <f>IF(op!L400="","",op!L400)</f>
        <v/>
      </c>
      <c r="M512" s="570" t="str">
        <f t="shared" si="129"/>
        <v/>
      </c>
      <c r="N512" s="155"/>
      <c r="O512" s="571" t="str">
        <f>IF(I512="","",VLOOKUP(I512,tab!$A$119:$V$159,J512+3,FALSE))</f>
        <v/>
      </c>
      <c r="P512" s="572">
        <f t="shared" si="141"/>
        <v>0</v>
      </c>
      <c r="Q512" s="589">
        <f t="shared" si="138"/>
        <v>0.6</v>
      </c>
      <c r="R512" s="573">
        <f t="shared" si="139"/>
        <v>0</v>
      </c>
      <c r="S512" s="332">
        <f>IF(L512="",0,O512*12*L512*(1+tab!$D$108)*tab!$E$110)</f>
        <v>0</v>
      </c>
      <c r="T512" s="580">
        <f t="shared" si="140"/>
        <v>0</v>
      </c>
      <c r="U512" s="243">
        <f t="shared" si="131"/>
        <v>0</v>
      </c>
      <c r="V512" s="332">
        <f t="shared" si="142"/>
        <v>0</v>
      </c>
      <c r="W512" s="136"/>
      <c r="Z512" s="647" t="e">
        <f t="shared" si="143"/>
        <v>#VALUE!</v>
      </c>
      <c r="AA512" s="647" t="e">
        <f t="shared" si="144"/>
        <v>#VALUE!</v>
      </c>
      <c r="AB512" s="67">
        <f t="shared" si="145"/>
        <v>30</v>
      </c>
      <c r="AC512" s="67">
        <f t="shared" si="136"/>
        <v>30</v>
      </c>
      <c r="AD512" s="84">
        <f t="shared" si="146"/>
        <v>0</v>
      </c>
    </row>
    <row r="513" spans="3:30">
      <c r="C513" s="131"/>
      <c r="D513" s="169" t="str">
        <f>IF(op!D401=0,"",op!D401)</f>
        <v/>
      </c>
      <c r="E513" s="169" t="str">
        <f>IF(op!E401=0,"",op!E401)</f>
        <v/>
      </c>
      <c r="F513" s="169" t="str">
        <f>IF(op!F401=0,"",op!F401)</f>
        <v/>
      </c>
      <c r="G513" s="170" t="str">
        <f>IF(op!G401="","",op!G401+1)</f>
        <v/>
      </c>
      <c r="H513" s="566" t="str">
        <f>IF(op!H401="","",op!H401)</f>
        <v/>
      </c>
      <c r="I513" s="170" t="str">
        <f>IF(op!I401=0,"",op!I401)</f>
        <v/>
      </c>
      <c r="J513" s="567" t="str">
        <f>IF(E513="","",IF(op!J401&gt;LOOKUP(I513,schaal2011,regels2011),J401-1,IF(op!J401=LOOKUP(I513,schaal2011,regels2011),op!J401,J401+1)))</f>
        <v/>
      </c>
      <c r="K513" s="568" t="str">
        <f>IF(op!K401="","",op!K401)</f>
        <v/>
      </c>
      <c r="L513" s="569" t="str">
        <f>IF(op!L401="","",op!L401)</f>
        <v/>
      </c>
      <c r="M513" s="570" t="str">
        <f t="shared" si="129"/>
        <v/>
      </c>
      <c r="N513" s="155"/>
      <c r="O513" s="571" t="str">
        <f>IF(I513="","",VLOOKUP(I513,tab!$A$119:$V$159,J513+3,FALSE))</f>
        <v/>
      </c>
      <c r="P513" s="572">
        <f t="shared" si="141"/>
        <v>0</v>
      </c>
      <c r="Q513" s="589">
        <f t="shared" si="138"/>
        <v>0.6</v>
      </c>
      <c r="R513" s="573">
        <f t="shared" si="139"/>
        <v>0</v>
      </c>
      <c r="S513" s="332">
        <f>IF(L513="",0,O513*12*L513*(1+tab!$D$108)*tab!$E$110)</f>
        <v>0</v>
      </c>
      <c r="T513" s="580">
        <f t="shared" si="140"/>
        <v>0</v>
      </c>
      <c r="U513" s="243">
        <f t="shared" si="131"/>
        <v>0</v>
      </c>
      <c r="V513" s="332">
        <f t="shared" si="142"/>
        <v>0</v>
      </c>
      <c r="W513" s="136"/>
      <c r="Z513" s="647" t="e">
        <f t="shared" si="143"/>
        <v>#VALUE!</v>
      </c>
      <c r="AA513" s="647" t="e">
        <f t="shared" si="144"/>
        <v>#VALUE!</v>
      </c>
      <c r="AB513" s="67">
        <f t="shared" si="145"/>
        <v>30</v>
      </c>
      <c r="AC513" s="67">
        <f t="shared" si="136"/>
        <v>30</v>
      </c>
      <c r="AD513" s="84">
        <f t="shared" si="146"/>
        <v>0</v>
      </c>
    </row>
    <row r="514" spans="3:30">
      <c r="C514" s="131"/>
      <c r="D514" s="169" t="str">
        <f>IF(op!D402=0,"",op!D402)</f>
        <v/>
      </c>
      <c r="E514" s="169" t="str">
        <f>IF(op!E402=0,"",op!E402)</f>
        <v/>
      </c>
      <c r="F514" s="169" t="str">
        <f>IF(op!F402=0,"",op!F402)</f>
        <v/>
      </c>
      <c r="G514" s="170" t="str">
        <f>IF(op!G402="","",op!G402+1)</f>
        <v/>
      </c>
      <c r="H514" s="566" t="str">
        <f>IF(op!H402="","",op!H402)</f>
        <v/>
      </c>
      <c r="I514" s="170" t="str">
        <f>IF(op!I402=0,"",op!I402)</f>
        <v/>
      </c>
      <c r="J514" s="567" t="str">
        <f>IF(E514="","",IF(op!J402&gt;LOOKUP(I514,schaal2011,regels2011),J402-1,IF(op!J402=LOOKUP(I514,schaal2011,regels2011),op!J402,J402+1)))</f>
        <v/>
      </c>
      <c r="K514" s="568" t="str">
        <f>IF(op!K402="","",op!K402)</f>
        <v/>
      </c>
      <c r="L514" s="569" t="str">
        <f>IF(op!L402="","",op!L402)</f>
        <v/>
      </c>
      <c r="M514" s="570" t="str">
        <f t="shared" ref="M514:M558" si="147">(IF(L514="",(K514),(K514)-L514))</f>
        <v/>
      </c>
      <c r="N514" s="155"/>
      <c r="O514" s="571" t="str">
        <f>IF(I514="","",VLOOKUP(I514,tab!$A$119:$V$159,J514+3,FALSE))</f>
        <v/>
      </c>
      <c r="P514" s="572">
        <f t="shared" si="141"/>
        <v>0</v>
      </c>
      <c r="Q514" s="589">
        <f t="shared" si="138"/>
        <v>0.6</v>
      </c>
      <c r="R514" s="573">
        <f t="shared" si="139"/>
        <v>0</v>
      </c>
      <c r="S514" s="332">
        <f>IF(L514="",0,O514*12*L514*(1+tab!$D$108)*tab!$E$110)</f>
        <v>0</v>
      </c>
      <c r="T514" s="580">
        <f t="shared" si="140"/>
        <v>0</v>
      </c>
      <c r="U514" s="243">
        <f t="shared" si="131"/>
        <v>0</v>
      </c>
      <c r="V514" s="332">
        <f t="shared" si="142"/>
        <v>0</v>
      </c>
      <c r="W514" s="136"/>
      <c r="Z514" s="647" t="e">
        <f t="shared" si="143"/>
        <v>#VALUE!</v>
      </c>
      <c r="AA514" s="647" t="e">
        <f t="shared" si="144"/>
        <v>#VALUE!</v>
      </c>
      <c r="AB514" s="67">
        <f t="shared" si="145"/>
        <v>30</v>
      </c>
      <c r="AC514" s="67">
        <f t="shared" si="136"/>
        <v>30</v>
      </c>
      <c r="AD514" s="84">
        <f t="shared" si="146"/>
        <v>0</v>
      </c>
    </row>
    <row r="515" spans="3:30">
      <c r="C515" s="131"/>
      <c r="D515" s="169" t="str">
        <f>IF(op!D403=0,"",op!D403)</f>
        <v/>
      </c>
      <c r="E515" s="169" t="str">
        <f>IF(op!E403=0,"",op!E403)</f>
        <v/>
      </c>
      <c r="F515" s="169" t="str">
        <f>IF(op!F403=0,"",op!F403)</f>
        <v/>
      </c>
      <c r="G515" s="170" t="str">
        <f>IF(op!G403="","",op!G403+1)</f>
        <v/>
      </c>
      <c r="H515" s="566" t="str">
        <f>IF(op!H403="","",op!H403)</f>
        <v/>
      </c>
      <c r="I515" s="170" t="str">
        <f>IF(op!I403=0,"",op!I403)</f>
        <v/>
      </c>
      <c r="J515" s="567" t="str">
        <f>IF(E515="","",IF(op!J403&gt;LOOKUP(I515,schaal2011,regels2011),J403-1,IF(op!J403=LOOKUP(I515,schaal2011,regels2011),op!J403,J403+1)))</f>
        <v/>
      </c>
      <c r="K515" s="568" t="str">
        <f>IF(op!K403="","",op!K403)</f>
        <v/>
      </c>
      <c r="L515" s="569" t="str">
        <f>IF(op!L403="","",op!L403)</f>
        <v/>
      </c>
      <c r="M515" s="570" t="str">
        <f t="shared" si="147"/>
        <v/>
      </c>
      <c r="N515" s="155"/>
      <c r="O515" s="571" t="str">
        <f>IF(I515="","",VLOOKUP(I515,tab!$A$119:$V$159,J515+3,FALSE))</f>
        <v/>
      </c>
      <c r="P515" s="572">
        <f t="shared" si="141"/>
        <v>0</v>
      </c>
      <c r="Q515" s="589">
        <f t="shared" si="138"/>
        <v>0.6</v>
      </c>
      <c r="R515" s="573">
        <f t="shared" si="139"/>
        <v>0</v>
      </c>
      <c r="S515" s="332">
        <f>IF(L515="",0,O515*12*L515*(1+tab!$D$108)*tab!$E$110)</f>
        <v>0</v>
      </c>
      <c r="T515" s="580">
        <f t="shared" si="140"/>
        <v>0</v>
      </c>
      <c r="U515" s="243">
        <f t="shared" si="131"/>
        <v>0</v>
      </c>
      <c r="V515" s="332">
        <f t="shared" si="142"/>
        <v>0</v>
      </c>
      <c r="W515" s="136"/>
      <c r="Z515" s="647" t="e">
        <f t="shared" si="143"/>
        <v>#VALUE!</v>
      </c>
      <c r="AA515" s="647" t="e">
        <f t="shared" si="144"/>
        <v>#VALUE!</v>
      </c>
      <c r="AB515" s="67">
        <f t="shared" si="145"/>
        <v>30</v>
      </c>
      <c r="AC515" s="67">
        <f t="shared" si="136"/>
        <v>30</v>
      </c>
      <c r="AD515" s="84">
        <f t="shared" si="146"/>
        <v>0</v>
      </c>
    </row>
    <row r="516" spans="3:30">
      <c r="C516" s="131"/>
      <c r="D516" s="169" t="str">
        <f>IF(op!D404=0,"",op!D404)</f>
        <v/>
      </c>
      <c r="E516" s="169" t="str">
        <f>IF(op!E404=0,"",op!E404)</f>
        <v/>
      </c>
      <c r="F516" s="169" t="str">
        <f>IF(op!F404=0,"",op!F404)</f>
        <v/>
      </c>
      <c r="G516" s="170" t="str">
        <f>IF(op!G404="","",op!G404+1)</f>
        <v/>
      </c>
      <c r="H516" s="566" t="str">
        <f>IF(op!H404="","",op!H404)</f>
        <v/>
      </c>
      <c r="I516" s="170" t="str">
        <f>IF(op!I404=0,"",op!I404)</f>
        <v/>
      </c>
      <c r="J516" s="567" t="str">
        <f>IF(E516="","",IF(op!J404&gt;LOOKUP(I516,schaal2011,regels2011),J404-1,IF(op!J404=LOOKUP(I516,schaal2011,regels2011),op!J404,J404+1)))</f>
        <v/>
      </c>
      <c r="K516" s="568" t="str">
        <f>IF(op!K404="","",op!K404)</f>
        <v/>
      </c>
      <c r="L516" s="569" t="str">
        <f>IF(op!L404="","",op!L404)</f>
        <v/>
      </c>
      <c r="M516" s="570" t="str">
        <f t="shared" si="147"/>
        <v/>
      </c>
      <c r="N516" s="155"/>
      <c r="O516" s="571" t="str">
        <f>IF(I516="","",VLOOKUP(I516,tab!$A$119:$V$159,J516+3,FALSE))</f>
        <v/>
      </c>
      <c r="P516" s="572">
        <f t="shared" si="141"/>
        <v>0</v>
      </c>
      <c r="Q516" s="589">
        <f t="shared" si="138"/>
        <v>0.6</v>
      </c>
      <c r="R516" s="573">
        <f t="shared" si="139"/>
        <v>0</v>
      </c>
      <c r="S516" s="332">
        <f>IF(L516="",0,O516*12*L516*(1+tab!$D$108)*tab!$E$110)</f>
        <v>0</v>
      </c>
      <c r="T516" s="580">
        <f t="shared" si="140"/>
        <v>0</v>
      </c>
      <c r="U516" s="243">
        <f t="shared" si="131"/>
        <v>0</v>
      </c>
      <c r="V516" s="332">
        <f t="shared" si="142"/>
        <v>0</v>
      </c>
      <c r="W516" s="136"/>
      <c r="Z516" s="647" t="e">
        <f t="shared" si="143"/>
        <v>#VALUE!</v>
      </c>
      <c r="AA516" s="647" t="e">
        <f t="shared" si="144"/>
        <v>#VALUE!</v>
      </c>
      <c r="AB516" s="67">
        <f t="shared" si="145"/>
        <v>30</v>
      </c>
      <c r="AC516" s="67">
        <f t="shared" si="136"/>
        <v>30</v>
      </c>
      <c r="AD516" s="84">
        <f t="shared" si="146"/>
        <v>0</v>
      </c>
    </row>
    <row r="517" spans="3:30">
      <c r="C517" s="131"/>
      <c r="D517" s="169" t="str">
        <f>IF(op!D405=0,"",op!D405)</f>
        <v/>
      </c>
      <c r="E517" s="169" t="str">
        <f>IF(op!E405=0,"",op!E405)</f>
        <v/>
      </c>
      <c r="F517" s="169" t="str">
        <f>IF(op!F405=0,"",op!F405)</f>
        <v/>
      </c>
      <c r="G517" s="170" t="str">
        <f>IF(op!G405="","",op!G405+1)</f>
        <v/>
      </c>
      <c r="H517" s="566" t="str">
        <f>IF(op!H405="","",op!H405)</f>
        <v/>
      </c>
      <c r="I517" s="170" t="str">
        <f>IF(op!I405=0,"",op!I405)</f>
        <v/>
      </c>
      <c r="J517" s="567" t="str">
        <f>IF(E517="","",IF(op!J405&gt;LOOKUP(I517,schaal2011,regels2011),J405-1,IF(op!J405=LOOKUP(I517,schaal2011,regels2011),op!J405,J405+1)))</f>
        <v/>
      </c>
      <c r="K517" s="568" t="str">
        <f>IF(op!K405="","",op!K405)</f>
        <v/>
      </c>
      <c r="L517" s="569" t="str">
        <f>IF(op!L405="","",op!L405)</f>
        <v/>
      </c>
      <c r="M517" s="570" t="str">
        <f t="shared" si="147"/>
        <v/>
      </c>
      <c r="N517" s="155"/>
      <c r="O517" s="571" t="str">
        <f>IF(I517="","",VLOOKUP(I517,tab!$A$119:$V$159,J517+3,FALSE))</f>
        <v/>
      </c>
      <c r="P517" s="572">
        <f t="shared" si="141"/>
        <v>0</v>
      </c>
      <c r="Q517" s="589">
        <f t="shared" si="138"/>
        <v>0.6</v>
      </c>
      <c r="R517" s="573">
        <f t="shared" si="139"/>
        <v>0</v>
      </c>
      <c r="S517" s="332">
        <f>IF(L517="",0,O517*12*L517*(1+tab!$D$108)*tab!$E$110)</f>
        <v>0</v>
      </c>
      <c r="T517" s="580">
        <f t="shared" si="140"/>
        <v>0</v>
      </c>
      <c r="U517" s="243">
        <f t="shared" si="131"/>
        <v>0</v>
      </c>
      <c r="V517" s="332">
        <f t="shared" si="142"/>
        <v>0</v>
      </c>
      <c r="W517" s="136"/>
      <c r="Z517" s="647" t="e">
        <f t="shared" si="143"/>
        <v>#VALUE!</v>
      </c>
      <c r="AA517" s="647" t="e">
        <f t="shared" si="144"/>
        <v>#VALUE!</v>
      </c>
      <c r="AB517" s="67">
        <f t="shared" si="145"/>
        <v>30</v>
      </c>
      <c r="AC517" s="67">
        <f t="shared" si="136"/>
        <v>30</v>
      </c>
      <c r="AD517" s="84">
        <f t="shared" si="146"/>
        <v>0</v>
      </c>
    </row>
    <row r="518" spans="3:30">
      <c r="C518" s="131"/>
      <c r="D518" s="169" t="str">
        <f>IF(op!D406=0,"",op!D406)</f>
        <v/>
      </c>
      <c r="E518" s="169" t="str">
        <f>IF(op!E406=0,"",op!E406)</f>
        <v/>
      </c>
      <c r="F518" s="169" t="str">
        <f>IF(op!F406=0,"",op!F406)</f>
        <v/>
      </c>
      <c r="G518" s="170" t="str">
        <f>IF(op!G406="","",op!G406+1)</f>
        <v/>
      </c>
      <c r="H518" s="566" t="str">
        <f>IF(op!H406="","",op!H406)</f>
        <v/>
      </c>
      <c r="I518" s="170" t="str">
        <f>IF(op!I406=0,"",op!I406)</f>
        <v/>
      </c>
      <c r="J518" s="567" t="str">
        <f>IF(E518="","",IF(op!J406&gt;LOOKUP(I518,schaal2011,regels2011),J406-1,IF(op!J406=LOOKUP(I518,schaal2011,regels2011),op!J406,J406+1)))</f>
        <v/>
      </c>
      <c r="K518" s="568" t="str">
        <f>IF(op!K406="","",op!K406)</f>
        <v/>
      </c>
      <c r="L518" s="569" t="str">
        <f>IF(op!L406="","",op!L406)</f>
        <v/>
      </c>
      <c r="M518" s="570" t="str">
        <f t="shared" si="147"/>
        <v/>
      </c>
      <c r="N518" s="155"/>
      <c r="O518" s="571" t="str">
        <f>IF(I518="","",VLOOKUP(I518,tab!$A$119:$V$159,J518+3,FALSE))</f>
        <v/>
      </c>
      <c r="P518" s="572">
        <f t="shared" si="141"/>
        <v>0</v>
      </c>
      <c r="Q518" s="589">
        <f t="shared" si="138"/>
        <v>0.6</v>
      </c>
      <c r="R518" s="573">
        <f t="shared" si="139"/>
        <v>0</v>
      </c>
      <c r="S518" s="332">
        <f>IF(L518="",0,O518*12*L518*(1+tab!$D$108)*tab!$E$110)</f>
        <v>0</v>
      </c>
      <c r="T518" s="580">
        <f t="shared" si="140"/>
        <v>0</v>
      </c>
      <c r="U518" s="243">
        <f t="shared" si="131"/>
        <v>0</v>
      </c>
      <c r="V518" s="332">
        <f t="shared" si="142"/>
        <v>0</v>
      </c>
      <c r="W518" s="136"/>
      <c r="Z518" s="647" t="e">
        <f t="shared" si="143"/>
        <v>#VALUE!</v>
      </c>
      <c r="AA518" s="647" t="e">
        <f t="shared" si="144"/>
        <v>#VALUE!</v>
      </c>
      <c r="AB518" s="67">
        <f t="shared" si="145"/>
        <v>30</v>
      </c>
      <c r="AC518" s="67">
        <f t="shared" si="136"/>
        <v>30</v>
      </c>
      <c r="AD518" s="84">
        <f t="shared" si="146"/>
        <v>0</v>
      </c>
    </row>
    <row r="519" spans="3:30">
      <c r="C519" s="131"/>
      <c r="D519" s="169" t="str">
        <f>IF(op!D407=0,"",op!D407)</f>
        <v/>
      </c>
      <c r="E519" s="169" t="str">
        <f>IF(op!E407=0,"",op!E407)</f>
        <v/>
      </c>
      <c r="F519" s="169" t="str">
        <f>IF(op!F407=0,"",op!F407)</f>
        <v/>
      </c>
      <c r="G519" s="170" t="str">
        <f>IF(op!G407="","",op!G407+1)</f>
        <v/>
      </c>
      <c r="H519" s="566" t="str">
        <f>IF(op!H407="","",op!H407)</f>
        <v/>
      </c>
      <c r="I519" s="170" t="str">
        <f>IF(op!I407=0,"",op!I407)</f>
        <v/>
      </c>
      <c r="J519" s="567" t="str">
        <f>IF(E519="","",IF(op!J407&gt;LOOKUP(I519,schaal2011,regels2011),J407-1,IF(op!J407=LOOKUP(I519,schaal2011,regels2011),op!J407,J407+1)))</f>
        <v/>
      </c>
      <c r="K519" s="568" t="str">
        <f>IF(op!K407="","",op!K407)</f>
        <v/>
      </c>
      <c r="L519" s="569" t="str">
        <f>IF(op!L407="","",op!L407)</f>
        <v/>
      </c>
      <c r="M519" s="570" t="str">
        <f t="shared" si="147"/>
        <v/>
      </c>
      <c r="N519" s="155"/>
      <c r="O519" s="571" t="str">
        <f>IF(I519="","",VLOOKUP(I519,tab!$A$119:$V$159,J519+3,FALSE))</f>
        <v/>
      </c>
      <c r="P519" s="572">
        <f t="shared" si="141"/>
        <v>0</v>
      </c>
      <c r="Q519" s="589">
        <f t="shared" si="138"/>
        <v>0.6</v>
      </c>
      <c r="R519" s="573">
        <f t="shared" si="139"/>
        <v>0</v>
      </c>
      <c r="S519" s="332">
        <f>IF(L519="",0,O519*12*L519*(1+tab!$D$108)*tab!$E$110)</f>
        <v>0</v>
      </c>
      <c r="T519" s="580">
        <f t="shared" si="140"/>
        <v>0</v>
      </c>
      <c r="U519" s="243">
        <f t="shared" si="131"/>
        <v>0</v>
      </c>
      <c r="V519" s="332">
        <f t="shared" si="142"/>
        <v>0</v>
      </c>
      <c r="W519" s="136"/>
      <c r="Z519" s="647" t="e">
        <f t="shared" si="143"/>
        <v>#VALUE!</v>
      </c>
      <c r="AA519" s="647" t="e">
        <f t="shared" si="144"/>
        <v>#VALUE!</v>
      </c>
      <c r="AB519" s="67">
        <f t="shared" si="145"/>
        <v>30</v>
      </c>
      <c r="AC519" s="67">
        <f t="shared" si="136"/>
        <v>30</v>
      </c>
      <c r="AD519" s="84">
        <f t="shared" si="146"/>
        <v>0</v>
      </c>
    </row>
    <row r="520" spans="3:30">
      <c r="C520" s="131"/>
      <c r="D520" s="169" t="str">
        <f>IF(op!D408=0,"",op!D408)</f>
        <v/>
      </c>
      <c r="E520" s="169" t="str">
        <f>IF(op!E408=0,"",op!E408)</f>
        <v/>
      </c>
      <c r="F520" s="169" t="str">
        <f>IF(op!F408=0,"",op!F408)</f>
        <v/>
      </c>
      <c r="G520" s="170" t="str">
        <f>IF(op!G408="","",op!G408+1)</f>
        <v/>
      </c>
      <c r="H520" s="566" t="str">
        <f>IF(op!H408="","",op!H408)</f>
        <v/>
      </c>
      <c r="I520" s="170" t="str">
        <f>IF(op!I408=0,"",op!I408)</f>
        <v/>
      </c>
      <c r="J520" s="567" t="str">
        <f>IF(E520="","",IF(op!J408&gt;LOOKUP(I520,schaal2011,regels2011),J408-1,IF(op!J408=LOOKUP(I520,schaal2011,regels2011),op!J408,J408+1)))</f>
        <v/>
      </c>
      <c r="K520" s="568" t="str">
        <f>IF(op!K408="","",op!K408)</f>
        <v/>
      </c>
      <c r="L520" s="569" t="str">
        <f>IF(op!L408="","",op!L408)</f>
        <v/>
      </c>
      <c r="M520" s="570" t="str">
        <f t="shared" si="147"/>
        <v/>
      </c>
      <c r="N520" s="155"/>
      <c r="O520" s="571" t="str">
        <f>IF(I520="","",VLOOKUP(I520,tab!$A$119:$V$159,J520+3,FALSE))</f>
        <v/>
      </c>
      <c r="P520" s="572">
        <f t="shared" si="141"/>
        <v>0</v>
      </c>
      <c r="Q520" s="589">
        <f t="shared" si="138"/>
        <v>0.6</v>
      </c>
      <c r="R520" s="573">
        <f t="shared" si="139"/>
        <v>0</v>
      </c>
      <c r="S520" s="332">
        <f>IF(L520="",0,O520*12*L520*(1+tab!$D$108)*tab!$E$110)</f>
        <v>0</v>
      </c>
      <c r="T520" s="580">
        <f t="shared" si="140"/>
        <v>0</v>
      </c>
      <c r="U520" s="243">
        <f t="shared" si="131"/>
        <v>0</v>
      </c>
      <c r="V520" s="332">
        <f t="shared" si="142"/>
        <v>0</v>
      </c>
      <c r="W520" s="136"/>
      <c r="Z520" s="647" t="e">
        <f t="shared" si="143"/>
        <v>#VALUE!</v>
      </c>
      <c r="AA520" s="647" t="e">
        <f t="shared" si="144"/>
        <v>#VALUE!</v>
      </c>
      <c r="AB520" s="67">
        <f t="shared" si="145"/>
        <v>30</v>
      </c>
      <c r="AC520" s="67">
        <f t="shared" si="136"/>
        <v>30</v>
      </c>
      <c r="AD520" s="84">
        <f t="shared" si="146"/>
        <v>0</v>
      </c>
    </row>
    <row r="521" spans="3:30">
      <c r="C521" s="131"/>
      <c r="D521" s="169" t="str">
        <f>IF(op!D409=0,"",op!D409)</f>
        <v/>
      </c>
      <c r="E521" s="169" t="str">
        <f>IF(op!E409=0,"",op!E409)</f>
        <v/>
      </c>
      <c r="F521" s="169" t="str">
        <f>IF(op!F409=0,"",op!F409)</f>
        <v/>
      </c>
      <c r="G521" s="170" t="str">
        <f>IF(op!G409="","",op!G409+1)</f>
        <v/>
      </c>
      <c r="H521" s="566" t="str">
        <f>IF(op!H409="","",op!H409)</f>
        <v/>
      </c>
      <c r="I521" s="170" t="str">
        <f>IF(op!I409=0,"",op!I409)</f>
        <v/>
      </c>
      <c r="J521" s="567" t="str">
        <f>IF(E521="","",IF(op!J409&gt;LOOKUP(I521,schaal2011,regels2011),J409-1,IF(op!J409=LOOKUP(I521,schaal2011,regels2011),op!J409,J409+1)))</f>
        <v/>
      </c>
      <c r="K521" s="568" t="str">
        <f>IF(op!K409="","",op!K409)</f>
        <v/>
      </c>
      <c r="L521" s="569" t="str">
        <f>IF(op!L409="","",op!L409)</f>
        <v/>
      </c>
      <c r="M521" s="570" t="str">
        <f t="shared" si="147"/>
        <v/>
      </c>
      <c r="N521" s="155"/>
      <c r="O521" s="571" t="str">
        <f>IF(I521="","",VLOOKUP(I521,tab!$A$119:$V$159,J521+3,FALSE))</f>
        <v/>
      </c>
      <c r="P521" s="572">
        <f t="shared" si="141"/>
        <v>0</v>
      </c>
      <c r="Q521" s="589">
        <f t="shared" si="138"/>
        <v>0.6</v>
      </c>
      <c r="R521" s="573">
        <f t="shared" si="139"/>
        <v>0</v>
      </c>
      <c r="S521" s="332">
        <f>IF(L521="",0,O521*12*L521*(1+tab!$D$108)*tab!$E$110)</f>
        <v>0</v>
      </c>
      <c r="T521" s="580">
        <f t="shared" si="140"/>
        <v>0</v>
      </c>
      <c r="U521" s="243">
        <f t="shared" si="131"/>
        <v>0</v>
      </c>
      <c r="V521" s="332">
        <f t="shared" si="142"/>
        <v>0</v>
      </c>
      <c r="W521" s="136"/>
      <c r="Z521" s="647" t="e">
        <f t="shared" si="143"/>
        <v>#VALUE!</v>
      </c>
      <c r="AA521" s="647" t="e">
        <f t="shared" si="144"/>
        <v>#VALUE!</v>
      </c>
      <c r="AB521" s="67">
        <f t="shared" si="145"/>
        <v>30</v>
      </c>
      <c r="AC521" s="67">
        <f t="shared" si="136"/>
        <v>30</v>
      </c>
      <c r="AD521" s="84">
        <f t="shared" si="146"/>
        <v>0</v>
      </c>
    </row>
    <row r="522" spans="3:30">
      <c r="C522" s="131"/>
      <c r="D522" s="169" t="str">
        <f>IF(op!D410=0,"",op!D410)</f>
        <v/>
      </c>
      <c r="E522" s="169" t="str">
        <f>IF(op!E410=0,"",op!E410)</f>
        <v/>
      </c>
      <c r="F522" s="169" t="str">
        <f>IF(op!F410=0,"",op!F410)</f>
        <v/>
      </c>
      <c r="G522" s="170" t="str">
        <f>IF(op!G410="","",op!G410+1)</f>
        <v/>
      </c>
      <c r="H522" s="566" t="str">
        <f>IF(op!H410="","",op!H410)</f>
        <v/>
      </c>
      <c r="I522" s="170" t="str">
        <f>IF(op!I410=0,"",op!I410)</f>
        <v/>
      </c>
      <c r="J522" s="567" t="str">
        <f>IF(E522="","",IF(op!J410&gt;LOOKUP(I522,schaal2011,regels2011),J410-1,IF(op!J410=LOOKUP(I522,schaal2011,regels2011),op!J410,J410+1)))</f>
        <v/>
      </c>
      <c r="K522" s="568" t="str">
        <f>IF(op!K410="","",op!K410)</f>
        <v/>
      </c>
      <c r="L522" s="569" t="str">
        <f>IF(op!L410="","",op!L410)</f>
        <v/>
      </c>
      <c r="M522" s="570" t="str">
        <f t="shared" si="147"/>
        <v/>
      </c>
      <c r="N522" s="155"/>
      <c r="O522" s="571" t="str">
        <f>IF(I522="","",VLOOKUP(I522,tab!$A$119:$V$159,J522+3,FALSE))</f>
        <v/>
      </c>
      <c r="P522" s="572">
        <f t="shared" si="141"/>
        <v>0</v>
      </c>
      <c r="Q522" s="589">
        <f t="shared" si="138"/>
        <v>0.6</v>
      </c>
      <c r="R522" s="573">
        <f t="shared" si="139"/>
        <v>0</v>
      </c>
      <c r="S522" s="332">
        <f>IF(L522="",0,O522*12*L522*(1+tab!$D$108)*tab!$E$110)</f>
        <v>0</v>
      </c>
      <c r="T522" s="580">
        <f t="shared" si="140"/>
        <v>0</v>
      </c>
      <c r="U522" s="243">
        <f t="shared" si="131"/>
        <v>0</v>
      </c>
      <c r="V522" s="332">
        <f t="shared" si="142"/>
        <v>0</v>
      </c>
      <c r="W522" s="136"/>
      <c r="Z522" s="647" t="e">
        <f t="shared" si="143"/>
        <v>#VALUE!</v>
      </c>
      <c r="AA522" s="647" t="e">
        <f t="shared" si="144"/>
        <v>#VALUE!</v>
      </c>
      <c r="AB522" s="67">
        <f t="shared" si="145"/>
        <v>30</v>
      </c>
      <c r="AC522" s="67">
        <f t="shared" si="136"/>
        <v>30</v>
      </c>
      <c r="AD522" s="84">
        <f t="shared" si="146"/>
        <v>0</v>
      </c>
    </row>
    <row r="523" spans="3:30">
      <c r="C523" s="131"/>
      <c r="D523" s="169" t="str">
        <f>IF(op!D411=0,"",op!D411)</f>
        <v/>
      </c>
      <c r="E523" s="169" t="str">
        <f>IF(op!E411=0,"",op!E411)</f>
        <v/>
      </c>
      <c r="F523" s="169" t="str">
        <f>IF(op!F411=0,"",op!F411)</f>
        <v/>
      </c>
      <c r="G523" s="170" t="str">
        <f>IF(op!G411="","",op!G411+1)</f>
        <v/>
      </c>
      <c r="H523" s="566" t="str">
        <f>IF(op!H411="","",op!H411)</f>
        <v/>
      </c>
      <c r="I523" s="170" t="str">
        <f>IF(op!I411=0,"",op!I411)</f>
        <v/>
      </c>
      <c r="J523" s="567" t="str">
        <f>IF(E523="","",IF(op!J411&gt;LOOKUP(I523,schaal2011,regels2011),J411-1,IF(op!J411=LOOKUP(I523,schaal2011,regels2011),op!J411,J411+1)))</f>
        <v/>
      </c>
      <c r="K523" s="568" t="str">
        <f>IF(op!K411="","",op!K411)</f>
        <v/>
      </c>
      <c r="L523" s="569" t="str">
        <f>IF(op!L411="","",op!L411)</f>
        <v/>
      </c>
      <c r="M523" s="570" t="str">
        <f t="shared" si="147"/>
        <v/>
      </c>
      <c r="N523" s="155"/>
      <c r="O523" s="571" t="str">
        <f>IF(I523="","",VLOOKUP(I523,tab!$A$119:$V$159,J523+3,FALSE))</f>
        <v/>
      </c>
      <c r="P523" s="572">
        <f t="shared" si="141"/>
        <v>0</v>
      </c>
      <c r="Q523" s="589">
        <f t="shared" si="138"/>
        <v>0.6</v>
      </c>
      <c r="R523" s="573">
        <f t="shared" si="139"/>
        <v>0</v>
      </c>
      <c r="S523" s="332">
        <f>IF(L523="",0,O523*12*L523*(1+tab!$D$108)*tab!$E$110)</f>
        <v>0</v>
      </c>
      <c r="T523" s="580">
        <f t="shared" si="140"/>
        <v>0</v>
      </c>
      <c r="U523" s="243">
        <f t="shared" si="131"/>
        <v>0</v>
      </c>
      <c r="V523" s="332">
        <f t="shared" si="142"/>
        <v>0</v>
      </c>
      <c r="W523" s="136"/>
      <c r="Z523" s="647" t="e">
        <f t="shared" si="143"/>
        <v>#VALUE!</v>
      </c>
      <c r="AA523" s="647" t="e">
        <f t="shared" si="144"/>
        <v>#VALUE!</v>
      </c>
      <c r="AB523" s="67">
        <f t="shared" si="145"/>
        <v>30</v>
      </c>
      <c r="AC523" s="67">
        <f t="shared" si="136"/>
        <v>30</v>
      </c>
      <c r="AD523" s="84">
        <f t="shared" si="146"/>
        <v>0</v>
      </c>
    </row>
    <row r="524" spans="3:30">
      <c r="C524" s="131"/>
      <c r="D524" s="169" t="str">
        <f>IF(op!D412=0,"",op!D412)</f>
        <v/>
      </c>
      <c r="E524" s="169" t="str">
        <f>IF(op!E412=0,"",op!E412)</f>
        <v/>
      </c>
      <c r="F524" s="169" t="str">
        <f>IF(op!F412=0,"",op!F412)</f>
        <v/>
      </c>
      <c r="G524" s="170" t="str">
        <f>IF(op!G412="","",op!G412+1)</f>
        <v/>
      </c>
      <c r="H524" s="566" t="str">
        <f>IF(op!H412="","",op!H412)</f>
        <v/>
      </c>
      <c r="I524" s="170" t="str">
        <f>IF(op!I412=0,"",op!I412)</f>
        <v/>
      </c>
      <c r="J524" s="567" t="str">
        <f>IF(E524="","",IF(op!J412&gt;LOOKUP(I524,schaal2011,regels2011),J412-1,IF(op!J412=LOOKUP(I524,schaal2011,regels2011),op!J412,J412+1)))</f>
        <v/>
      </c>
      <c r="K524" s="568" t="str">
        <f>IF(op!K412="","",op!K412)</f>
        <v/>
      </c>
      <c r="L524" s="569" t="str">
        <f>IF(op!L412="","",op!L412)</f>
        <v/>
      </c>
      <c r="M524" s="570" t="str">
        <f t="shared" si="147"/>
        <v/>
      </c>
      <c r="N524" s="155"/>
      <c r="O524" s="571" t="str">
        <f>IF(I524="","",VLOOKUP(I524,tab!$A$119:$V$159,J524+3,FALSE))</f>
        <v/>
      </c>
      <c r="P524" s="572">
        <f t="shared" si="141"/>
        <v>0</v>
      </c>
      <c r="Q524" s="589">
        <f t="shared" si="138"/>
        <v>0.6</v>
      </c>
      <c r="R524" s="573">
        <f t="shared" si="139"/>
        <v>0</v>
      </c>
      <c r="S524" s="332">
        <f>IF(L524="",0,O524*12*L524*(1+tab!$D$108)*tab!$E$110)</f>
        <v>0</v>
      </c>
      <c r="T524" s="580">
        <f t="shared" si="140"/>
        <v>0</v>
      </c>
      <c r="U524" s="243">
        <f t="shared" si="131"/>
        <v>0</v>
      </c>
      <c r="V524" s="332">
        <f t="shared" si="142"/>
        <v>0</v>
      </c>
      <c r="W524" s="136"/>
      <c r="Z524" s="647" t="e">
        <f t="shared" si="143"/>
        <v>#VALUE!</v>
      </c>
      <c r="AA524" s="647" t="e">
        <f t="shared" si="144"/>
        <v>#VALUE!</v>
      </c>
      <c r="AB524" s="67">
        <f t="shared" si="145"/>
        <v>30</v>
      </c>
      <c r="AC524" s="67">
        <f t="shared" si="136"/>
        <v>30</v>
      </c>
      <c r="AD524" s="84">
        <f t="shared" si="146"/>
        <v>0</v>
      </c>
    </row>
    <row r="525" spans="3:30">
      <c r="C525" s="131"/>
      <c r="D525" s="169" t="str">
        <f>IF(op!D413=0,"",op!D413)</f>
        <v/>
      </c>
      <c r="E525" s="169" t="str">
        <f>IF(op!E413=0,"",op!E413)</f>
        <v/>
      </c>
      <c r="F525" s="169" t="str">
        <f>IF(op!F413=0,"",op!F413)</f>
        <v/>
      </c>
      <c r="G525" s="170" t="str">
        <f>IF(op!G413="","",op!G413+1)</f>
        <v/>
      </c>
      <c r="H525" s="566" t="str">
        <f>IF(op!H413="","",op!H413)</f>
        <v/>
      </c>
      <c r="I525" s="170" t="str">
        <f>IF(op!I413=0,"",op!I413)</f>
        <v/>
      </c>
      <c r="J525" s="567" t="str">
        <f>IF(E525="","",IF(op!J413&gt;LOOKUP(I525,schaal2011,regels2011),J413-1,IF(op!J413=LOOKUP(I525,schaal2011,regels2011),op!J413,J413+1)))</f>
        <v/>
      </c>
      <c r="K525" s="568" t="str">
        <f>IF(op!K413="","",op!K413)</f>
        <v/>
      </c>
      <c r="L525" s="569" t="str">
        <f>IF(op!L413="","",op!L413)</f>
        <v/>
      </c>
      <c r="M525" s="570" t="str">
        <f t="shared" si="147"/>
        <v/>
      </c>
      <c r="N525" s="155"/>
      <c r="O525" s="571" t="str">
        <f>IF(I525="","",VLOOKUP(I525,tab!$A$119:$V$159,J525+3,FALSE))</f>
        <v/>
      </c>
      <c r="P525" s="572">
        <f t="shared" si="141"/>
        <v>0</v>
      </c>
      <c r="Q525" s="589">
        <f t="shared" si="138"/>
        <v>0.6</v>
      </c>
      <c r="R525" s="573">
        <f t="shared" si="139"/>
        <v>0</v>
      </c>
      <c r="S525" s="332">
        <f>IF(L525="",0,O525*12*L525*(1+tab!$D$108)*tab!$E$110)</f>
        <v>0</v>
      </c>
      <c r="T525" s="580">
        <f t="shared" si="140"/>
        <v>0</v>
      </c>
      <c r="U525" s="243">
        <f t="shared" si="131"/>
        <v>0</v>
      </c>
      <c r="V525" s="332">
        <f t="shared" si="142"/>
        <v>0</v>
      </c>
      <c r="W525" s="136"/>
      <c r="Z525" s="647" t="e">
        <f t="shared" si="143"/>
        <v>#VALUE!</v>
      </c>
      <c r="AA525" s="647" t="e">
        <f t="shared" si="144"/>
        <v>#VALUE!</v>
      </c>
      <c r="AB525" s="67">
        <f t="shared" si="145"/>
        <v>30</v>
      </c>
      <c r="AC525" s="67">
        <f t="shared" si="136"/>
        <v>30</v>
      </c>
      <c r="AD525" s="84">
        <f t="shared" si="146"/>
        <v>0</v>
      </c>
    </row>
    <row r="526" spans="3:30">
      <c r="C526" s="131"/>
      <c r="D526" s="169" t="str">
        <f>IF(op!D414=0,"",op!D414)</f>
        <v/>
      </c>
      <c r="E526" s="169" t="str">
        <f>IF(op!E414=0,"",op!E414)</f>
        <v/>
      </c>
      <c r="F526" s="169" t="str">
        <f>IF(op!F414=0,"",op!F414)</f>
        <v/>
      </c>
      <c r="G526" s="170" t="str">
        <f>IF(op!G414="","",op!G414+1)</f>
        <v/>
      </c>
      <c r="H526" s="566" t="str">
        <f>IF(op!H414="","",op!H414)</f>
        <v/>
      </c>
      <c r="I526" s="170" t="str">
        <f>IF(op!I414=0,"",op!I414)</f>
        <v/>
      </c>
      <c r="J526" s="567" t="str">
        <f>IF(E526="","",IF(op!J414&gt;LOOKUP(I526,schaal2011,regels2011),J414-1,IF(op!J414=LOOKUP(I526,schaal2011,regels2011),op!J414,J414+1)))</f>
        <v/>
      </c>
      <c r="K526" s="568" t="str">
        <f>IF(op!K414="","",op!K414)</f>
        <v/>
      </c>
      <c r="L526" s="569" t="str">
        <f>IF(op!L414="","",op!L414)</f>
        <v/>
      </c>
      <c r="M526" s="570" t="str">
        <f t="shared" si="147"/>
        <v/>
      </c>
      <c r="N526" s="155"/>
      <c r="O526" s="571" t="str">
        <f>IF(I526="","",VLOOKUP(I526,tab!$A$119:$V$159,J526+3,FALSE))</f>
        <v/>
      </c>
      <c r="P526" s="572">
        <f t="shared" si="141"/>
        <v>0</v>
      </c>
      <c r="Q526" s="589">
        <f t="shared" si="138"/>
        <v>0.6</v>
      </c>
      <c r="R526" s="573">
        <f t="shared" si="139"/>
        <v>0</v>
      </c>
      <c r="S526" s="332">
        <f>IF(L526="",0,O526*12*L526*(1+tab!$D$108)*tab!$E$110)</f>
        <v>0</v>
      </c>
      <c r="T526" s="580">
        <f t="shared" si="140"/>
        <v>0</v>
      </c>
      <c r="U526" s="243">
        <f t="shared" si="131"/>
        <v>0</v>
      </c>
      <c r="V526" s="332">
        <f t="shared" si="142"/>
        <v>0</v>
      </c>
      <c r="W526" s="136"/>
      <c r="Z526" s="647" t="e">
        <f t="shared" si="143"/>
        <v>#VALUE!</v>
      </c>
      <c r="AA526" s="647" t="e">
        <f t="shared" si="144"/>
        <v>#VALUE!</v>
      </c>
      <c r="AB526" s="67">
        <f t="shared" si="145"/>
        <v>30</v>
      </c>
      <c r="AC526" s="67">
        <f t="shared" si="136"/>
        <v>30</v>
      </c>
      <c r="AD526" s="84">
        <f t="shared" si="146"/>
        <v>0</v>
      </c>
    </row>
    <row r="527" spans="3:30">
      <c r="C527" s="131"/>
      <c r="D527" s="169" t="str">
        <f>IF(op!D415=0,"",op!D415)</f>
        <v/>
      </c>
      <c r="E527" s="169" t="str">
        <f>IF(op!E415=0,"",op!E415)</f>
        <v/>
      </c>
      <c r="F527" s="169" t="str">
        <f>IF(op!F415=0,"",op!F415)</f>
        <v/>
      </c>
      <c r="G527" s="170" t="str">
        <f>IF(op!G415="","",op!G415+1)</f>
        <v/>
      </c>
      <c r="H527" s="566" t="str">
        <f>IF(op!H415="","",op!H415)</f>
        <v/>
      </c>
      <c r="I527" s="170" t="str">
        <f>IF(op!I415=0,"",op!I415)</f>
        <v/>
      </c>
      <c r="J527" s="567" t="str">
        <f>IF(E527="","",IF(op!J415&gt;LOOKUP(I527,schaal2011,regels2011),J415-1,IF(op!J415=LOOKUP(I527,schaal2011,regels2011),op!J415,J415+1)))</f>
        <v/>
      </c>
      <c r="K527" s="568" t="str">
        <f>IF(op!K415="","",op!K415)</f>
        <v/>
      </c>
      <c r="L527" s="569" t="str">
        <f>IF(op!L415="","",op!L415)</f>
        <v/>
      </c>
      <c r="M527" s="570" t="str">
        <f t="shared" si="147"/>
        <v/>
      </c>
      <c r="N527" s="155"/>
      <c r="O527" s="571" t="str">
        <f>IF(I527="","",VLOOKUP(I527,tab!$A$119:$V$159,J527+3,FALSE))</f>
        <v/>
      </c>
      <c r="P527" s="572">
        <f t="shared" si="141"/>
        <v>0</v>
      </c>
      <c r="Q527" s="589">
        <f t="shared" si="138"/>
        <v>0.6</v>
      </c>
      <c r="R527" s="573">
        <f t="shared" si="139"/>
        <v>0</v>
      </c>
      <c r="S527" s="332">
        <f>IF(L527="",0,O527*12*L527*(1+tab!$D$108)*tab!$E$110)</f>
        <v>0</v>
      </c>
      <c r="T527" s="580">
        <f t="shared" si="140"/>
        <v>0</v>
      </c>
      <c r="U527" s="243">
        <f t="shared" si="131"/>
        <v>0</v>
      </c>
      <c r="V527" s="332">
        <f t="shared" si="142"/>
        <v>0</v>
      </c>
      <c r="W527" s="136"/>
      <c r="Z527" s="647" t="e">
        <f t="shared" si="143"/>
        <v>#VALUE!</v>
      </c>
      <c r="AA527" s="647" t="e">
        <f t="shared" si="144"/>
        <v>#VALUE!</v>
      </c>
      <c r="AB527" s="67">
        <f t="shared" si="145"/>
        <v>30</v>
      </c>
      <c r="AC527" s="67">
        <f t="shared" si="136"/>
        <v>30</v>
      </c>
      <c r="AD527" s="84">
        <f t="shared" si="146"/>
        <v>0</v>
      </c>
    </row>
    <row r="528" spans="3:30">
      <c r="C528" s="131"/>
      <c r="D528" s="169" t="str">
        <f>IF(op!D416=0,"",op!D416)</f>
        <v/>
      </c>
      <c r="E528" s="169" t="str">
        <f>IF(op!E416=0,"",op!E416)</f>
        <v/>
      </c>
      <c r="F528" s="169" t="str">
        <f>IF(op!F416=0,"",op!F416)</f>
        <v/>
      </c>
      <c r="G528" s="170" t="str">
        <f>IF(op!G416="","",op!G416+1)</f>
        <v/>
      </c>
      <c r="H528" s="566" t="str">
        <f>IF(op!H416="","",op!H416)</f>
        <v/>
      </c>
      <c r="I528" s="170" t="str">
        <f>IF(op!I416=0,"",op!I416)</f>
        <v/>
      </c>
      <c r="J528" s="567" t="str">
        <f>IF(E528="","",IF(op!J416&gt;LOOKUP(I528,schaal2011,regels2011),J416-1,IF(op!J416=LOOKUP(I528,schaal2011,regels2011),op!J416,J416+1)))</f>
        <v/>
      </c>
      <c r="K528" s="568" t="str">
        <f>IF(op!K416="","",op!K416)</f>
        <v/>
      </c>
      <c r="L528" s="569" t="str">
        <f>IF(op!L416="","",op!L416)</f>
        <v/>
      </c>
      <c r="M528" s="570" t="str">
        <f t="shared" si="147"/>
        <v/>
      </c>
      <c r="N528" s="155"/>
      <c r="O528" s="571" t="str">
        <f>IF(I528="","",VLOOKUP(I528,tab!$A$119:$V$159,J528+3,FALSE))</f>
        <v/>
      </c>
      <c r="P528" s="572">
        <f t="shared" ref="P528:P559" si="148">IF(E528="",0,(O528*M528*12))</f>
        <v>0</v>
      </c>
      <c r="Q528" s="589">
        <f t="shared" si="138"/>
        <v>0.6</v>
      </c>
      <c r="R528" s="573">
        <f t="shared" si="139"/>
        <v>0</v>
      </c>
      <c r="S528" s="332">
        <f>IF(L528="",0,O528*12*L528*(1+tab!$D$108)*tab!$E$110)</f>
        <v>0</v>
      </c>
      <c r="T528" s="580">
        <f t="shared" si="140"/>
        <v>0</v>
      </c>
      <c r="U528" s="243">
        <f t="shared" ref="U528:U563" si="149">IF(G528&lt;25,0,IF(G528=25,25,IF(G528&lt;40,0,IF(G528=40,40,IF(G528&gt;=40,0)))))</f>
        <v>0</v>
      </c>
      <c r="V528" s="332">
        <f t="shared" ref="V528:V559" si="150">IF(U528=25,(O528*1.08*(K528)/2),IF(U528=40,(O528*1.08*(K528)),IF(U528=0,0)))</f>
        <v>0</v>
      </c>
      <c r="W528" s="136"/>
      <c r="Z528" s="647" t="e">
        <f t="shared" ref="Z528:Z563" si="151">DATE(YEAR($E$345),MONTH(H528),DAY(H528))&gt;$E$345</f>
        <v>#VALUE!</v>
      </c>
      <c r="AA528" s="647" t="e">
        <f t="shared" ref="AA528:AA559" si="152">YEAR($E$345)-YEAR(H528)-Z528</f>
        <v>#VALUE!</v>
      </c>
      <c r="AB528" s="67">
        <f t="shared" ref="AB528:AB559" si="153">IF((H528=""),30,AA528)</f>
        <v>30</v>
      </c>
      <c r="AC528" s="67">
        <f t="shared" si="136"/>
        <v>30</v>
      </c>
      <c r="AD528" s="84">
        <f t="shared" ref="AD528:AD559" si="154">(AC528*(SUM(K528:K528)))</f>
        <v>0</v>
      </c>
    </row>
    <row r="529" spans="3:30">
      <c r="C529" s="131"/>
      <c r="D529" s="169" t="str">
        <f>IF(op!D417=0,"",op!D417)</f>
        <v/>
      </c>
      <c r="E529" s="169" t="str">
        <f>IF(op!E417=0,"",op!E417)</f>
        <v/>
      </c>
      <c r="F529" s="169" t="str">
        <f>IF(op!F417=0,"",op!F417)</f>
        <v/>
      </c>
      <c r="G529" s="170" t="str">
        <f>IF(op!G417="","",op!G417+1)</f>
        <v/>
      </c>
      <c r="H529" s="566" t="str">
        <f>IF(op!H417="","",op!H417)</f>
        <v/>
      </c>
      <c r="I529" s="170" t="str">
        <f>IF(op!I417=0,"",op!I417)</f>
        <v/>
      </c>
      <c r="J529" s="567" t="str">
        <f>IF(E529="","",IF(op!J417&gt;LOOKUP(I529,schaal2011,regels2011),J417-1,IF(op!J417=LOOKUP(I529,schaal2011,regels2011),op!J417,J417+1)))</f>
        <v/>
      </c>
      <c r="K529" s="568" t="str">
        <f>IF(op!K417="","",op!K417)</f>
        <v/>
      </c>
      <c r="L529" s="569" t="str">
        <f>IF(op!L417="","",op!L417)</f>
        <v/>
      </c>
      <c r="M529" s="570" t="str">
        <f t="shared" si="147"/>
        <v/>
      </c>
      <c r="N529" s="155"/>
      <c r="O529" s="571" t="str">
        <f>IF(I529="","",VLOOKUP(I529,tab!$A$119:$V$159,J529+3,FALSE))</f>
        <v/>
      </c>
      <c r="P529" s="572">
        <f t="shared" si="148"/>
        <v>0</v>
      </c>
      <c r="Q529" s="589">
        <f t="shared" ref="Q529:Q563" si="155">$Q$462</f>
        <v>0.6</v>
      </c>
      <c r="R529" s="573">
        <f t="shared" ref="R529:R563" si="156">IF(E529=0,"",(P529)*Q529)</f>
        <v>0</v>
      </c>
      <c r="S529" s="332">
        <f>IF(L529="",0,O529*12*L529*(1+tab!$D$108)*tab!$E$110)</f>
        <v>0</v>
      </c>
      <c r="T529" s="580">
        <f t="shared" ref="T529:T563" si="157">IF(E529=0,0,(P529+R529+S529))</f>
        <v>0</v>
      </c>
      <c r="U529" s="243">
        <f t="shared" si="149"/>
        <v>0</v>
      </c>
      <c r="V529" s="332">
        <f t="shared" si="150"/>
        <v>0</v>
      </c>
      <c r="W529" s="136"/>
      <c r="Z529" s="647" t="e">
        <f t="shared" si="151"/>
        <v>#VALUE!</v>
      </c>
      <c r="AA529" s="647" t="e">
        <f t="shared" si="152"/>
        <v>#VALUE!</v>
      </c>
      <c r="AB529" s="67">
        <f t="shared" si="153"/>
        <v>30</v>
      </c>
      <c r="AC529" s="67">
        <f t="shared" si="136"/>
        <v>30</v>
      </c>
      <c r="AD529" s="84">
        <f t="shared" si="154"/>
        <v>0</v>
      </c>
    </row>
    <row r="530" spans="3:30">
      <c r="C530" s="131"/>
      <c r="D530" s="169" t="str">
        <f>IF(op!D418=0,"",op!D418)</f>
        <v/>
      </c>
      <c r="E530" s="169" t="str">
        <f>IF(op!E418=0,"",op!E418)</f>
        <v/>
      </c>
      <c r="F530" s="169" t="str">
        <f>IF(op!F418=0,"",op!F418)</f>
        <v/>
      </c>
      <c r="G530" s="170" t="str">
        <f>IF(op!G418="","",op!G418+1)</f>
        <v/>
      </c>
      <c r="H530" s="566" t="str">
        <f>IF(op!H418="","",op!H418)</f>
        <v/>
      </c>
      <c r="I530" s="170" t="str">
        <f>IF(op!I418=0,"",op!I418)</f>
        <v/>
      </c>
      <c r="J530" s="567" t="str">
        <f>IF(E530="","",IF(op!J418&gt;LOOKUP(I530,schaal2011,regels2011),J418-1,IF(op!J418=LOOKUP(I530,schaal2011,regels2011),op!J418,J418+1)))</f>
        <v/>
      </c>
      <c r="K530" s="568" t="str">
        <f>IF(op!K418="","",op!K418)</f>
        <v/>
      </c>
      <c r="L530" s="569" t="str">
        <f>IF(op!L418="","",op!L418)</f>
        <v/>
      </c>
      <c r="M530" s="570" t="str">
        <f t="shared" si="147"/>
        <v/>
      </c>
      <c r="N530" s="155"/>
      <c r="O530" s="571" t="str">
        <f>IF(I530="","",VLOOKUP(I530,tab!$A$119:$V$159,J530+3,FALSE))</f>
        <v/>
      </c>
      <c r="P530" s="572">
        <f t="shared" si="148"/>
        <v>0</v>
      </c>
      <c r="Q530" s="589">
        <f t="shared" si="155"/>
        <v>0.6</v>
      </c>
      <c r="R530" s="573">
        <f t="shared" si="156"/>
        <v>0</v>
      </c>
      <c r="S530" s="332">
        <f>IF(L530="",0,O530*12*L530*(1+tab!$D$108)*tab!$E$110)</f>
        <v>0</v>
      </c>
      <c r="T530" s="580">
        <f t="shared" si="157"/>
        <v>0</v>
      </c>
      <c r="U530" s="243">
        <f t="shared" si="149"/>
        <v>0</v>
      </c>
      <c r="V530" s="332">
        <f t="shared" si="150"/>
        <v>0</v>
      </c>
      <c r="W530" s="136"/>
      <c r="Z530" s="647" t="e">
        <f t="shared" si="151"/>
        <v>#VALUE!</v>
      </c>
      <c r="AA530" s="647" t="e">
        <f t="shared" si="152"/>
        <v>#VALUE!</v>
      </c>
      <c r="AB530" s="67">
        <f t="shared" si="153"/>
        <v>30</v>
      </c>
      <c r="AC530" s="67">
        <f t="shared" si="136"/>
        <v>30</v>
      </c>
      <c r="AD530" s="84">
        <f t="shared" si="154"/>
        <v>0</v>
      </c>
    </row>
    <row r="531" spans="3:30">
      <c r="C531" s="131"/>
      <c r="D531" s="169" t="str">
        <f>IF(op!D419=0,"",op!D419)</f>
        <v/>
      </c>
      <c r="E531" s="169" t="str">
        <f>IF(op!E419=0,"",op!E419)</f>
        <v/>
      </c>
      <c r="F531" s="169" t="str">
        <f>IF(op!F419=0,"",op!F419)</f>
        <v/>
      </c>
      <c r="G531" s="170" t="str">
        <f>IF(op!G419="","",op!G419+1)</f>
        <v/>
      </c>
      <c r="H531" s="566" t="str">
        <f>IF(op!H419="","",op!H419)</f>
        <v/>
      </c>
      <c r="I531" s="170" t="str">
        <f>IF(op!I419=0,"",op!I419)</f>
        <v/>
      </c>
      <c r="J531" s="567" t="str">
        <f>IF(E531="","",IF(op!J419&gt;LOOKUP(I531,schaal2011,regels2011),J419-1,IF(op!J419=LOOKUP(I531,schaal2011,regels2011),op!J419,J419+1)))</f>
        <v/>
      </c>
      <c r="K531" s="568" t="str">
        <f>IF(op!K419="","",op!K419)</f>
        <v/>
      </c>
      <c r="L531" s="569" t="str">
        <f>IF(op!L419="","",op!L419)</f>
        <v/>
      </c>
      <c r="M531" s="570" t="str">
        <f t="shared" si="147"/>
        <v/>
      </c>
      <c r="N531" s="155"/>
      <c r="O531" s="571" t="str">
        <f>IF(I531="","",VLOOKUP(I531,tab!$A$119:$V$159,J531+3,FALSE))</f>
        <v/>
      </c>
      <c r="P531" s="572">
        <f t="shared" si="148"/>
        <v>0</v>
      </c>
      <c r="Q531" s="589">
        <f t="shared" si="155"/>
        <v>0.6</v>
      </c>
      <c r="R531" s="573">
        <f t="shared" si="156"/>
        <v>0</v>
      </c>
      <c r="S531" s="332">
        <f>IF(L531="",0,O531*12*L531*(1+tab!$D$108)*tab!$E$110)</f>
        <v>0</v>
      </c>
      <c r="T531" s="580">
        <f t="shared" si="157"/>
        <v>0</v>
      </c>
      <c r="U531" s="243">
        <f t="shared" si="149"/>
        <v>0</v>
      </c>
      <c r="V531" s="332">
        <f t="shared" si="150"/>
        <v>0</v>
      </c>
      <c r="W531" s="136"/>
      <c r="Z531" s="647" t="e">
        <f t="shared" si="151"/>
        <v>#VALUE!</v>
      </c>
      <c r="AA531" s="647" t="e">
        <f t="shared" si="152"/>
        <v>#VALUE!</v>
      </c>
      <c r="AB531" s="67">
        <f t="shared" si="153"/>
        <v>30</v>
      </c>
      <c r="AC531" s="67">
        <f t="shared" si="136"/>
        <v>30</v>
      </c>
      <c r="AD531" s="84">
        <f t="shared" si="154"/>
        <v>0</v>
      </c>
    </row>
    <row r="532" spans="3:30">
      <c r="C532" s="131"/>
      <c r="D532" s="169" t="str">
        <f>IF(op!D420=0,"",op!D420)</f>
        <v/>
      </c>
      <c r="E532" s="169" t="str">
        <f>IF(op!E420=0,"",op!E420)</f>
        <v/>
      </c>
      <c r="F532" s="169" t="str">
        <f>IF(op!F420=0,"",op!F420)</f>
        <v/>
      </c>
      <c r="G532" s="170" t="str">
        <f>IF(op!G420="","",op!G420+1)</f>
        <v/>
      </c>
      <c r="H532" s="566" t="str">
        <f>IF(op!H420="","",op!H420)</f>
        <v/>
      </c>
      <c r="I532" s="170" t="str">
        <f>IF(op!I420=0,"",op!I420)</f>
        <v/>
      </c>
      <c r="J532" s="567" t="str">
        <f>IF(E532="","",IF(op!J420&gt;LOOKUP(I532,schaal2011,regels2011),J420-1,IF(op!J420=LOOKUP(I532,schaal2011,regels2011),op!J420,J420+1)))</f>
        <v/>
      </c>
      <c r="K532" s="568" t="str">
        <f>IF(op!K420="","",op!K420)</f>
        <v/>
      </c>
      <c r="L532" s="569" t="str">
        <f>IF(op!L420="","",op!L420)</f>
        <v/>
      </c>
      <c r="M532" s="570" t="str">
        <f t="shared" si="147"/>
        <v/>
      </c>
      <c r="N532" s="155"/>
      <c r="O532" s="571" t="str">
        <f>IF(I532="","",VLOOKUP(I532,tab!$A$119:$V$159,J532+3,FALSE))</f>
        <v/>
      </c>
      <c r="P532" s="572">
        <f t="shared" si="148"/>
        <v>0</v>
      </c>
      <c r="Q532" s="589">
        <f t="shared" si="155"/>
        <v>0.6</v>
      </c>
      <c r="R532" s="573">
        <f t="shared" si="156"/>
        <v>0</v>
      </c>
      <c r="S532" s="332">
        <f>IF(L532="",0,O532*12*L532*(1+tab!$D$108)*tab!$E$110)</f>
        <v>0</v>
      </c>
      <c r="T532" s="580">
        <f t="shared" si="157"/>
        <v>0</v>
      </c>
      <c r="U532" s="243">
        <f t="shared" si="149"/>
        <v>0</v>
      </c>
      <c r="V532" s="332">
        <f t="shared" si="150"/>
        <v>0</v>
      </c>
      <c r="W532" s="136"/>
      <c r="Z532" s="647" t="e">
        <f t="shared" si="151"/>
        <v>#VALUE!</v>
      </c>
      <c r="AA532" s="647" t="e">
        <f t="shared" si="152"/>
        <v>#VALUE!</v>
      </c>
      <c r="AB532" s="67">
        <f t="shared" si="153"/>
        <v>30</v>
      </c>
      <c r="AC532" s="67">
        <f t="shared" si="136"/>
        <v>30</v>
      </c>
      <c r="AD532" s="84">
        <f t="shared" si="154"/>
        <v>0</v>
      </c>
    </row>
    <row r="533" spans="3:30">
      <c r="C533" s="131"/>
      <c r="D533" s="169" t="str">
        <f>IF(op!D421=0,"",op!D421)</f>
        <v/>
      </c>
      <c r="E533" s="169" t="str">
        <f>IF(op!E421=0,"",op!E421)</f>
        <v/>
      </c>
      <c r="F533" s="169" t="str">
        <f>IF(op!F421=0,"",op!F421)</f>
        <v/>
      </c>
      <c r="G533" s="170" t="str">
        <f>IF(op!G421="","",op!G421+1)</f>
        <v/>
      </c>
      <c r="H533" s="566" t="str">
        <f>IF(op!H421="","",op!H421)</f>
        <v/>
      </c>
      <c r="I533" s="170" t="str">
        <f>IF(op!I421=0,"",op!I421)</f>
        <v/>
      </c>
      <c r="J533" s="567" t="str">
        <f>IF(E533="","",IF(op!J421&gt;LOOKUP(I533,schaal2011,regels2011),J421-1,IF(op!J421=LOOKUP(I533,schaal2011,regels2011),op!J421,J421+1)))</f>
        <v/>
      </c>
      <c r="K533" s="568" t="str">
        <f>IF(op!K421="","",op!K421)</f>
        <v/>
      </c>
      <c r="L533" s="569" t="str">
        <f>IF(op!L421="","",op!L421)</f>
        <v/>
      </c>
      <c r="M533" s="570" t="str">
        <f t="shared" si="147"/>
        <v/>
      </c>
      <c r="N533" s="155"/>
      <c r="O533" s="571" t="str">
        <f>IF(I533="","",VLOOKUP(I533,tab!$A$119:$V$159,J533+3,FALSE))</f>
        <v/>
      </c>
      <c r="P533" s="572">
        <f t="shared" si="148"/>
        <v>0</v>
      </c>
      <c r="Q533" s="589">
        <f t="shared" si="155"/>
        <v>0.6</v>
      </c>
      <c r="R533" s="573">
        <f t="shared" si="156"/>
        <v>0</v>
      </c>
      <c r="S533" s="332">
        <f>IF(L533="",0,O533*12*L533*(1+tab!$D$108)*tab!$E$110)</f>
        <v>0</v>
      </c>
      <c r="T533" s="580">
        <f t="shared" si="157"/>
        <v>0</v>
      </c>
      <c r="U533" s="243">
        <f t="shared" si="149"/>
        <v>0</v>
      </c>
      <c r="V533" s="332">
        <f t="shared" si="150"/>
        <v>0</v>
      </c>
      <c r="W533" s="136"/>
      <c r="Z533" s="647" t="e">
        <f t="shared" si="151"/>
        <v>#VALUE!</v>
      </c>
      <c r="AA533" s="647" t="e">
        <f t="shared" si="152"/>
        <v>#VALUE!</v>
      </c>
      <c r="AB533" s="67">
        <f t="shared" si="153"/>
        <v>30</v>
      </c>
      <c r="AC533" s="67">
        <f t="shared" si="136"/>
        <v>30</v>
      </c>
      <c r="AD533" s="84">
        <f t="shared" si="154"/>
        <v>0</v>
      </c>
    </row>
    <row r="534" spans="3:30">
      <c r="C534" s="131"/>
      <c r="D534" s="169" t="str">
        <f>IF(op!D422=0,"",op!D422)</f>
        <v/>
      </c>
      <c r="E534" s="169" t="str">
        <f>IF(op!E422=0,"",op!E422)</f>
        <v/>
      </c>
      <c r="F534" s="169" t="str">
        <f>IF(op!F422=0,"",op!F422)</f>
        <v/>
      </c>
      <c r="G534" s="170" t="str">
        <f>IF(op!G422="","",op!G422+1)</f>
        <v/>
      </c>
      <c r="H534" s="566" t="str">
        <f>IF(op!H422="","",op!H422)</f>
        <v/>
      </c>
      <c r="I534" s="170" t="str">
        <f>IF(op!I422=0,"",op!I422)</f>
        <v/>
      </c>
      <c r="J534" s="567" t="str">
        <f>IF(E534="","",IF(op!J422&gt;LOOKUP(I534,schaal2011,regels2011),J422-1,IF(op!J422=LOOKUP(I534,schaal2011,regels2011),op!J422,J422+1)))</f>
        <v/>
      </c>
      <c r="K534" s="568" t="str">
        <f>IF(op!K422="","",op!K422)</f>
        <v/>
      </c>
      <c r="L534" s="569" t="str">
        <f>IF(op!L422="","",op!L422)</f>
        <v/>
      </c>
      <c r="M534" s="570" t="str">
        <f t="shared" si="147"/>
        <v/>
      </c>
      <c r="N534" s="155"/>
      <c r="O534" s="571" t="str">
        <f>IF(I534="","",VLOOKUP(I534,tab!$A$119:$V$159,J534+3,FALSE))</f>
        <v/>
      </c>
      <c r="P534" s="572">
        <f t="shared" si="148"/>
        <v>0</v>
      </c>
      <c r="Q534" s="589">
        <f t="shared" si="155"/>
        <v>0.6</v>
      </c>
      <c r="R534" s="573">
        <f t="shared" si="156"/>
        <v>0</v>
      </c>
      <c r="S534" s="332">
        <f>IF(L534="",0,O534*12*L534*(1+tab!$D$108)*tab!$E$110)</f>
        <v>0</v>
      </c>
      <c r="T534" s="580">
        <f t="shared" si="157"/>
        <v>0</v>
      </c>
      <c r="U534" s="243">
        <f t="shared" si="149"/>
        <v>0</v>
      </c>
      <c r="V534" s="332">
        <f t="shared" si="150"/>
        <v>0</v>
      </c>
      <c r="W534" s="136"/>
      <c r="Z534" s="647" t="e">
        <f t="shared" si="151"/>
        <v>#VALUE!</v>
      </c>
      <c r="AA534" s="647" t="e">
        <f t="shared" si="152"/>
        <v>#VALUE!</v>
      </c>
      <c r="AB534" s="67">
        <f t="shared" si="153"/>
        <v>30</v>
      </c>
      <c r="AC534" s="67">
        <f t="shared" si="136"/>
        <v>30</v>
      </c>
      <c r="AD534" s="84">
        <f t="shared" si="154"/>
        <v>0</v>
      </c>
    </row>
    <row r="535" spans="3:30">
      <c r="C535" s="131"/>
      <c r="D535" s="169" t="str">
        <f>IF(op!D423=0,"",op!D423)</f>
        <v/>
      </c>
      <c r="E535" s="169" t="str">
        <f>IF(op!E423=0,"",op!E423)</f>
        <v/>
      </c>
      <c r="F535" s="169" t="str">
        <f>IF(op!F423=0,"",op!F423)</f>
        <v/>
      </c>
      <c r="G535" s="170" t="str">
        <f>IF(op!G423="","",op!G423+1)</f>
        <v/>
      </c>
      <c r="H535" s="566" t="str">
        <f>IF(op!H423="","",op!H423)</f>
        <v/>
      </c>
      <c r="I535" s="170" t="str">
        <f>IF(op!I423=0,"",op!I423)</f>
        <v/>
      </c>
      <c r="J535" s="567" t="str">
        <f>IF(E535="","",IF(op!J423&gt;LOOKUP(I535,schaal2011,regels2011),J423-1,IF(op!J423=LOOKUP(I535,schaal2011,regels2011),op!J423,J423+1)))</f>
        <v/>
      </c>
      <c r="K535" s="568" t="str">
        <f>IF(op!K423="","",op!K423)</f>
        <v/>
      </c>
      <c r="L535" s="569" t="str">
        <f>IF(op!L423="","",op!L423)</f>
        <v/>
      </c>
      <c r="M535" s="570" t="str">
        <f t="shared" si="147"/>
        <v/>
      </c>
      <c r="N535" s="155"/>
      <c r="O535" s="571" t="str">
        <f>IF(I535="","",VLOOKUP(I535,tab!$A$119:$V$159,J535+3,FALSE))</f>
        <v/>
      </c>
      <c r="P535" s="572">
        <f t="shared" si="148"/>
        <v>0</v>
      </c>
      <c r="Q535" s="589">
        <f t="shared" si="155"/>
        <v>0.6</v>
      </c>
      <c r="R535" s="573">
        <f t="shared" si="156"/>
        <v>0</v>
      </c>
      <c r="S535" s="332">
        <f>IF(L535="",0,O535*12*L535*(1+tab!$D$108)*tab!$E$110)</f>
        <v>0</v>
      </c>
      <c r="T535" s="580">
        <f t="shared" si="157"/>
        <v>0</v>
      </c>
      <c r="U535" s="243">
        <f t="shared" si="149"/>
        <v>0</v>
      </c>
      <c r="V535" s="332">
        <f t="shared" si="150"/>
        <v>0</v>
      </c>
      <c r="W535" s="136"/>
      <c r="Z535" s="647" t="e">
        <f t="shared" si="151"/>
        <v>#VALUE!</v>
      </c>
      <c r="AA535" s="647" t="e">
        <f t="shared" si="152"/>
        <v>#VALUE!</v>
      </c>
      <c r="AB535" s="67">
        <f t="shared" si="153"/>
        <v>30</v>
      </c>
      <c r="AC535" s="67">
        <f t="shared" si="136"/>
        <v>30</v>
      </c>
      <c r="AD535" s="84">
        <f t="shared" si="154"/>
        <v>0</v>
      </c>
    </row>
    <row r="536" spans="3:30">
      <c r="C536" s="131"/>
      <c r="D536" s="169" t="str">
        <f>IF(op!D424=0,"",op!D424)</f>
        <v/>
      </c>
      <c r="E536" s="169" t="str">
        <f>IF(op!E424=0,"",op!E424)</f>
        <v/>
      </c>
      <c r="F536" s="169" t="str">
        <f>IF(op!F424=0,"",op!F424)</f>
        <v/>
      </c>
      <c r="G536" s="170" t="str">
        <f>IF(op!G424="","",op!G424+1)</f>
        <v/>
      </c>
      <c r="H536" s="566" t="str">
        <f>IF(op!H424="","",op!H424)</f>
        <v/>
      </c>
      <c r="I536" s="170" t="str">
        <f>IF(op!I424=0,"",op!I424)</f>
        <v/>
      </c>
      <c r="J536" s="567" t="str">
        <f>IF(E536="","",IF(op!J424&gt;LOOKUP(I536,schaal2011,regels2011),J424-1,IF(op!J424=LOOKUP(I536,schaal2011,regels2011),op!J424,J424+1)))</f>
        <v/>
      </c>
      <c r="K536" s="568" t="str">
        <f>IF(op!K424="","",op!K424)</f>
        <v/>
      </c>
      <c r="L536" s="569" t="str">
        <f>IF(op!L424="","",op!L424)</f>
        <v/>
      </c>
      <c r="M536" s="570" t="str">
        <f t="shared" si="147"/>
        <v/>
      </c>
      <c r="N536" s="155"/>
      <c r="O536" s="571" t="str">
        <f>IF(I536="","",VLOOKUP(I536,tab!$A$119:$V$159,J536+3,FALSE))</f>
        <v/>
      </c>
      <c r="P536" s="572">
        <f t="shared" si="148"/>
        <v>0</v>
      </c>
      <c r="Q536" s="589">
        <f t="shared" si="155"/>
        <v>0.6</v>
      </c>
      <c r="R536" s="573">
        <f t="shared" si="156"/>
        <v>0</v>
      </c>
      <c r="S536" s="332">
        <f>IF(L536="",0,O536*12*L536*(1+tab!$D$108)*tab!$E$110)</f>
        <v>0</v>
      </c>
      <c r="T536" s="580">
        <f t="shared" si="157"/>
        <v>0</v>
      </c>
      <c r="U536" s="243">
        <f t="shared" si="149"/>
        <v>0</v>
      </c>
      <c r="V536" s="332">
        <f t="shared" si="150"/>
        <v>0</v>
      </c>
      <c r="W536" s="136"/>
      <c r="Z536" s="647" t="e">
        <f t="shared" si="151"/>
        <v>#VALUE!</v>
      </c>
      <c r="AA536" s="647" t="e">
        <f t="shared" si="152"/>
        <v>#VALUE!</v>
      </c>
      <c r="AB536" s="67">
        <f t="shared" si="153"/>
        <v>30</v>
      </c>
      <c r="AC536" s="67">
        <f t="shared" si="136"/>
        <v>30</v>
      </c>
      <c r="AD536" s="84">
        <f t="shared" si="154"/>
        <v>0</v>
      </c>
    </row>
    <row r="537" spans="3:30">
      <c r="C537" s="131"/>
      <c r="D537" s="169" t="str">
        <f>IF(op!D425=0,"",op!D425)</f>
        <v/>
      </c>
      <c r="E537" s="169" t="str">
        <f>IF(op!E425=0,"",op!E425)</f>
        <v/>
      </c>
      <c r="F537" s="169" t="str">
        <f>IF(op!F425=0,"",op!F425)</f>
        <v/>
      </c>
      <c r="G537" s="170" t="str">
        <f>IF(op!G425="","",op!G425+1)</f>
        <v/>
      </c>
      <c r="H537" s="566" t="str">
        <f>IF(op!H425="","",op!H425)</f>
        <v/>
      </c>
      <c r="I537" s="170" t="str">
        <f>IF(op!I425=0,"",op!I425)</f>
        <v/>
      </c>
      <c r="J537" s="567" t="str">
        <f>IF(E537="","",IF(op!J425&gt;LOOKUP(I537,schaal2011,regels2011),J425-1,IF(op!J425=LOOKUP(I537,schaal2011,regels2011),op!J425,J425+1)))</f>
        <v/>
      </c>
      <c r="K537" s="568" t="str">
        <f>IF(op!K425="","",op!K425)</f>
        <v/>
      </c>
      <c r="L537" s="569" t="str">
        <f>IF(op!L425="","",op!L425)</f>
        <v/>
      </c>
      <c r="M537" s="570" t="str">
        <f t="shared" si="147"/>
        <v/>
      </c>
      <c r="N537" s="155"/>
      <c r="O537" s="571" t="str">
        <f>IF(I537="","",VLOOKUP(I537,tab!$A$119:$V$159,J537+3,FALSE))</f>
        <v/>
      </c>
      <c r="P537" s="572">
        <f t="shared" si="148"/>
        <v>0</v>
      </c>
      <c r="Q537" s="589">
        <f t="shared" si="155"/>
        <v>0.6</v>
      </c>
      <c r="R537" s="573">
        <f t="shared" si="156"/>
        <v>0</v>
      </c>
      <c r="S537" s="332">
        <f>IF(L537="",0,O537*12*L537*(1+tab!$D$108)*tab!$E$110)</f>
        <v>0</v>
      </c>
      <c r="T537" s="580">
        <f t="shared" si="157"/>
        <v>0</v>
      </c>
      <c r="U537" s="243">
        <f t="shared" si="149"/>
        <v>0</v>
      </c>
      <c r="V537" s="332">
        <f t="shared" si="150"/>
        <v>0</v>
      </c>
      <c r="W537" s="136"/>
      <c r="Z537" s="647" t="e">
        <f t="shared" si="151"/>
        <v>#VALUE!</v>
      </c>
      <c r="AA537" s="647" t="e">
        <f t="shared" si="152"/>
        <v>#VALUE!</v>
      </c>
      <c r="AB537" s="67">
        <f t="shared" si="153"/>
        <v>30</v>
      </c>
      <c r="AC537" s="67">
        <f t="shared" si="136"/>
        <v>30</v>
      </c>
      <c r="AD537" s="84">
        <f t="shared" si="154"/>
        <v>0</v>
      </c>
    </row>
    <row r="538" spans="3:30">
      <c r="C538" s="131"/>
      <c r="D538" s="169" t="str">
        <f>IF(op!D426=0,"",op!D426)</f>
        <v/>
      </c>
      <c r="E538" s="169" t="str">
        <f>IF(op!E426=0,"",op!E426)</f>
        <v/>
      </c>
      <c r="F538" s="169" t="str">
        <f>IF(op!F426=0,"",op!F426)</f>
        <v/>
      </c>
      <c r="G538" s="170" t="str">
        <f>IF(op!G426="","",op!G426+1)</f>
        <v/>
      </c>
      <c r="H538" s="566" t="str">
        <f>IF(op!H426="","",op!H426)</f>
        <v/>
      </c>
      <c r="I538" s="170" t="str">
        <f>IF(op!I426=0,"",op!I426)</f>
        <v/>
      </c>
      <c r="J538" s="567" t="str">
        <f>IF(E538="","",IF(op!J426&gt;LOOKUP(I538,schaal2011,regels2011),J426-1,IF(op!J426=LOOKUP(I538,schaal2011,regels2011),op!J426,J426+1)))</f>
        <v/>
      </c>
      <c r="K538" s="568" t="str">
        <f>IF(op!K426="","",op!K426)</f>
        <v/>
      </c>
      <c r="L538" s="569" t="str">
        <f>IF(op!L426="","",op!L426)</f>
        <v/>
      </c>
      <c r="M538" s="570" t="str">
        <f t="shared" si="147"/>
        <v/>
      </c>
      <c r="N538" s="155"/>
      <c r="O538" s="571" t="str">
        <f>IF(I538="","",VLOOKUP(I538,tab!$A$119:$V$159,J538+3,FALSE))</f>
        <v/>
      </c>
      <c r="P538" s="572">
        <f t="shared" si="148"/>
        <v>0</v>
      </c>
      <c r="Q538" s="589">
        <f t="shared" si="155"/>
        <v>0.6</v>
      </c>
      <c r="R538" s="573">
        <f t="shared" si="156"/>
        <v>0</v>
      </c>
      <c r="S538" s="332">
        <f>IF(L538="",0,O538*12*L538*(1+tab!$D$108)*tab!$E$110)</f>
        <v>0</v>
      </c>
      <c r="T538" s="580">
        <f t="shared" si="157"/>
        <v>0</v>
      </c>
      <c r="U538" s="243">
        <f t="shared" si="149"/>
        <v>0</v>
      </c>
      <c r="V538" s="332">
        <f t="shared" si="150"/>
        <v>0</v>
      </c>
      <c r="W538" s="136"/>
      <c r="Z538" s="647" t="e">
        <f t="shared" si="151"/>
        <v>#VALUE!</v>
      </c>
      <c r="AA538" s="647" t="e">
        <f t="shared" si="152"/>
        <v>#VALUE!</v>
      </c>
      <c r="AB538" s="67">
        <f t="shared" si="153"/>
        <v>30</v>
      </c>
      <c r="AC538" s="67">
        <f t="shared" si="136"/>
        <v>30</v>
      </c>
      <c r="AD538" s="84">
        <f t="shared" si="154"/>
        <v>0</v>
      </c>
    </row>
    <row r="539" spans="3:30">
      <c r="C539" s="131"/>
      <c r="D539" s="169" t="str">
        <f>IF(op!D427=0,"",op!D427)</f>
        <v/>
      </c>
      <c r="E539" s="169" t="str">
        <f>IF(op!E427=0,"",op!E427)</f>
        <v/>
      </c>
      <c r="F539" s="169" t="str">
        <f>IF(op!F427=0,"",op!F427)</f>
        <v/>
      </c>
      <c r="G539" s="170" t="str">
        <f>IF(op!G427="","",op!G427+1)</f>
        <v/>
      </c>
      <c r="H539" s="566" t="str">
        <f>IF(op!H427="","",op!H427)</f>
        <v/>
      </c>
      <c r="I539" s="170" t="str">
        <f>IF(op!I427=0,"",op!I427)</f>
        <v/>
      </c>
      <c r="J539" s="567" t="str">
        <f>IF(E539="","",IF(op!J427&gt;LOOKUP(I539,schaal2011,regels2011),J427-1,IF(op!J427=LOOKUP(I539,schaal2011,regels2011),op!J427,J427+1)))</f>
        <v/>
      </c>
      <c r="K539" s="568" t="str">
        <f>IF(op!K427="","",op!K427)</f>
        <v/>
      </c>
      <c r="L539" s="569" t="str">
        <f>IF(op!L427="","",op!L427)</f>
        <v/>
      </c>
      <c r="M539" s="570" t="str">
        <f t="shared" si="147"/>
        <v/>
      </c>
      <c r="N539" s="155"/>
      <c r="O539" s="571" t="str">
        <f>IF(I539="","",VLOOKUP(I539,tab!$A$119:$V$159,J539+3,FALSE))</f>
        <v/>
      </c>
      <c r="P539" s="572">
        <f t="shared" si="148"/>
        <v>0</v>
      </c>
      <c r="Q539" s="589">
        <f t="shared" si="155"/>
        <v>0.6</v>
      </c>
      <c r="R539" s="573">
        <f t="shared" si="156"/>
        <v>0</v>
      </c>
      <c r="S539" s="332">
        <f>IF(L539="",0,O539*12*L539*(1+tab!$D$108)*tab!$E$110)</f>
        <v>0</v>
      </c>
      <c r="T539" s="580">
        <f t="shared" si="157"/>
        <v>0</v>
      </c>
      <c r="U539" s="243">
        <f t="shared" si="149"/>
        <v>0</v>
      </c>
      <c r="V539" s="332">
        <f t="shared" si="150"/>
        <v>0</v>
      </c>
      <c r="W539" s="136"/>
      <c r="Z539" s="647" t="e">
        <f t="shared" si="151"/>
        <v>#VALUE!</v>
      </c>
      <c r="AA539" s="647" t="e">
        <f t="shared" si="152"/>
        <v>#VALUE!</v>
      </c>
      <c r="AB539" s="67">
        <f t="shared" si="153"/>
        <v>30</v>
      </c>
      <c r="AC539" s="67">
        <f t="shared" si="136"/>
        <v>30</v>
      </c>
      <c r="AD539" s="84">
        <f t="shared" si="154"/>
        <v>0</v>
      </c>
    </row>
    <row r="540" spans="3:30">
      <c r="C540" s="131"/>
      <c r="D540" s="169" t="str">
        <f>IF(op!D428=0,"",op!D428)</f>
        <v/>
      </c>
      <c r="E540" s="169" t="str">
        <f>IF(op!E428=0,"",op!E428)</f>
        <v/>
      </c>
      <c r="F540" s="169" t="str">
        <f>IF(op!F428=0,"",op!F428)</f>
        <v/>
      </c>
      <c r="G540" s="170" t="str">
        <f>IF(op!G428="","",op!G428+1)</f>
        <v/>
      </c>
      <c r="H540" s="566" t="str">
        <f>IF(op!H428="","",op!H428)</f>
        <v/>
      </c>
      <c r="I540" s="170" t="str">
        <f>IF(op!I428=0,"",op!I428)</f>
        <v/>
      </c>
      <c r="J540" s="567" t="str">
        <f>IF(E540="","",IF(op!J428&gt;LOOKUP(I540,schaal2011,regels2011),J428-1,IF(op!J428=LOOKUP(I540,schaal2011,regels2011),op!J428,J428+1)))</f>
        <v/>
      </c>
      <c r="K540" s="568" t="str">
        <f>IF(op!K428="","",op!K428)</f>
        <v/>
      </c>
      <c r="L540" s="569" t="str">
        <f>IF(op!L428="","",op!L428)</f>
        <v/>
      </c>
      <c r="M540" s="570" t="str">
        <f t="shared" si="147"/>
        <v/>
      </c>
      <c r="N540" s="155"/>
      <c r="O540" s="571" t="str">
        <f>IF(I540="","",VLOOKUP(I540,tab!$A$119:$V$159,J540+3,FALSE))</f>
        <v/>
      </c>
      <c r="P540" s="572">
        <f t="shared" si="148"/>
        <v>0</v>
      </c>
      <c r="Q540" s="589">
        <f t="shared" si="155"/>
        <v>0.6</v>
      </c>
      <c r="R540" s="573">
        <f t="shared" si="156"/>
        <v>0</v>
      </c>
      <c r="S540" s="332">
        <f>IF(L540="",0,O540*12*L540*(1+tab!$D$108)*tab!$E$110)</f>
        <v>0</v>
      </c>
      <c r="T540" s="580">
        <f t="shared" si="157"/>
        <v>0</v>
      </c>
      <c r="U540" s="243">
        <f t="shared" si="149"/>
        <v>0</v>
      </c>
      <c r="V540" s="332">
        <f t="shared" si="150"/>
        <v>0</v>
      </c>
      <c r="W540" s="136"/>
      <c r="Z540" s="647" t="e">
        <f t="shared" si="151"/>
        <v>#VALUE!</v>
      </c>
      <c r="AA540" s="647" t="e">
        <f t="shared" si="152"/>
        <v>#VALUE!</v>
      </c>
      <c r="AB540" s="67">
        <f t="shared" si="153"/>
        <v>30</v>
      </c>
      <c r="AC540" s="67">
        <f t="shared" si="136"/>
        <v>30</v>
      </c>
      <c r="AD540" s="84">
        <f t="shared" si="154"/>
        <v>0</v>
      </c>
    </row>
    <row r="541" spans="3:30">
      <c r="C541" s="131"/>
      <c r="D541" s="169" t="str">
        <f>IF(op!D429=0,"",op!D429)</f>
        <v/>
      </c>
      <c r="E541" s="169" t="str">
        <f>IF(op!E429=0,"",op!E429)</f>
        <v/>
      </c>
      <c r="F541" s="169" t="str">
        <f>IF(op!F429=0,"",op!F429)</f>
        <v/>
      </c>
      <c r="G541" s="170" t="str">
        <f>IF(op!G429="","",op!G429+1)</f>
        <v/>
      </c>
      <c r="H541" s="566" t="str">
        <f>IF(op!H429="","",op!H429)</f>
        <v/>
      </c>
      <c r="I541" s="170" t="str">
        <f>IF(op!I429=0,"",op!I429)</f>
        <v/>
      </c>
      <c r="J541" s="567" t="str">
        <f>IF(E541="","",IF(op!J429&gt;LOOKUP(I541,schaal2011,regels2011),J429-1,IF(op!J429=LOOKUP(I541,schaal2011,regels2011),op!J429,J429+1)))</f>
        <v/>
      </c>
      <c r="K541" s="568" t="str">
        <f>IF(op!K429="","",op!K429)</f>
        <v/>
      </c>
      <c r="L541" s="569" t="str">
        <f>IF(op!L429="","",op!L429)</f>
        <v/>
      </c>
      <c r="M541" s="570" t="str">
        <f t="shared" si="147"/>
        <v/>
      </c>
      <c r="N541" s="155"/>
      <c r="O541" s="571" t="str">
        <f>IF(I541="","",VLOOKUP(I541,tab!$A$119:$V$159,J541+3,FALSE))</f>
        <v/>
      </c>
      <c r="P541" s="572">
        <f t="shared" si="148"/>
        <v>0</v>
      </c>
      <c r="Q541" s="589">
        <f t="shared" si="155"/>
        <v>0.6</v>
      </c>
      <c r="R541" s="573">
        <f t="shared" si="156"/>
        <v>0</v>
      </c>
      <c r="S541" s="332">
        <f>IF(L541="",0,O541*12*L541*(1+tab!$D$108)*tab!$E$110)</f>
        <v>0</v>
      </c>
      <c r="T541" s="580">
        <f t="shared" si="157"/>
        <v>0</v>
      </c>
      <c r="U541" s="243">
        <f t="shared" si="149"/>
        <v>0</v>
      </c>
      <c r="V541" s="332">
        <f t="shared" si="150"/>
        <v>0</v>
      </c>
      <c r="W541" s="136"/>
      <c r="Z541" s="647" t="e">
        <f t="shared" si="151"/>
        <v>#VALUE!</v>
      </c>
      <c r="AA541" s="647" t="e">
        <f t="shared" si="152"/>
        <v>#VALUE!</v>
      </c>
      <c r="AB541" s="67">
        <f t="shared" si="153"/>
        <v>30</v>
      </c>
      <c r="AC541" s="67">
        <f t="shared" si="136"/>
        <v>30</v>
      </c>
      <c r="AD541" s="84">
        <f t="shared" si="154"/>
        <v>0</v>
      </c>
    </row>
    <row r="542" spans="3:30">
      <c r="C542" s="131"/>
      <c r="D542" s="169" t="str">
        <f>IF(op!D430=0,"",op!D430)</f>
        <v/>
      </c>
      <c r="E542" s="169" t="str">
        <f>IF(op!E430=0,"",op!E430)</f>
        <v/>
      </c>
      <c r="F542" s="169" t="str">
        <f>IF(op!F430=0,"",op!F430)</f>
        <v/>
      </c>
      <c r="G542" s="170" t="str">
        <f>IF(op!G430="","",op!G430+1)</f>
        <v/>
      </c>
      <c r="H542" s="566" t="str">
        <f>IF(op!H430="","",op!H430)</f>
        <v/>
      </c>
      <c r="I542" s="170" t="str">
        <f>IF(op!I430=0,"",op!I430)</f>
        <v/>
      </c>
      <c r="J542" s="567" t="str">
        <f>IF(E542="","",IF(op!J430&gt;LOOKUP(I542,schaal2011,regels2011),J430-1,IF(op!J430=LOOKUP(I542,schaal2011,regels2011),op!J430,J430+1)))</f>
        <v/>
      </c>
      <c r="K542" s="568" t="str">
        <f>IF(op!K430="","",op!K430)</f>
        <v/>
      </c>
      <c r="L542" s="569" t="str">
        <f>IF(op!L430="","",op!L430)</f>
        <v/>
      </c>
      <c r="M542" s="570" t="str">
        <f t="shared" si="147"/>
        <v/>
      </c>
      <c r="N542" s="155"/>
      <c r="O542" s="571" t="str">
        <f>IF(I542="","",VLOOKUP(I542,tab!$A$119:$V$159,J542+3,FALSE))</f>
        <v/>
      </c>
      <c r="P542" s="572">
        <f t="shared" si="148"/>
        <v>0</v>
      </c>
      <c r="Q542" s="589">
        <f t="shared" si="155"/>
        <v>0.6</v>
      </c>
      <c r="R542" s="573">
        <f t="shared" si="156"/>
        <v>0</v>
      </c>
      <c r="S542" s="332">
        <f>IF(L542="",0,O542*12*L542*(1+tab!$D$108)*tab!$E$110)</f>
        <v>0</v>
      </c>
      <c r="T542" s="580">
        <f t="shared" si="157"/>
        <v>0</v>
      </c>
      <c r="U542" s="243">
        <f t="shared" si="149"/>
        <v>0</v>
      </c>
      <c r="V542" s="332">
        <f t="shared" si="150"/>
        <v>0</v>
      </c>
      <c r="W542" s="136"/>
      <c r="Z542" s="647" t="e">
        <f t="shared" si="151"/>
        <v>#VALUE!</v>
      </c>
      <c r="AA542" s="647" t="e">
        <f t="shared" si="152"/>
        <v>#VALUE!</v>
      </c>
      <c r="AB542" s="67">
        <f t="shared" si="153"/>
        <v>30</v>
      </c>
      <c r="AC542" s="67">
        <f t="shared" si="136"/>
        <v>30</v>
      </c>
      <c r="AD542" s="84">
        <f t="shared" si="154"/>
        <v>0</v>
      </c>
    </row>
    <row r="543" spans="3:30">
      <c r="C543" s="131"/>
      <c r="D543" s="169" t="str">
        <f>IF(op!D431=0,"",op!D431)</f>
        <v/>
      </c>
      <c r="E543" s="169" t="str">
        <f>IF(op!E431=0,"",op!E431)</f>
        <v/>
      </c>
      <c r="F543" s="169" t="str">
        <f>IF(op!F431=0,"",op!F431)</f>
        <v/>
      </c>
      <c r="G543" s="170" t="str">
        <f>IF(op!G431="","",op!G431+1)</f>
        <v/>
      </c>
      <c r="H543" s="566" t="str">
        <f>IF(op!H431="","",op!H431)</f>
        <v/>
      </c>
      <c r="I543" s="170" t="str">
        <f>IF(op!I431=0,"",op!I431)</f>
        <v/>
      </c>
      <c r="J543" s="567" t="str">
        <f>IF(E543="","",IF(op!J431&gt;LOOKUP(I543,schaal2011,regels2011),J431-1,IF(op!J431=LOOKUP(I543,schaal2011,regels2011),op!J431,J431+1)))</f>
        <v/>
      </c>
      <c r="K543" s="568" t="str">
        <f>IF(op!K431="","",op!K431)</f>
        <v/>
      </c>
      <c r="L543" s="569" t="str">
        <f>IF(op!L431="","",op!L431)</f>
        <v/>
      </c>
      <c r="M543" s="570" t="str">
        <f t="shared" si="147"/>
        <v/>
      </c>
      <c r="N543" s="155"/>
      <c r="O543" s="571" t="str">
        <f>IF(I543="","",VLOOKUP(I543,tab!$A$119:$V$159,J543+3,FALSE))</f>
        <v/>
      </c>
      <c r="P543" s="572">
        <f t="shared" si="148"/>
        <v>0</v>
      </c>
      <c r="Q543" s="589">
        <f t="shared" si="155"/>
        <v>0.6</v>
      </c>
      <c r="R543" s="573">
        <f t="shared" si="156"/>
        <v>0</v>
      </c>
      <c r="S543" s="332">
        <f>IF(L543="",0,O543*12*L543*(1+tab!$D$108)*tab!$E$110)</f>
        <v>0</v>
      </c>
      <c r="T543" s="580">
        <f t="shared" si="157"/>
        <v>0</v>
      </c>
      <c r="U543" s="243">
        <f t="shared" si="149"/>
        <v>0</v>
      </c>
      <c r="V543" s="332">
        <f t="shared" si="150"/>
        <v>0</v>
      </c>
      <c r="W543" s="136"/>
      <c r="Z543" s="647" t="e">
        <f t="shared" si="151"/>
        <v>#VALUE!</v>
      </c>
      <c r="AA543" s="647" t="e">
        <f t="shared" si="152"/>
        <v>#VALUE!</v>
      </c>
      <c r="AB543" s="67">
        <f t="shared" si="153"/>
        <v>30</v>
      </c>
      <c r="AC543" s="67">
        <f t="shared" si="136"/>
        <v>30</v>
      </c>
      <c r="AD543" s="84">
        <f t="shared" si="154"/>
        <v>0</v>
      </c>
    </row>
    <row r="544" spans="3:30">
      <c r="C544" s="131"/>
      <c r="D544" s="169" t="str">
        <f>IF(op!D432=0,"",op!D432)</f>
        <v/>
      </c>
      <c r="E544" s="169" t="str">
        <f>IF(op!E432=0,"",op!E432)</f>
        <v/>
      </c>
      <c r="F544" s="169" t="str">
        <f>IF(op!F432=0,"",op!F432)</f>
        <v/>
      </c>
      <c r="G544" s="170" t="str">
        <f>IF(op!G432="","",op!G432+1)</f>
        <v/>
      </c>
      <c r="H544" s="566" t="str">
        <f>IF(op!H432="","",op!H432)</f>
        <v/>
      </c>
      <c r="I544" s="170" t="str">
        <f>IF(op!I432=0,"",op!I432)</f>
        <v/>
      </c>
      <c r="J544" s="567" t="str">
        <f>IF(E544="","",IF(op!J432&gt;LOOKUP(I544,schaal2011,regels2011),J432-1,IF(op!J432=LOOKUP(I544,schaal2011,regels2011),op!J432,J432+1)))</f>
        <v/>
      </c>
      <c r="K544" s="568" t="str">
        <f>IF(op!K432="","",op!K432)</f>
        <v/>
      </c>
      <c r="L544" s="569" t="str">
        <f>IF(op!L432="","",op!L432)</f>
        <v/>
      </c>
      <c r="M544" s="570" t="str">
        <f t="shared" si="147"/>
        <v/>
      </c>
      <c r="N544" s="155"/>
      <c r="O544" s="571" t="str">
        <f>IF(I544="","",VLOOKUP(I544,tab!$A$119:$V$159,J544+3,FALSE))</f>
        <v/>
      </c>
      <c r="P544" s="572">
        <f t="shared" si="148"/>
        <v>0</v>
      </c>
      <c r="Q544" s="589">
        <f t="shared" si="155"/>
        <v>0.6</v>
      </c>
      <c r="R544" s="573">
        <f t="shared" si="156"/>
        <v>0</v>
      </c>
      <c r="S544" s="332">
        <f>IF(L544="",0,O544*12*L544*(1+tab!$D$108)*tab!$E$110)</f>
        <v>0</v>
      </c>
      <c r="T544" s="580">
        <f t="shared" si="157"/>
        <v>0</v>
      </c>
      <c r="U544" s="243">
        <f t="shared" si="149"/>
        <v>0</v>
      </c>
      <c r="V544" s="332">
        <f t="shared" si="150"/>
        <v>0</v>
      </c>
      <c r="W544" s="136"/>
      <c r="Z544" s="647" t="e">
        <f t="shared" si="151"/>
        <v>#VALUE!</v>
      </c>
      <c r="AA544" s="647" t="e">
        <f t="shared" si="152"/>
        <v>#VALUE!</v>
      </c>
      <c r="AB544" s="67">
        <f t="shared" si="153"/>
        <v>30</v>
      </c>
      <c r="AC544" s="67">
        <f t="shared" si="136"/>
        <v>30</v>
      </c>
      <c r="AD544" s="84">
        <f t="shared" si="154"/>
        <v>0</v>
      </c>
    </row>
    <row r="545" spans="3:30">
      <c r="C545" s="131"/>
      <c r="D545" s="169" t="str">
        <f>IF(op!D433=0,"",op!D433)</f>
        <v/>
      </c>
      <c r="E545" s="169" t="str">
        <f>IF(op!E433=0,"",op!E433)</f>
        <v/>
      </c>
      <c r="F545" s="169" t="str">
        <f>IF(op!F433=0,"",op!F433)</f>
        <v/>
      </c>
      <c r="G545" s="170" t="str">
        <f>IF(op!G433="","",op!G433+1)</f>
        <v/>
      </c>
      <c r="H545" s="566" t="str">
        <f>IF(op!H433="","",op!H433)</f>
        <v/>
      </c>
      <c r="I545" s="170" t="str">
        <f>IF(op!I433=0,"",op!I433)</f>
        <v/>
      </c>
      <c r="J545" s="567" t="str">
        <f>IF(E545="","",IF(op!J433&gt;LOOKUP(I545,schaal2011,regels2011),J433-1,IF(op!J433=LOOKUP(I545,schaal2011,regels2011),op!J433,J433+1)))</f>
        <v/>
      </c>
      <c r="K545" s="568" t="str">
        <f>IF(op!K433="","",op!K433)</f>
        <v/>
      </c>
      <c r="L545" s="569" t="str">
        <f>IF(op!L433="","",op!L433)</f>
        <v/>
      </c>
      <c r="M545" s="570" t="str">
        <f t="shared" si="147"/>
        <v/>
      </c>
      <c r="N545" s="155"/>
      <c r="O545" s="571" t="str">
        <f>IF(I545="","",VLOOKUP(I545,tab!$A$119:$V$159,J545+3,FALSE))</f>
        <v/>
      </c>
      <c r="P545" s="572">
        <f t="shared" si="148"/>
        <v>0</v>
      </c>
      <c r="Q545" s="589">
        <f t="shared" si="155"/>
        <v>0.6</v>
      </c>
      <c r="R545" s="573">
        <f t="shared" si="156"/>
        <v>0</v>
      </c>
      <c r="S545" s="332">
        <f>IF(L545="",0,O545*12*L545*(1+tab!$D$108)*tab!$E$110)</f>
        <v>0</v>
      </c>
      <c r="T545" s="580">
        <f t="shared" si="157"/>
        <v>0</v>
      </c>
      <c r="U545" s="243">
        <f t="shared" si="149"/>
        <v>0</v>
      </c>
      <c r="V545" s="332">
        <f t="shared" si="150"/>
        <v>0</v>
      </c>
      <c r="W545" s="136"/>
      <c r="Z545" s="647" t="e">
        <f t="shared" si="151"/>
        <v>#VALUE!</v>
      </c>
      <c r="AA545" s="647" t="e">
        <f t="shared" si="152"/>
        <v>#VALUE!</v>
      </c>
      <c r="AB545" s="67">
        <f t="shared" si="153"/>
        <v>30</v>
      </c>
      <c r="AC545" s="67">
        <f t="shared" si="136"/>
        <v>30</v>
      </c>
      <c r="AD545" s="84">
        <f t="shared" si="154"/>
        <v>0</v>
      </c>
    </row>
    <row r="546" spans="3:30">
      <c r="C546" s="131"/>
      <c r="D546" s="169" t="str">
        <f>IF(op!D434=0,"",op!D434)</f>
        <v/>
      </c>
      <c r="E546" s="169" t="str">
        <f>IF(op!E434=0,"",op!E434)</f>
        <v/>
      </c>
      <c r="F546" s="169" t="str">
        <f>IF(op!F434=0,"",op!F434)</f>
        <v/>
      </c>
      <c r="G546" s="170" t="str">
        <f>IF(op!G434="","",op!G434+1)</f>
        <v/>
      </c>
      <c r="H546" s="566" t="str">
        <f>IF(op!H434="","",op!H434)</f>
        <v/>
      </c>
      <c r="I546" s="170" t="str">
        <f>IF(op!I434=0,"",op!I434)</f>
        <v/>
      </c>
      <c r="J546" s="567" t="str">
        <f>IF(E546="","",IF(op!J434&gt;LOOKUP(I546,schaal2011,regels2011),J434-1,IF(op!J434=LOOKUP(I546,schaal2011,regels2011),op!J434,J434+1)))</f>
        <v/>
      </c>
      <c r="K546" s="568" t="str">
        <f>IF(op!K434="","",op!K434)</f>
        <v/>
      </c>
      <c r="L546" s="569" t="str">
        <f>IF(op!L434="","",op!L434)</f>
        <v/>
      </c>
      <c r="M546" s="570" t="str">
        <f t="shared" si="147"/>
        <v/>
      </c>
      <c r="N546" s="155"/>
      <c r="O546" s="571" t="str">
        <f>IF(I546="","",VLOOKUP(I546,tab!$A$119:$V$159,J546+3,FALSE))</f>
        <v/>
      </c>
      <c r="P546" s="572">
        <f t="shared" si="148"/>
        <v>0</v>
      </c>
      <c r="Q546" s="589">
        <f t="shared" si="155"/>
        <v>0.6</v>
      </c>
      <c r="R546" s="573">
        <f t="shared" si="156"/>
        <v>0</v>
      </c>
      <c r="S546" s="332">
        <f>IF(L546="",0,O546*12*L546*(1+tab!$D$108)*tab!$E$110)</f>
        <v>0</v>
      </c>
      <c r="T546" s="580">
        <f t="shared" si="157"/>
        <v>0</v>
      </c>
      <c r="U546" s="243">
        <f t="shared" si="149"/>
        <v>0</v>
      </c>
      <c r="V546" s="332">
        <f t="shared" si="150"/>
        <v>0</v>
      </c>
      <c r="W546" s="136"/>
      <c r="Z546" s="647" t="e">
        <f t="shared" si="151"/>
        <v>#VALUE!</v>
      </c>
      <c r="AA546" s="647" t="e">
        <f t="shared" si="152"/>
        <v>#VALUE!</v>
      </c>
      <c r="AB546" s="67">
        <f t="shared" si="153"/>
        <v>30</v>
      </c>
      <c r="AC546" s="67">
        <f t="shared" si="136"/>
        <v>30</v>
      </c>
      <c r="AD546" s="84">
        <f t="shared" si="154"/>
        <v>0</v>
      </c>
    </row>
    <row r="547" spans="3:30">
      <c r="C547" s="131"/>
      <c r="D547" s="169" t="str">
        <f>IF(op!D435=0,"",op!D435)</f>
        <v/>
      </c>
      <c r="E547" s="169" t="str">
        <f>IF(op!E435=0,"",op!E435)</f>
        <v/>
      </c>
      <c r="F547" s="169" t="str">
        <f>IF(op!F435=0,"",op!F435)</f>
        <v/>
      </c>
      <c r="G547" s="170" t="str">
        <f>IF(op!G435="","",op!G435+1)</f>
        <v/>
      </c>
      <c r="H547" s="566" t="str">
        <f>IF(op!H435="","",op!H435)</f>
        <v/>
      </c>
      <c r="I547" s="170" t="str">
        <f>IF(op!I435=0,"",op!I435)</f>
        <v/>
      </c>
      <c r="J547" s="567" t="str">
        <f>IF(E547="","",IF(op!J435&gt;LOOKUP(I547,schaal2011,regels2011),J435-1,IF(op!J435=LOOKUP(I547,schaal2011,regels2011),op!J435,J435+1)))</f>
        <v/>
      </c>
      <c r="K547" s="568" t="str">
        <f>IF(op!K435="","",op!K435)</f>
        <v/>
      </c>
      <c r="L547" s="569" t="str">
        <f>IF(op!L435="","",op!L435)</f>
        <v/>
      </c>
      <c r="M547" s="570" t="str">
        <f t="shared" si="147"/>
        <v/>
      </c>
      <c r="N547" s="155"/>
      <c r="O547" s="571" t="str">
        <f>IF(I547="","",VLOOKUP(I547,tab!$A$119:$V$159,J547+3,FALSE))</f>
        <v/>
      </c>
      <c r="P547" s="572">
        <f t="shared" si="148"/>
        <v>0</v>
      </c>
      <c r="Q547" s="589">
        <f t="shared" si="155"/>
        <v>0.6</v>
      </c>
      <c r="R547" s="573">
        <f t="shared" si="156"/>
        <v>0</v>
      </c>
      <c r="S547" s="332">
        <f>IF(L547="",0,O547*12*L547*(1+tab!$D$108)*tab!$E$110)</f>
        <v>0</v>
      </c>
      <c r="T547" s="580">
        <f t="shared" si="157"/>
        <v>0</v>
      </c>
      <c r="U547" s="243">
        <f t="shared" si="149"/>
        <v>0</v>
      </c>
      <c r="V547" s="332">
        <f t="shared" si="150"/>
        <v>0</v>
      </c>
      <c r="W547" s="136"/>
      <c r="Z547" s="647" t="e">
        <f t="shared" si="151"/>
        <v>#VALUE!</v>
      </c>
      <c r="AA547" s="647" t="e">
        <f t="shared" si="152"/>
        <v>#VALUE!</v>
      </c>
      <c r="AB547" s="67">
        <f t="shared" si="153"/>
        <v>30</v>
      </c>
      <c r="AC547" s="67">
        <f t="shared" si="136"/>
        <v>30</v>
      </c>
      <c r="AD547" s="84">
        <f t="shared" si="154"/>
        <v>0</v>
      </c>
    </row>
    <row r="548" spans="3:30">
      <c r="C548" s="131"/>
      <c r="D548" s="169" t="str">
        <f>IF(op!D436=0,"",op!D436)</f>
        <v/>
      </c>
      <c r="E548" s="169" t="str">
        <f>IF(op!E436=0,"",op!E436)</f>
        <v/>
      </c>
      <c r="F548" s="169" t="str">
        <f>IF(op!F436=0,"",op!F436)</f>
        <v/>
      </c>
      <c r="G548" s="170" t="str">
        <f>IF(op!G436="","",op!G436+1)</f>
        <v/>
      </c>
      <c r="H548" s="566" t="str">
        <f>IF(op!H436="","",op!H436)</f>
        <v/>
      </c>
      <c r="I548" s="170" t="str">
        <f>IF(op!I436=0,"",op!I436)</f>
        <v/>
      </c>
      <c r="J548" s="567" t="str">
        <f>IF(E548="","",IF(op!J436&gt;LOOKUP(I548,schaal2011,regels2011),J436-1,IF(op!J436=LOOKUP(I548,schaal2011,regels2011),op!J436,J436+1)))</f>
        <v/>
      </c>
      <c r="K548" s="568" t="str">
        <f>IF(op!K436="","",op!K436)</f>
        <v/>
      </c>
      <c r="L548" s="569" t="str">
        <f>IF(op!L436="","",op!L436)</f>
        <v/>
      </c>
      <c r="M548" s="570" t="str">
        <f t="shared" si="147"/>
        <v/>
      </c>
      <c r="N548" s="155"/>
      <c r="O548" s="571" t="str">
        <f>IF(I548="","",VLOOKUP(I548,tab!$A$119:$V$159,J548+3,FALSE))</f>
        <v/>
      </c>
      <c r="P548" s="572">
        <f t="shared" si="148"/>
        <v>0</v>
      </c>
      <c r="Q548" s="589">
        <f t="shared" si="155"/>
        <v>0.6</v>
      </c>
      <c r="R548" s="573">
        <f t="shared" si="156"/>
        <v>0</v>
      </c>
      <c r="S548" s="332">
        <f>IF(L548="",0,O548*12*L548*(1+tab!$D$108)*tab!$E$110)</f>
        <v>0</v>
      </c>
      <c r="T548" s="580">
        <f t="shared" si="157"/>
        <v>0</v>
      </c>
      <c r="U548" s="243">
        <f t="shared" si="149"/>
        <v>0</v>
      </c>
      <c r="V548" s="332">
        <f t="shared" si="150"/>
        <v>0</v>
      </c>
      <c r="W548" s="136"/>
      <c r="Z548" s="647" t="e">
        <f t="shared" si="151"/>
        <v>#VALUE!</v>
      </c>
      <c r="AA548" s="647" t="e">
        <f t="shared" si="152"/>
        <v>#VALUE!</v>
      </c>
      <c r="AB548" s="67">
        <f t="shared" si="153"/>
        <v>30</v>
      </c>
      <c r="AC548" s="67">
        <f t="shared" si="136"/>
        <v>30</v>
      </c>
      <c r="AD548" s="84">
        <f t="shared" si="154"/>
        <v>0</v>
      </c>
    </row>
    <row r="549" spans="3:30">
      <c r="C549" s="131"/>
      <c r="D549" s="169" t="str">
        <f>IF(op!D437=0,"",op!D437)</f>
        <v/>
      </c>
      <c r="E549" s="169" t="str">
        <f>IF(op!E437=0,"",op!E437)</f>
        <v/>
      </c>
      <c r="F549" s="169" t="str">
        <f>IF(op!F437=0,"",op!F437)</f>
        <v/>
      </c>
      <c r="G549" s="170" t="str">
        <f>IF(op!G437="","",op!G437+1)</f>
        <v/>
      </c>
      <c r="H549" s="566" t="str">
        <f>IF(op!H437="","",op!H437)</f>
        <v/>
      </c>
      <c r="I549" s="170" t="str">
        <f>IF(op!I437=0,"",op!I437)</f>
        <v/>
      </c>
      <c r="J549" s="567" t="str">
        <f>IF(E549="","",IF(op!J437&gt;LOOKUP(I549,schaal2011,regels2011),J437-1,IF(op!J437=LOOKUP(I549,schaal2011,regels2011),op!J437,J437+1)))</f>
        <v/>
      </c>
      <c r="K549" s="568" t="str">
        <f>IF(op!K437="","",op!K437)</f>
        <v/>
      </c>
      <c r="L549" s="569" t="str">
        <f>IF(op!L437="","",op!L437)</f>
        <v/>
      </c>
      <c r="M549" s="570" t="str">
        <f t="shared" si="147"/>
        <v/>
      </c>
      <c r="N549" s="155"/>
      <c r="O549" s="571" t="str">
        <f>IF(I549="","",VLOOKUP(I549,tab!$A$119:$V$159,J549+3,FALSE))</f>
        <v/>
      </c>
      <c r="P549" s="572">
        <f t="shared" si="148"/>
        <v>0</v>
      </c>
      <c r="Q549" s="589">
        <f t="shared" si="155"/>
        <v>0.6</v>
      </c>
      <c r="R549" s="573">
        <f t="shared" si="156"/>
        <v>0</v>
      </c>
      <c r="S549" s="332">
        <f>IF(L549="",0,O549*12*L549*(1+tab!$D$108)*tab!$E$110)</f>
        <v>0</v>
      </c>
      <c r="T549" s="580">
        <f t="shared" si="157"/>
        <v>0</v>
      </c>
      <c r="U549" s="243">
        <f t="shared" si="149"/>
        <v>0</v>
      </c>
      <c r="V549" s="332">
        <f t="shared" si="150"/>
        <v>0</v>
      </c>
      <c r="W549" s="136"/>
      <c r="Z549" s="647" t="e">
        <f t="shared" si="151"/>
        <v>#VALUE!</v>
      </c>
      <c r="AA549" s="647" t="e">
        <f t="shared" si="152"/>
        <v>#VALUE!</v>
      </c>
      <c r="AB549" s="67">
        <f t="shared" si="153"/>
        <v>30</v>
      </c>
      <c r="AC549" s="67">
        <f t="shared" si="136"/>
        <v>30</v>
      </c>
      <c r="AD549" s="84">
        <f t="shared" si="154"/>
        <v>0</v>
      </c>
    </row>
    <row r="550" spans="3:30">
      <c r="C550" s="131"/>
      <c r="D550" s="169" t="str">
        <f>IF(op!D438=0,"",op!D438)</f>
        <v/>
      </c>
      <c r="E550" s="169" t="str">
        <f>IF(op!E438=0,"",op!E438)</f>
        <v/>
      </c>
      <c r="F550" s="169" t="str">
        <f>IF(op!F438=0,"",op!F438)</f>
        <v/>
      </c>
      <c r="G550" s="170" t="str">
        <f>IF(op!G438="","",op!G438+1)</f>
        <v/>
      </c>
      <c r="H550" s="566" t="str">
        <f>IF(op!H438="","",op!H438)</f>
        <v/>
      </c>
      <c r="I550" s="170" t="str">
        <f>IF(op!I438=0,"",op!I438)</f>
        <v/>
      </c>
      <c r="J550" s="567" t="str">
        <f>IF(E550="","",IF(op!J438&gt;LOOKUP(I550,schaal2011,regels2011),J438-1,IF(op!J438=LOOKUP(I550,schaal2011,regels2011),op!J438,J438+1)))</f>
        <v/>
      </c>
      <c r="K550" s="568" t="str">
        <f>IF(op!K438="","",op!K438)</f>
        <v/>
      </c>
      <c r="L550" s="569" t="str">
        <f>IF(op!L438="","",op!L438)</f>
        <v/>
      </c>
      <c r="M550" s="570" t="str">
        <f t="shared" si="147"/>
        <v/>
      </c>
      <c r="N550" s="155"/>
      <c r="O550" s="571" t="str">
        <f>IF(I550="","",VLOOKUP(I550,tab!$A$119:$V$159,J550+3,FALSE))</f>
        <v/>
      </c>
      <c r="P550" s="572">
        <f t="shared" si="148"/>
        <v>0</v>
      </c>
      <c r="Q550" s="589">
        <f t="shared" si="155"/>
        <v>0.6</v>
      </c>
      <c r="R550" s="573">
        <f t="shared" si="156"/>
        <v>0</v>
      </c>
      <c r="S550" s="332">
        <f>IF(L550="",0,O550*12*L550*(1+tab!$D$108)*tab!$E$110)</f>
        <v>0</v>
      </c>
      <c r="T550" s="580">
        <f t="shared" si="157"/>
        <v>0</v>
      </c>
      <c r="U550" s="243">
        <f t="shared" si="149"/>
        <v>0</v>
      </c>
      <c r="V550" s="332">
        <f t="shared" si="150"/>
        <v>0</v>
      </c>
      <c r="W550" s="136"/>
      <c r="Z550" s="647" t="e">
        <f t="shared" si="151"/>
        <v>#VALUE!</v>
      </c>
      <c r="AA550" s="647" t="e">
        <f t="shared" si="152"/>
        <v>#VALUE!</v>
      </c>
      <c r="AB550" s="67">
        <f t="shared" si="153"/>
        <v>30</v>
      </c>
      <c r="AC550" s="67">
        <f t="shared" si="136"/>
        <v>30</v>
      </c>
      <c r="AD550" s="84">
        <f t="shared" si="154"/>
        <v>0</v>
      </c>
    </row>
    <row r="551" spans="3:30">
      <c r="C551" s="131"/>
      <c r="D551" s="169" t="str">
        <f>IF(op!D439=0,"",op!D439)</f>
        <v/>
      </c>
      <c r="E551" s="169" t="str">
        <f>IF(op!E439=0,"",op!E439)</f>
        <v/>
      </c>
      <c r="F551" s="169" t="str">
        <f>IF(op!F439=0,"",op!F439)</f>
        <v/>
      </c>
      <c r="G551" s="170" t="str">
        <f>IF(op!G439="","",op!G439+1)</f>
        <v/>
      </c>
      <c r="H551" s="566" t="str">
        <f>IF(op!H439="","",op!H439)</f>
        <v/>
      </c>
      <c r="I551" s="170" t="str">
        <f>IF(op!I439=0,"",op!I439)</f>
        <v/>
      </c>
      <c r="J551" s="567" t="str">
        <f>IF(E551="","",IF(op!J439&gt;LOOKUP(I551,schaal2011,regels2011),J439-1,IF(op!J439=LOOKUP(I551,schaal2011,regels2011),op!J439,J439+1)))</f>
        <v/>
      </c>
      <c r="K551" s="568" t="str">
        <f>IF(op!K439="","",op!K439)</f>
        <v/>
      </c>
      <c r="L551" s="569" t="str">
        <f>IF(op!L439="","",op!L439)</f>
        <v/>
      </c>
      <c r="M551" s="570" t="str">
        <f t="shared" si="147"/>
        <v/>
      </c>
      <c r="N551" s="155"/>
      <c r="O551" s="571" t="str">
        <f>IF(I551="","",VLOOKUP(I551,tab!$A$119:$V$159,J551+3,FALSE))</f>
        <v/>
      </c>
      <c r="P551" s="572">
        <f t="shared" si="148"/>
        <v>0</v>
      </c>
      <c r="Q551" s="589">
        <f t="shared" si="155"/>
        <v>0.6</v>
      </c>
      <c r="R551" s="573">
        <f t="shared" si="156"/>
        <v>0</v>
      </c>
      <c r="S551" s="332">
        <f>IF(L551="",0,O551*12*L551*(1+tab!$D$108)*tab!$E$110)</f>
        <v>0</v>
      </c>
      <c r="T551" s="580">
        <f t="shared" si="157"/>
        <v>0</v>
      </c>
      <c r="U551" s="243">
        <f t="shared" si="149"/>
        <v>0</v>
      </c>
      <c r="V551" s="332">
        <f t="shared" si="150"/>
        <v>0</v>
      </c>
      <c r="W551" s="136"/>
      <c r="Z551" s="647" t="e">
        <f t="shared" si="151"/>
        <v>#VALUE!</v>
      </c>
      <c r="AA551" s="647" t="e">
        <f t="shared" si="152"/>
        <v>#VALUE!</v>
      </c>
      <c r="AB551" s="67">
        <f t="shared" si="153"/>
        <v>30</v>
      </c>
      <c r="AC551" s="67">
        <f t="shared" si="136"/>
        <v>30</v>
      </c>
      <c r="AD551" s="84">
        <f t="shared" si="154"/>
        <v>0</v>
      </c>
    </row>
    <row r="552" spans="3:30">
      <c r="C552" s="131"/>
      <c r="D552" s="169" t="str">
        <f>IF(op!D440=0,"",op!D440)</f>
        <v/>
      </c>
      <c r="E552" s="169" t="str">
        <f>IF(op!E440=0,"",op!E440)</f>
        <v/>
      </c>
      <c r="F552" s="169" t="str">
        <f>IF(op!F440=0,"",op!F440)</f>
        <v/>
      </c>
      <c r="G552" s="170" t="str">
        <f>IF(op!G440="","",op!G440+1)</f>
        <v/>
      </c>
      <c r="H552" s="566" t="str">
        <f>IF(op!H440="","",op!H440)</f>
        <v/>
      </c>
      <c r="I552" s="170" t="str">
        <f>IF(op!I440=0,"",op!I440)</f>
        <v/>
      </c>
      <c r="J552" s="567" t="str">
        <f>IF(E552="","",IF(op!J440&gt;LOOKUP(I552,schaal2011,regels2011),J440-1,IF(op!J440=LOOKUP(I552,schaal2011,regels2011),op!J440,J440+1)))</f>
        <v/>
      </c>
      <c r="K552" s="568" t="str">
        <f>IF(op!K440="","",op!K440)</f>
        <v/>
      </c>
      <c r="L552" s="569" t="str">
        <f>IF(op!L440="","",op!L440)</f>
        <v/>
      </c>
      <c r="M552" s="570" t="str">
        <f t="shared" si="147"/>
        <v/>
      </c>
      <c r="N552" s="155"/>
      <c r="O552" s="571" t="str">
        <f>IF(I552="","",VLOOKUP(I552,tab!$A$119:$V$159,J552+3,FALSE))</f>
        <v/>
      </c>
      <c r="P552" s="572">
        <f t="shared" si="148"/>
        <v>0</v>
      </c>
      <c r="Q552" s="589">
        <f t="shared" si="155"/>
        <v>0.6</v>
      </c>
      <c r="R552" s="573">
        <f t="shared" si="156"/>
        <v>0</v>
      </c>
      <c r="S552" s="332">
        <f>IF(L552="",0,O552*12*L552*(1+tab!$D$108)*tab!$E$110)</f>
        <v>0</v>
      </c>
      <c r="T552" s="580">
        <f t="shared" si="157"/>
        <v>0</v>
      </c>
      <c r="U552" s="243">
        <f t="shared" si="149"/>
        <v>0</v>
      </c>
      <c r="V552" s="332">
        <f t="shared" si="150"/>
        <v>0</v>
      </c>
      <c r="W552" s="136"/>
      <c r="Z552" s="647" t="e">
        <f t="shared" si="151"/>
        <v>#VALUE!</v>
      </c>
      <c r="AA552" s="647" t="e">
        <f t="shared" si="152"/>
        <v>#VALUE!</v>
      </c>
      <c r="AB552" s="67">
        <f t="shared" si="153"/>
        <v>30</v>
      </c>
      <c r="AC552" s="67">
        <f t="shared" si="136"/>
        <v>30</v>
      </c>
      <c r="AD552" s="84">
        <f t="shared" si="154"/>
        <v>0</v>
      </c>
    </row>
    <row r="553" spans="3:30">
      <c r="C553" s="131"/>
      <c r="D553" s="169" t="str">
        <f>IF(op!D441=0,"",op!D441)</f>
        <v/>
      </c>
      <c r="E553" s="169" t="str">
        <f>IF(op!E441=0,"",op!E441)</f>
        <v/>
      </c>
      <c r="F553" s="169" t="str">
        <f>IF(op!F441=0,"",op!F441)</f>
        <v/>
      </c>
      <c r="G553" s="170" t="str">
        <f>IF(op!G441="","",op!G441+1)</f>
        <v/>
      </c>
      <c r="H553" s="566" t="str">
        <f>IF(op!H441="","",op!H441)</f>
        <v/>
      </c>
      <c r="I553" s="170" t="str">
        <f>IF(op!I441=0,"",op!I441)</f>
        <v/>
      </c>
      <c r="J553" s="567" t="str">
        <f>IF(E553="","",IF(op!J441&gt;LOOKUP(I553,schaal2011,regels2011),J441-1,IF(op!J441=LOOKUP(I553,schaal2011,regels2011),op!J441,J441+1)))</f>
        <v/>
      </c>
      <c r="K553" s="568" t="str">
        <f>IF(op!K441="","",op!K441)</f>
        <v/>
      </c>
      <c r="L553" s="569" t="str">
        <f>IF(op!L441="","",op!L441)</f>
        <v/>
      </c>
      <c r="M553" s="570" t="str">
        <f t="shared" si="147"/>
        <v/>
      </c>
      <c r="N553" s="155"/>
      <c r="O553" s="571" t="str">
        <f>IF(I553="","",VLOOKUP(I553,tab!$A$119:$V$159,J553+3,FALSE))</f>
        <v/>
      </c>
      <c r="P553" s="572">
        <f t="shared" si="148"/>
        <v>0</v>
      </c>
      <c r="Q553" s="589">
        <f t="shared" si="155"/>
        <v>0.6</v>
      </c>
      <c r="R553" s="573">
        <f t="shared" si="156"/>
        <v>0</v>
      </c>
      <c r="S553" s="332">
        <f>IF(L553="",0,O553*12*L553*(1+tab!$D$108)*tab!$E$110)</f>
        <v>0</v>
      </c>
      <c r="T553" s="580">
        <f t="shared" si="157"/>
        <v>0</v>
      </c>
      <c r="U553" s="243">
        <f t="shared" si="149"/>
        <v>0</v>
      </c>
      <c r="V553" s="332">
        <f t="shared" si="150"/>
        <v>0</v>
      </c>
      <c r="W553" s="136"/>
      <c r="Z553" s="647" t="e">
        <f t="shared" si="151"/>
        <v>#VALUE!</v>
      </c>
      <c r="AA553" s="647" t="e">
        <f t="shared" si="152"/>
        <v>#VALUE!</v>
      </c>
      <c r="AB553" s="67">
        <f t="shared" si="153"/>
        <v>30</v>
      </c>
      <c r="AC553" s="67">
        <f t="shared" si="136"/>
        <v>30</v>
      </c>
      <c r="AD553" s="84">
        <f t="shared" si="154"/>
        <v>0</v>
      </c>
    </row>
    <row r="554" spans="3:30">
      <c r="C554" s="131"/>
      <c r="D554" s="169" t="str">
        <f>IF(op!D442=0,"",op!D442)</f>
        <v/>
      </c>
      <c r="E554" s="169" t="str">
        <f>IF(op!E442=0,"",op!E442)</f>
        <v/>
      </c>
      <c r="F554" s="169" t="str">
        <f>IF(op!F442=0,"",op!F442)</f>
        <v/>
      </c>
      <c r="G554" s="170" t="str">
        <f>IF(op!G442="","",op!G442+1)</f>
        <v/>
      </c>
      <c r="H554" s="566" t="str">
        <f>IF(op!H442="","",op!H442)</f>
        <v/>
      </c>
      <c r="I554" s="170" t="str">
        <f>IF(op!I442=0,"",op!I442)</f>
        <v/>
      </c>
      <c r="J554" s="567" t="str">
        <f>IF(E554="","",IF(op!J442&gt;LOOKUP(I554,schaal2011,regels2011),J442-1,IF(op!J442=LOOKUP(I554,schaal2011,regels2011),op!J442,J442+1)))</f>
        <v/>
      </c>
      <c r="K554" s="568" t="str">
        <f>IF(op!K442="","",op!K442)</f>
        <v/>
      </c>
      <c r="L554" s="569" t="str">
        <f>IF(op!L442="","",op!L442)</f>
        <v/>
      </c>
      <c r="M554" s="570" t="str">
        <f t="shared" si="147"/>
        <v/>
      </c>
      <c r="N554" s="155"/>
      <c r="O554" s="571" t="str">
        <f>IF(I554="","",VLOOKUP(I554,tab!$A$119:$V$159,J554+3,FALSE))</f>
        <v/>
      </c>
      <c r="P554" s="572">
        <f t="shared" si="148"/>
        <v>0</v>
      </c>
      <c r="Q554" s="589">
        <f t="shared" si="155"/>
        <v>0.6</v>
      </c>
      <c r="R554" s="573">
        <f t="shared" si="156"/>
        <v>0</v>
      </c>
      <c r="S554" s="332">
        <f>IF(L554="",0,O554*12*L554*(1+tab!$D$108)*tab!$E$110)</f>
        <v>0</v>
      </c>
      <c r="T554" s="580">
        <f t="shared" si="157"/>
        <v>0</v>
      </c>
      <c r="U554" s="243">
        <f t="shared" si="149"/>
        <v>0</v>
      </c>
      <c r="V554" s="332">
        <f t="shared" si="150"/>
        <v>0</v>
      </c>
      <c r="W554" s="136"/>
      <c r="Z554" s="647" t="e">
        <f t="shared" si="151"/>
        <v>#VALUE!</v>
      </c>
      <c r="AA554" s="647" t="e">
        <f t="shared" si="152"/>
        <v>#VALUE!</v>
      </c>
      <c r="AB554" s="67">
        <f t="shared" si="153"/>
        <v>30</v>
      </c>
      <c r="AC554" s="67">
        <f t="shared" si="136"/>
        <v>30</v>
      </c>
      <c r="AD554" s="84">
        <f t="shared" si="154"/>
        <v>0</v>
      </c>
    </row>
    <row r="555" spans="3:30">
      <c r="C555" s="131"/>
      <c r="D555" s="169" t="str">
        <f>IF(op!D443=0,"",op!D443)</f>
        <v/>
      </c>
      <c r="E555" s="169" t="str">
        <f>IF(op!E443=0,"",op!E443)</f>
        <v/>
      </c>
      <c r="F555" s="169" t="str">
        <f>IF(op!F443=0,"",op!F443)</f>
        <v/>
      </c>
      <c r="G555" s="170" t="str">
        <f>IF(op!G443="","",op!G443+1)</f>
        <v/>
      </c>
      <c r="H555" s="566" t="str">
        <f>IF(op!H443="","",op!H443)</f>
        <v/>
      </c>
      <c r="I555" s="170" t="str">
        <f>IF(op!I443=0,"",op!I443)</f>
        <v/>
      </c>
      <c r="J555" s="567" t="str">
        <f>IF(E555="","",IF(op!J443&gt;LOOKUP(I555,schaal2011,regels2011),J443-1,IF(op!J443=LOOKUP(I555,schaal2011,regels2011),op!J443,J443+1)))</f>
        <v/>
      </c>
      <c r="K555" s="568" t="str">
        <f>IF(op!K443="","",op!K443)</f>
        <v/>
      </c>
      <c r="L555" s="569" t="str">
        <f>IF(op!L443="","",op!L443)</f>
        <v/>
      </c>
      <c r="M555" s="570" t="str">
        <f t="shared" si="147"/>
        <v/>
      </c>
      <c r="N555" s="155"/>
      <c r="O555" s="571" t="str">
        <f>IF(I555="","",VLOOKUP(I555,tab!$A$119:$V$159,J555+3,FALSE))</f>
        <v/>
      </c>
      <c r="P555" s="572">
        <f t="shared" si="148"/>
        <v>0</v>
      </c>
      <c r="Q555" s="589">
        <f t="shared" si="155"/>
        <v>0.6</v>
      </c>
      <c r="R555" s="573">
        <f t="shared" si="156"/>
        <v>0</v>
      </c>
      <c r="S555" s="332">
        <f>IF(L555="",0,O555*12*L555*(1+tab!$D$108)*tab!$E$110)</f>
        <v>0</v>
      </c>
      <c r="T555" s="580">
        <f t="shared" si="157"/>
        <v>0</v>
      </c>
      <c r="U555" s="243">
        <f t="shared" si="149"/>
        <v>0</v>
      </c>
      <c r="V555" s="332">
        <f t="shared" si="150"/>
        <v>0</v>
      </c>
      <c r="W555" s="136"/>
      <c r="Z555" s="647" t="e">
        <f t="shared" si="151"/>
        <v>#VALUE!</v>
      </c>
      <c r="AA555" s="647" t="e">
        <f t="shared" si="152"/>
        <v>#VALUE!</v>
      </c>
      <c r="AB555" s="67">
        <f t="shared" si="153"/>
        <v>30</v>
      </c>
      <c r="AC555" s="67">
        <f t="shared" si="136"/>
        <v>30</v>
      </c>
      <c r="AD555" s="84">
        <f t="shared" si="154"/>
        <v>0</v>
      </c>
    </row>
    <row r="556" spans="3:30">
      <c r="C556" s="131"/>
      <c r="D556" s="169" t="str">
        <f>IF(op!D444=0,"",op!D444)</f>
        <v/>
      </c>
      <c r="E556" s="169" t="str">
        <f>IF(op!E444=0,"",op!E444)</f>
        <v/>
      </c>
      <c r="F556" s="169" t="str">
        <f>IF(op!F444=0,"",op!F444)</f>
        <v/>
      </c>
      <c r="G556" s="170" t="str">
        <f>IF(op!G444="","",op!G444+1)</f>
        <v/>
      </c>
      <c r="H556" s="566" t="str">
        <f>IF(op!H444="","",op!H444)</f>
        <v/>
      </c>
      <c r="I556" s="170" t="str">
        <f>IF(op!I444=0,"",op!I444)</f>
        <v/>
      </c>
      <c r="J556" s="567" t="str">
        <f>IF(E556="","",IF(op!J444&gt;LOOKUP(I556,schaal2011,regels2011),J444-1,IF(op!J444=LOOKUP(I556,schaal2011,regels2011),op!J444,J444+1)))</f>
        <v/>
      </c>
      <c r="K556" s="568" t="str">
        <f>IF(op!K444="","",op!K444)</f>
        <v/>
      </c>
      <c r="L556" s="569" t="str">
        <f>IF(op!L444="","",op!L444)</f>
        <v/>
      </c>
      <c r="M556" s="570" t="str">
        <f t="shared" si="147"/>
        <v/>
      </c>
      <c r="N556" s="155"/>
      <c r="O556" s="571" t="str">
        <f>IF(I556="","",VLOOKUP(I556,tab!$A$119:$V$159,J556+3,FALSE))</f>
        <v/>
      </c>
      <c r="P556" s="572">
        <f t="shared" si="148"/>
        <v>0</v>
      </c>
      <c r="Q556" s="589">
        <f t="shared" si="155"/>
        <v>0.6</v>
      </c>
      <c r="R556" s="573">
        <f t="shared" si="156"/>
        <v>0</v>
      </c>
      <c r="S556" s="332">
        <f>IF(L556="",0,O556*12*L556*(1+tab!$D$108)*tab!$E$110)</f>
        <v>0</v>
      </c>
      <c r="T556" s="580">
        <f t="shared" si="157"/>
        <v>0</v>
      </c>
      <c r="U556" s="243">
        <f t="shared" si="149"/>
        <v>0</v>
      </c>
      <c r="V556" s="332">
        <f t="shared" si="150"/>
        <v>0</v>
      </c>
      <c r="W556" s="136"/>
      <c r="Z556" s="647" t="e">
        <f t="shared" si="151"/>
        <v>#VALUE!</v>
      </c>
      <c r="AA556" s="647" t="e">
        <f t="shared" si="152"/>
        <v>#VALUE!</v>
      </c>
      <c r="AB556" s="67">
        <f t="shared" si="153"/>
        <v>30</v>
      </c>
      <c r="AC556" s="67">
        <f t="shared" si="136"/>
        <v>30</v>
      </c>
      <c r="AD556" s="84">
        <f t="shared" si="154"/>
        <v>0</v>
      </c>
    </row>
    <row r="557" spans="3:30">
      <c r="C557" s="131"/>
      <c r="D557" s="169" t="str">
        <f>IF(op!D445=0,"",op!D445)</f>
        <v/>
      </c>
      <c r="E557" s="169" t="str">
        <f>IF(op!E445=0,"",op!E445)</f>
        <v/>
      </c>
      <c r="F557" s="169" t="str">
        <f>IF(op!F445=0,"",op!F445)</f>
        <v/>
      </c>
      <c r="G557" s="170" t="str">
        <f>IF(op!G445="","",op!G445+1)</f>
        <v/>
      </c>
      <c r="H557" s="566" t="str">
        <f>IF(op!H445="","",op!H445)</f>
        <v/>
      </c>
      <c r="I557" s="170" t="str">
        <f>IF(op!I445=0,"",op!I445)</f>
        <v/>
      </c>
      <c r="J557" s="567" t="str">
        <f>IF(E557="","",IF(op!J445&gt;LOOKUP(I557,schaal2011,regels2011),J445-1,IF(op!J445=LOOKUP(I557,schaal2011,regels2011),op!J445,J445+1)))</f>
        <v/>
      </c>
      <c r="K557" s="568" t="str">
        <f>IF(op!K445="","",op!K445)</f>
        <v/>
      </c>
      <c r="L557" s="569" t="str">
        <f>IF(op!L445="","",op!L445)</f>
        <v/>
      </c>
      <c r="M557" s="570" t="str">
        <f t="shared" si="147"/>
        <v/>
      </c>
      <c r="N557" s="155"/>
      <c r="O557" s="571" t="str">
        <f>IF(I557="","",VLOOKUP(I557,tab!$A$119:$V$159,J557+3,FALSE))</f>
        <v/>
      </c>
      <c r="P557" s="572">
        <f t="shared" si="148"/>
        <v>0</v>
      </c>
      <c r="Q557" s="589">
        <f t="shared" si="155"/>
        <v>0.6</v>
      </c>
      <c r="R557" s="573">
        <f t="shared" si="156"/>
        <v>0</v>
      </c>
      <c r="S557" s="332">
        <f>IF(L557="",0,O557*12*L557*(1+tab!$D$108)*tab!$E$110)</f>
        <v>0</v>
      </c>
      <c r="T557" s="580">
        <f t="shared" si="157"/>
        <v>0</v>
      </c>
      <c r="U557" s="243">
        <f t="shared" si="149"/>
        <v>0</v>
      </c>
      <c r="V557" s="332">
        <f t="shared" si="150"/>
        <v>0</v>
      </c>
      <c r="W557" s="136"/>
      <c r="Z557" s="647" t="e">
        <f t="shared" si="151"/>
        <v>#VALUE!</v>
      </c>
      <c r="AA557" s="647" t="e">
        <f t="shared" si="152"/>
        <v>#VALUE!</v>
      </c>
      <c r="AB557" s="67">
        <f t="shared" si="153"/>
        <v>30</v>
      </c>
      <c r="AC557" s="67">
        <f t="shared" si="136"/>
        <v>30</v>
      </c>
      <c r="AD557" s="84">
        <f t="shared" si="154"/>
        <v>0</v>
      </c>
    </row>
    <row r="558" spans="3:30">
      <c r="C558" s="131"/>
      <c r="D558" s="169" t="str">
        <f>IF(op!D446=0,"",op!D446)</f>
        <v/>
      </c>
      <c r="E558" s="169" t="str">
        <f>IF(op!E446=0,"",op!E446)</f>
        <v/>
      </c>
      <c r="F558" s="169" t="str">
        <f>IF(op!F446=0,"",op!F446)</f>
        <v/>
      </c>
      <c r="G558" s="170" t="str">
        <f>IF(op!G446="","",op!G446+1)</f>
        <v/>
      </c>
      <c r="H558" s="566" t="str">
        <f>IF(op!H446="","",op!H446)</f>
        <v/>
      </c>
      <c r="I558" s="170" t="str">
        <f>IF(op!I446=0,"",op!I446)</f>
        <v/>
      </c>
      <c r="J558" s="567" t="str">
        <f>IF(E558="","",IF(op!J446&gt;LOOKUP(I558,schaal2011,regels2011),J446-1,IF(op!J446=LOOKUP(I558,schaal2011,regels2011),op!J446,J446+1)))</f>
        <v/>
      </c>
      <c r="K558" s="568" t="str">
        <f>IF(op!K446="","",op!K446)</f>
        <v/>
      </c>
      <c r="L558" s="569" t="str">
        <f>IF(op!L446="","",op!L446)</f>
        <v/>
      </c>
      <c r="M558" s="570" t="str">
        <f t="shared" si="147"/>
        <v/>
      </c>
      <c r="N558" s="155"/>
      <c r="O558" s="571" t="str">
        <f>IF(I558="","",VLOOKUP(I558,tab!$A$119:$V$159,J558+3,FALSE))</f>
        <v/>
      </c>
      <c r="P558" s="572">
        <f t="shared" si="148"/>
        <v>0</v>
      </c>
      <c r="Q558" s="589">
        <f t="shared" si="155"/>
        <v>0.6</v>
      </c>
      <c r="R558" s="573">
        <f t="shared" si="156"/>
        <v>0</v>
      </c>
      <c r="S558" s="332">
        <f>IF(L558="",0,O558*12*L558*(1+tab!$D$108)*tab!$E$110)</f>
        <v>0</v>
      </c>
      <c r="T558" s="580">
        <f t="shared" si="157"/>
        <v>0</v>
      </c>
      <c r="U558" s="243">
        <f t="shared" si="149"/>
        <v>0</v>
      </c>
      <c r="V558" s="332">
        <f t="shared" si="150"/>
        <v>0</v>
      </c>
      <c r="W558" s="136"/>
      <c r="Z558" s="647" t="e">
        <f t="shared" si="151"/>
        <v>#VALUE!</v>
      </c>
      <c r="AA558" s="647" t="e">
        <f t="shared" si="152"/>
        <v>#VALUE!</v>
      </c>
      <c r="AB558" s="67">
        <f t="shared" si="153"/>
        <v>30</v>
      </c>
      <c r="AC558" s="67">
        <f t="shared" si="136"/>
        <v>30</v>
      </c>
      <c r="AD558" s="84">
        <f t="shared" si="154"/>
        <v>0</v>
      </c>
    </row>
    <row r="559" spans="3:30">
      <c r="C559" s="131"/>
      <c r="D559" s="169" t="str">
        <f>IF(op!D447=0,"",op!D447)</f>
        <v/>
      </c>
      <c r="E559" s="169" t="str">
        <f>IF(op!E447=0,"",op!E447)</f>
        <v/>
      </c>
      <c r="F559" s="169" t="str">
        <f>IF(op!F447=0,"",op!F447)</f>
        <v/>
      </c>
      <c r="G559" s="170" t="str">
        <f>IF(op!G447="","",op!G447+1)</f>
        <v/>
      </c>
      <c r="H559" s="566" t="str">
        <f>IF(op!H447="","",op!H447)</f>
        <v/>
      </c>
      <c r="I559" s="170" t="str">
        <f>IF(op!I447=0,"",op!I447)</f>
        <v/>
      </c>
      <c r="J559" s="567" t="str">
        <f>IF(E559="","",IF(op!J447&gt;LOOKUP(I559,schaal2011,regels2011),J447-1,IF(op!J447=LOOKUP(I559,schaal2011,regels2011),op!J447,J447+1)))</f>
        <v/>
      </c>
      <c r="K559" s="568" t="str">
        <f>IF(op!K447="","",op!K447)</f>
        <v/>
      </c>
      <c r="L559" s="569" t="str">
        <f>IF(op!L447="","",op!L447)</f>
        <v/>
      </c>
      <c r="M559" s="570" t="str">
        <f t="shared" si="129"/>
        <v/>
      </c>
      <c r="N559" s="155"/>
      <c r="O559" s="571" t="str">
        <f>IF(I559="","",VLOOKUP(I559,tab!$A$119:$V$159,J559+3,FALSE))</f>
        <v/>
      </c>
      <c r="P559" s="572">
        <f t="shared" si="148"/>
        <v>0</v>
      </c>
      <c r="Q559" s="589">
        <f t="shared" si="155"/>
        <v>0.6</v>
      </c>
      <c r="R559" s="573">
        <f t="shared" si="156"/>
        <v>0</v>
      </c>
      <c r="S559" s="332">
        <f>IF(L559="",0,O559*12*L559*(1+tab!$D$108)*tab!$E$110)</f>
        <v>0</v>
      </c>
      <c r="T559" s="580">
        <f t="shared" si="157"/>
        <v>0</v>
      </c>
      <c r="U559" s="243">
        <f t="shared" si="149"/>
        <v>0</v>
      </c>
      <c r="V559" s="332">
        <f t="shared" si="150"/>
        <v>0</v>
      </c>
      <c r="W559" s="136"/>
      <c r="Z559" s="647" t="e">
        <f t="shared" si="151"/>
        <v>#VALUE!</v>
      </c>
      <c r="AA559" s="647" t="e">
        <f t="shared" si="152"/>
        <v>#VALUE!</v>
      </c>
      <c r="AB559" s="67">
        <f t="shared" si="153"/>
        <v>30</v>
      </c>
      <c r="AC559" s="67">
        <f t="shared" si="136"/>
        <v>30</v>
      </c>
      <c r="AD559" s="84">
        <f t="shared" si="154"/>
        <v>0</v>
      </c>
    </row>
    <row r="560" spans="3:30">
      <c r="C560" s="131"/>
      <c r="D560" s="169" t="str">
        <f>IF(op!D448=0,"",op!D448)</f>
        <v/>
      </c>
      <c r="E560" s="169" t="str">
        <f>IF(op!E448=0,"",op!E448)</f>
        <v/>
      </c>
      <c r="F560" s="169" t="str">
        <f>IF(op!F448=0,"",op!F448)</f>
        <v/>
      </c>
      <c r="G560" s="170" t="str">
        <f>IF(op!G448="","",op!G448+1)</f>
        <v/>
      </c>
      <c r="H560" s="566" t="str">
        <f>IF(op!H448="","",op!H448)</f>
        <v/>
      </c>
      <c r="I560" s="170" t="str">
        <f>IF(op!I448=0,"",op!I448)</f>
        <v/>
      </c>
      <c r="J560" s="567" t="str">
        <f>IF(E560="","",IF(op!J448&gt;LOOKUP(I560,schaal2011,regels2011),J448-1,IF(op!J448=LOOKUP(I560,schaal2011,regels2011),op!J448,J448+1)))</f>
        <v/>
      </c>
      <c r="K560" s="568" t="str">
        <f>IF(op!K448="","",op!K448)</f>
        <v/>
      </c>
      <c r="L560" s="569" t="str">
        <f>IF(op!L448="","",op!L448)</f>
        <v/>
      </c>
      <c r="M560" s="570" t="str">
        <f t="shared" si="129"/>
        <v/>
      </c>
      <c r="N560" s="155"/>
      <c r="O560" s="571" t="str">
        <f>IF(I560="","",VLOOKUP(I560,tab!$A$119:$V$159,J560+3,FALSE))</f>
        <v/>
      </c>
      <c r="P560" s="572">
        <f>IF(E560="",0,(O560*M560*12))</f>
        <v>0</v>
      </c>
      <c r="Q560" s="589">
        <f t="shared" si="155"/>
        <v>0.6</v>
      </c>
      <c r="R560" s="573">
        <f t="shared" si="156"/>
        <v>0</v>
      </c>
      <c r="S560" s="332">
        <f>IF(L560="",0,O560*12*L560*(1+tab!$D$108)*tab!$E$110)</f>
        <v>0</v>
      </c>
      <c r="T560" s="580">
        <f t="shared" si="157"/>
        <v>0</v>
      </c>
      <c r="U560" s="243">
        <f t="shared" si="149"/>
        <v>0</v>
      </c>
      <c r="V560" s="332">
        <f>IF(U560=25,(O560*1.08*(K560)/2),IF(U560=40,(O560*1.08*(K560)),IF(U560=0,0)))</f>
        <v>0</v>
      </c>
      <c r="W560" s="136"/>
      <c r="Z560" s="647" t="e">
        <f t="shared" si="151"/>
        <v>#VALUE!</v>
      </c>
      <c r="AA560" s="647" t="e">
        <f>YEAR($E$345)-YEAR(H560)-Z560</f>
        <v>#VALUE!</v>
      </c>
      <c r="AB560" s="67">
        <f>IF((H560=""),30,AA560)</f>
        <v>30</v>
      </c>
      <c r="AC560" s="67">
        <f t="shared" si="136"/>
        <v>30</v>
      </c>
      <c r="AD560" s="84">
        <f>(AC560*(SUM(K560:K560)))</f>
        <v>0</v>
      </c>
    </row>
    <row r="561" spans="3:30">
      <c r="C561" s="131"/>
      <c r="D561" s="169" t="str">
        <f>IF(op!D449=0,"",op!D449)</f>
        <v/>
      </c>
      <c r="E561" s="169" t="str">
        <f>IF(op!E449=0,"",op!E449)</f>
        <v/>
      </c>
      <c r="F561" s="169" t="str">
        <f>IF(op!F449=0,"",op!F449)</f>
        <v/>
      </c>
      <c r="G561" s="170" t="str">
        <f>IF(op!G449="","",op!G449+1)</f>
        <v/>
      </c>
      <c r="H561" s="566" t="str">
        <f>IF(op!H449="","",op!H449)</f>
        <v/>
      </c>
      <c r="I561" s="170" t="str">
        <f>IF(op!I449=0,"",op!I449)</f>
        <v/>
      </c>
      <c r="J561" s="567" t="str">
        <f>IF(E561="","",IF(op!J449&gt;LOOKUP(I561,schaal2011,regels2011),J449-1,IF(op!J449=LOOKUP(I561,schaal2011,regels2011),op!J449,J449+1)))</f>
        <v/>
      </c>
      <c r="K561" s="568" t="str">
        <f>IF(op!K449="","",op!K449)</f>
        <v/>
      </c>
      <c r="L561" s="569" t="str">
        <f>IF(op!L449="","",op!L449)</f>
        <v/>
      </c>
      <c r="M561" s="570" t="str">
        <f t="shared" si="129"/>
        <v/>
      </c>
      <c r="N561" s="155"/>
      <c r="O561" s="571" t="str">
        <f>IF(I561="","",VLOOKUP(I561,tab!$A$119:$V$159,J561+3,FALSE))</f>
        <v/>
      </c>
      <c r="P561" s="572">
        <f>IF(E561="",0,(O561*M561*12))</f>
        <v>0</v>
      </c>
      <c r="Q561" s="589">
        <f t="shared" si="155"/>
        <v>0.6</v>
      </c>
      <c r="R561" s="573">
        <f t="shared" si="156"/>
        <v>0</v>
      </c>
      <c r="S561" s="332">
        <f>IF(L561="",0,O561*12*L561*(1+tab!$D$108)*tab!$E$110)</f>
        <v>0</v>
      </c>
      <c r="T561" s="580">
        <f t="shared" si="157"/>
        <v>0</v>
      </c>
      <c r="U561" s="243">
        <f t="shared" si="149"/>
        <v>0</v>
      </c>
      <c r="V561" s="332">
        <f>IF(U561=25,(O561*1.08*(K561)/2),IF(U561=40,(O561*1.08*(K561)),IF(U561=0,0)))</f>
        <v>0</v>
      </c>
      <c r="W561" s="136"/>
      <c r="Z561" s="647" t="e">
        <f t="shared" si="151"/>
        <v>#VALUE!</v>
      </c>
      <c r="AA561" s="647" t="e">
        <f>YEAR($E$345)-YEAR(H561)-Z561</f>
        <v>#VALUE!</v>
      </c>
      <c r="AB561" s="67">
        <f>IF((H561=""),30,AA561)</f>
        <v>30</v>
      </c>
      <c r="AC561" s="67">
        <f t="shared" si="136"/>
        <v>30</v>
      </c>
      <c r="AD561" s="84">
        <f>(AC561*(SUM(K561:K561)))</f>
        <v>0</v>
      </c>
    </row>
    <row r="562" spans="3:30">
      <c r="C562" s="131"/>
      <c r="D562" s="169" t="str">
        <f>IF(op!D450=0,"",op!D450)</f>
        <v/>
      </c>
      <c r="E562" s="169" t="str">
        <f>IF(op!E450=0,"",op!E450)</f>
        <v/>
      </c>
      <c r="F562" s="169" t="str">
        <f>IF(op!F450=0,"",op!F450)</f>
        <v/>
      </c>
      <c r="G562" s="170" t="str">
        <f>IF(op!G450="","",op!G450+1)</f>
        <v/>
      </c>
      <c r="H562" s="566" t="str">
        <f>IF(op!H450="","",op!H450)</f>
        <v/>
      </c>
      <c r="I562" s="170" t="str">
        <f>IF(op!I450=0,"",op!I450)</f>
        <v/>
      </c>
      <c r="J562" s="567" t="str">
        <f>IF(E562="","",IF(op!J450&gt;LOOKUP(I562,schaal2011,regels2011),J450-1,IF(op!J450=LOOKUP(I562,schaal2011,regels2011),op!J450,J450+1)))</f>
        <v/>
      </c>
      <c r="K562" s="568" t="str">
        <f>IF(op!K450="","",op!K450)</f>
        <v/>
      </c>
      <c r="L562" s="569" t="str">
        <f>IF(op!L450="","",op!L450)</f>
        <v/>
      </c>
      <c r="M562" s="570" t="str">
        <f t="shared" si="129"/>
        <v/>
      </c>
      <c r="N562" s="155"/>
      <c r="O562" s="571" t="str">
        <f>IF(I562="","",VLOOKUP(I562,tab!$A$119:$V$159,J562+3,FALSE))</f>
        <v/>
      </c>
      <c r="P562" s="572">
        <f>IF(E562="",0,(O562*M562*12))</f>
        <v>0</v>
      </c>
      <c r="Q562" s="589">
        <f t="shared" si="155"/>
        <v>0.6</v>
      </c>
      <c r="R562" s="573">
        <f t="shared" si="156"/>
        <v>0</v>
      </c>
      <c r="S562" s="332">
        <f>IF(L562="",0,O562*12*L562*(1+tab!$D$108)*tab!$E$110)</f>
        <v>0</v>
      </c>
      <c r="T562" s="580">
        <f t="shared" si="157"/>
        <v>0</v>
      </c>
      <c r="U562" s="243">
        <f t="shared" si="149"/>
        <v>0</v>
      </c>
      <c r="V562" s="332">
        <f>IF(U562=25,(O562*1.08*(K562)/2),IF(U562=40,(O562*1.08*(K562)),IF(U562=0,0)))</f>
        <v>0</v>
      </c>
      <c r="W562" s="136"/>
      <c r="Z562" s="647" t="e">
        <f t="shared" si="151"/>
        <v>#VALUE!</v>
      </c>
      <c r="AA562" s="647" t="e">
        <f>YEAR($E$345)-YEAR(H562)-Z562</f>
        <v>#VALUE!</v>
      </c>
      <c r="AB562" s="67">
        <f>IF((H562=""),30,AA562)</f>
        <v>30</v>
      </c>
      <c r="AC562" s="67">
        <f t="shared" si="136"/>
        <v>30</v>
      </c>
      <c r="AD562" s="84">
        <f>(AC562*(SUM(K562:K562)))</f>
        <v>0</v>
      </c>
    </row>
    <row r="563" spans="3:30">
      <c r="C563" s="131"/>
      <c r="D563" s="169" t="str">
        <f>IF(op!D451=0,"",op!D451)</f>
        <v/>
      </c>
      <c r="E563" s="169" t="str">
        <f>IF(op!E451=0,"",op!E451)</f>
        <v/>
      </c>
      <c r="F563" s="169" t="str">
        <f>IF(op!F451=0,"",op!F451)</f>
        <v/>
      </c>
      <c r="G563" s="170" t="str">
        <f>IF(op!G451="","",op!G451+1)</f>
        <v/>
      </c>
      <c r="H563" s="566" t="str">
        <f>IF(op!H451="","",op!H451)</f>
        <v/>
      </c>
      <c r="I563" s="170" t="str">
        <f>IF(op!I451=0,"",op!I451)</f>
        <v/>
      </c>
      <c r="J563" s="567" t="str">
        <f>IF(E563="","",IF(op!J451&gt;LOOKUP(I563,schaal2011,regels2011),J451-1,IF(op!J451=LOOKUP(I563,schaal2011,regels2011),op!J451,J451+1)))</f>
        <v/>
      </c>
      <c r="K563" s="568" t="str">
        <f>IF(op!K451="","",op!K451)</f>
        <v/>
      </c>
      <c r="L563" s="569" t="str">
        <f>IF(op!L451="","",op!L451)</f>
        <v/>
      </c>
      <c r="M563" s="570" t="str">
        <f t="shared" si="129"/>
        <v/>
      </c>
      <c r="N563" s="155"/>
      <c r="O563" s="571" t="str">
        <f>IF(I563="","",VLOOKUP(I563,tab!$A$119:$V$159,J563+3,FALSE))</f>
        <v/>
      </c>
      <c r="P563" s="572">
        <f>IF(E563="",0,(O563*M563*12))</f>
        <v>0</v>
      </c>
      <c r="Q563" s="589">
        <f t="shared" si="155"/>
        <v>0.6</v>
      </c>
      <c r="R563" s="573">
        <f t="shared" si="156"/>
        <v>0</v>
      </c>
      <c r="S563" s="332">
        <f>IF(L563="",0,O563*12*L563*(1+tab!$D$108)*tab!$E$110)</f>
        <v>0</v>
      </c>
      <c r="T563" s="580">
        <f t="shared" si="157"/>
        <v>0</v>
      </c>
      <c r="U563" s="243">
        <f t="shared" si="149"/>
        <v>0</v>
      </c>
      <c r="V563" s="332">
        <f>IF(U563=25,(O563*1.08*(K563)/2),IF(U563=40,(O563*1.08*(K563)),IF(U563=0,0)))</f>
        <v>0</v>
      </c>
      <c r="W563" s="136"/>
      <c r="Z563" s="647" t="e">
        <f t="shared" si="151"/>
        <v>#VALUE!</v>
      </c>
      <c r="AA563" s="647" t="e">
        <f>YEAR($E$345)-YEAR(H563)-Z563</f>
        <v>#VALUE!</v>
      </c>
      <c r="AB563" s="67">
        <f>IF((H563=""),30,AA563)</f>
        <v>30</v>
      </c>
      <c r="AC563" s="67">
        <f t="shared" si="136"/>
        <v>30</v>
      </c>
      <c r="AD563" s="84">
        <f>(AC563*(SUM(K563:K563)))</f>
        <v>0</v>
      </c>
    </row>
    <row r="564" spans="3:30">
      <c r="C564" s="131"/>
      <c r="D564" s="319"/>
      <c r="E564" s="139"/>
      <c r="F564" s="319"/>
      <c r="G564" s="319"/>
      <c r="H564" s="556"/>
      <c r="I564" s="139"/>
      <c r="J564" s="625"/>
      <c r="K564" s="575">
        <f>SUM(K464:K563)</f>
        <v>1</v>
      </c>
      <c r="L564" s="575">
        <f>SUM(L464:L563)</f>
        <v>0</v>
      </c>
      <c r="M564" s="575">
        <f>SUM(M464:M563)</f>
        <v>1</v>
      </c>
      <c r="N564" s="319"/>
      <c r="O564" s="309">
        <f t="shared" ref="O564:V564" si="158">SUM(O464:O563)</f>
        <v>3597</v>
      </c>
      <c r="P564" s="309">
        <f t="shared" si="158"/>
        <v>43164</v>
      </c>
      <c r="Q564" s="297"/>
      <c r="R564" s="344">
        <f t="shared" si="158"/>
        <v>25898.399999999998</v>
      </c>
      <c r="S564" s="344">
        <f t="shared" si="158"/>
        <v>0</v>
      </c>
      <c r="T564" s="309">
        <f t="shared" si="158"/>
        <v>69062.399999999994</v>
      </c>
      <c r="U564" s="574">
        <f t="shared" si="158"/>
        <v>0</v>
      </c>
      <c r="V564" s="344">
        <f t="shared" si="158"/>
        <v>0</v>
      </c>
      <c r="W564" s="136"/>
      <c r="Z564" s="86"/>
      <c r="AA564" s="86"/>
    </row>
    <row r="565" spans="3:30">
      <c r="C565" s="141"/>
      <c r="D565" s="557"/>
      <c r="E565" s="557"/>
      <c r="F565" s="557"/>
      <c r="G565" s="557"/>
      <c r="H565" s="558"/>
      <c r="I565" s="146"/>
      <c r="J565" s="559"/>
      <c r="K565" s="560"/>
      <c r="L565" s="559"/>
      <c r="M565" s="560"/>
      <c r="N565" s="557"/>
      <c r="O565" s="559"/>
      <c r="P565" s="299"/>
      <c r="Q565" s="299"/>
      <c r="R565" s="299"/>
      <c r="S565" s="562"/>
      <c r="T565" s="299"/>
      <c r="U565" s="563"/>
      <c r="V565" s="562"/>
      <c r="W565" s="147"/>
    </row>
    <row r="593" spans="5:5">
      <c r="E593" s="422"/>
    </row>
    <row r="594" spans="5:5">
      <c r="E594" s="422"/>
    </row>
    <row r="595" spans="5:5">
      <c r="E595" s="422"/>
    </row>
    <row r="596" spans="5:5">
      <c r="E596" s="422"/>
    </row>
    <row r="597" spans="5:5">
      <c r="E597" s="422"/>
    </row>
    <row r="598" spans="5:5">
      <c r="E598" s="422"/>
    </row>
    <row r="599" spans="5:5">
      <c r="E599" s="422"/>
    </row>
    <row r="600" spans="5:5">
      <c r="E600" s="422"/>
    </row>
    <row r="601" spans="5:5">
      <c r="E601" s="422"/>
    </row>
    <row r="602" spans="5:5">
      <c r="E602" s="422"/>
    </row>
    <row r="603" spans="5:5">
      <c r="E603" s="422"/>
    </row>
    <row r="604" spans="5:5">
      <c r="E604" s="422"/>
    </row>
    <row r="605" spans="5:5">
      <c r="E605" s="653"/>
    </row>
    <row r="606" spans="5:5">
      <c r="E606" s="653"/>
    </row>
    <row r="607" spans="5:5">
      <c r="E607" s="653"/>
    </row>
    <row r="608" spans="5:5">
      <c r="E608" s="422" t="s">
        <v>346</v>
      </c>
    </row>
    <row r="609" spans="5:5">
      <c r="E609" s="422" t="s">
        <v>322</v>
      </c>
    </row>
    <row r="610" spans="5:5">
      <c r="E610" s="422" t="s">
        <v>347</v>
      </c>
    </row>
    <row r="611" spans="5:5">
      <c r="E611" s="422" t="s">
        <v>348</v>
      </c>
    </row>
    <row r="612" spans="5:5">
      <c r="E612" s="422" t="s">
        <v>349</v>
      </c>
    </row>
    <row r="613" spans="5:5">
      <c r="E613" s="653"/>
    </row>
    <row r="614" spans="5:5">
      <c r="E614" s="653"/>
    </row>
    <row r="615" spans="5:5">
      <c r="E615" s="423"/>
    </row>
    <row r="616" spans="5:5">
      <c r="E616" s="423"/>
    </row>
    <row r="617" spans="5:5">
      <c r="E617" s="423"/>
    </row>
    <row r="618" spans="5:5">
      <c r="E618" s="423"/>
    </row>
    <row r="619" spans="5:5">
      <c r="E619" s="423"/>
    </row>
    <row r="620" spans="5:5">
      <c r="E620" s="653"/>
    </row>
    <row r="621" spans="5:5">
      <c r="E621" s="653"/>
    </row>
    <row r="622" spans="5:5">
      <c r="E622" s="653"/>
    </row>
    <row r="623" spans="5:5">
      <c r="E623" s="653"/>
    </row>
    <row r="624" spans="5:5">
      <c r="E624" s="653"/>
    </row>
    <row r="625" spans="5:5">
      <c r="E625" s="653"/>
    </row>
    <row r="626" spans="5:5">
      <c r="E626" s="653"/>
    </row>
    <row r="627" spans="5:5">
      <c r="E627" s="653"/>
    </row>
    <row r="628" spans="5:5">
      <c r="E628" s="653"/>
    </row>
    <row r="629" spans="5:5">
      <c r="E629" s="653"/>
    </row>
    <row r="630" spans="5:5">
      <c r="E630" s="653"/>
    </row>
    <row r="631" spans="5:5">
      <c r="E631" s="653"/>
    </row>
    <row r="632" spans="5:5">
      <c r="E632" s="653"/>
    </row>
    <row r="633" spans="5:5">
      <c r="E633" s="653"/>
    </row>
  </sheetData>
  <sheetProtection password="DFB1" sheet="1" objects="1" scenarios="1"/>
  <mergeCells count="10">
    <mergeCell ref="O12:T12"/>
    <mergeCell ref="O124:T124"/>
    <mergeCell ref="O236:T236"/>
    <mergeCell ref="O348:T348"/>
    <mergeCell ref="O460:T460"/>
    <mergeCell ref="D12:M12"/>
    <mergeCell ref="D460:M460"/>
    <mergeCell ref="D124:M124"/>
    <mergeCell ref="D236:M236"/>
    <mergeCell ref="D348:M348"/>
  </mergeCells>
  <phoneticPr fontId="0" type="noConversion"/>
  <dataValidations disablePrompts="1" count="2">
    <dataValidation type="list" allowBlank="1" showInputMessage="1" showErrorMessage="1" sqref="I464:I563 I352:I451 I240:I339 I128:I227 I118:I122 I16:I115">
      <formula1>"LA,LB,LC,LD,LE"</formula1>
    </dataValidation>
    <dataValidation type="whole" allowBlank="1" showInputMessage="1" showErrorMessage="1" sqref="J16:J115">
      <formula1>1</formula1>
      <formula2>16</formula2>
    </dataValidation>
  </dataValidations>
  <pageMargins left="0.78740157480314965" right="0.78740157480314965" top="0.98425196850393704" bottom="0.98425196850393704" header="0.51181102362204722" footer="0.51181102362204722"/>
  <pageSetup paperSize="9" scale="59" orientation="landscape" r:id="rId1"/>
  <headerFooter alignWithMargins="0">
    <oddHeader>&amp;L&amp;"Arial,Vet"&amp;F&amp;R&amp;"Arial,Vet"&amp;A</oddHeader>
    <oddFooter>&amp;L&amp;"Arial,Vet"keizer / goedhart&amp;C&amp;"Arial,Vet"&amp;D&amp;R&amp;"Arial,Vet"pagina &amp;P</oddFooter>
  </headerFooter>
  <rowBreaks count="3" manualBreakCount="3">
    <brk id="60" min="1" max="25" man="1"/>
    <brk id="118" min="1" max="24" man="1"/>
    <brk id="177" min="1" max="36" man="1"/>
  </rowBreaks>
  <drawing r:id="rId2"/>
  <legacyDrawing r:id="rId3"/>
</worksheet>
</file>

<file path=xl/worksheets/sheet7.xml><?xml version="1.0" encoding="utf-8"?>
<worksheet xmlns="http://schemas.openxmlformats.org/spreadsheetml/2006/main" xmlns:r="http://schemas.openxmlformats.org/officeDocument/2006/relationships">
  <sheetPr codeName="Blad18"/>
  <dimension ref="A1:AO315"/>
  <sheetViews>
    <sheetView showGridLines="0" zoomScale="85" zoomScaleNormal="85" workbookViewId="0">
      <selection activeCell="B2" sqref="B2"/>
    </sheetView>
  </sheetViews>
  <sheetFormatPr defaultRowHeight="12.75"/>
  <cols>
    <col min="1" max="1" width="3.7109375" style="68" customWidth="1"/>
    <col min="2" max="3" width="2.7109375" style="68" customWidth="1"/>
    <col min="4" max="4" width="10.7109375" style="83" customWidth="1"/>
    <col min="5" max="6" width="20.7109375" style="83" customWidth="1"/>
    <col min="7" max="8" width="8.7109375" style="83" customWidth="1"/>
    <col min="9" max="10" width="8.7109375" style="350" customWidth="1"/>
    <col min="11" max="11" width="8.7109375" style="349" customWidth="1"/>
    <col min="12" max="12" width="8.7109375" style="350" customWidth="1"/>
    <col min="13" max="13" width="8.7109375" style="349" customWidth="1"/>
    <col min="14" max="14" width="0.85546875" style="68" customWidth="1"/>
    <col min="15" max="15" width="10.7109375" style="350" customWidth="1"/>
    <col min="16" max="16" width="12.7109375" style="68" customWidth="1"/>
    <col min="17" max="18" width="10.7109375" style="68" customWidth="1"/>
    <col min="19" max="19" width="12.7109375" style="353" customWidth="1"/>
    <col min="20" max="20" width="12.7109375" style="254" customWidth="1"/>
    <col min="21" max="21" width="10.7109375" style="253" hidden="1" customWidth="1"/>
    <col min="22" max="22" width="10.7109375" style="353" customWidth="1"/>
    <col min="23" max="23" width="3" style="68" customWidth="1"/>
    <col min="24" max="24" width="2.7109375" style="68" customWidth="1"/>
    <col min="25" max="25" width="20.7109375" style="68" customWidth="1"/>
    <col min="26" max="28" width="8.7109375" style="68" customWidth="1"/>
    <col min="29" max="29" width="8.7109375" style="67" customWidth="1"/>
    <col min="30" max="30" width="1.5703125" style="354" customWidth="1"/>
    <col min="31" max="31" width="1.7109375" style="68" customWidth="1"/>
    <col min="32" max="35" width="8.7109375" style="68" customWidth="1"/>
    <col min="36" max="36" width="1.5703125" style="68" customWidth="1"/>
    <col min="37" max="37" width="12.7109375" style="68" customWidth="1"/>
    <col min="38" max="38" width="12.7109375" style="67" customWidth="1"/>
    <col min="39" max="39" width="12.7109375" style="354" customWidth="1"/>
    <col min="40" max="40" width="12.7109375" style="68" customWidth="1"/>
    <col min="41" max="41" width="1.5703125" style="68" customWidth="1"/>
    <col min="42" max="43" width="10.7109375" style="68" customWidth="1"/>
    <col min="44" max="45" width="2.7109375" style="68" customWidth="1"/>
    <col min="46" max="51" width="9.28515625" style="68" bestFit="1" customWidth="1"/>
    <col min="52" max="16384" width="9.140625" style="68"/>
  </cols>
  <sheetData>
    <row r="1" spans="1:41" ht="12.75" customHeight="1"/>
    <row r="2" spans="1:41">
      <c r="B2" s="87"/>
      <c r="C2" s="88"/>
      <c r="D2" s="424"/>
      <c r="E2" s="424"/>
      <c r="F2" s="424"/>
      <c r="G2" s="424"/>
      <c r="H2" s="424"/>
      <c r="I2" s="428"/>
      <c r="J2" s="428"/>
      <c r="K2" s="427"/>
      <c r="L2" s="428"/>
      <c r="M2" s="427"/>
      <c r="N2" s="88"/>
      <c r="O2" s="428"/>
      <c r="P2" s="88"/>
      <c r="Q2" s="88"/>
      <c r="R2" s="88"/>
      <c r="S2" s="431"/>
      <c r="T2" s="432"/>
      <c r="U2" s="433"/>
      <c r="V2" s="431"/>
      <c r="W2" s="88"/>
      <c r="X2" s="91"/>
    </row>
    <row r="3" spans="1:41">
      <c r="B3" s="92"/>
      <c r="C3" s="93"/>
      <c r="D3" s="271"/>
      <c r="E3" s="271"/>
      <c r="F3" s="271"/>
      <c r="G3" s="271"/>
      <c r="H3" s="271"/>
      <c r="I3" s="437"/>
      <c r="J3" s="437"/>
      <c r="K3" s="436"/>
      <c r="L3" s="437"/>
      <c r="M3" s="436"/>
      <c r="N3" s="93"/>
      <c r="O3" s="437"/>
      <c r="P3" s="93"/>
      <c r="Q3" s="93"/>
      <c r="R3" s="93"/>
      <c r="S3" s="440"/>
      <c r="T3" s="273"/>
      <c r="U3" s="262"/>
      <c r="V3" s="440"/>
      <c r="W3" s="93"/>
      <c r="X3" s="97"/>
    </row>
    <row r="4" spans="1:41" s="356" customFormat="1" ht="18.75">
      <c r="B4" s="441"/>
      <c r="C4" s="304" t="s">
        <v>323</v>
      </c>
      <c r="D4" s="442"/>
      <c r="E4" s="442"/>
      <c r="F4" s="442"/>
      <c r="G4" s="442"/>
      <c r="H4" s="442"/>
      <c r="I4" s="446"/>
      <c r="J4" s="446"/>
      <c r="K4" s="445"/>
      <c r="L4" s="446"/>
      <c r="M4" s="445"/>
      <c r="N4" s="442"/>
      <c r="O4" s="446"/>
      <c r="P4" s="442"/>
      <c r="Q4" s="442"/>
      <c r="R4" s="442"/>
      <c r="S4" s="450"/>
      <c r="T4" s="451"/>
      <c r="U4" s="452"/>
      <c r="V4" s="450"/>
      <c r="W4" s="442"/>
      <c r="X4" s="453"/>
      <c r="AC4" s="357"/>
      <c r="AD4" s="361"/>
      <c r="AE4" s="357"/>
      <c r="AF4" s="357"/>
      <c r="AG4" s="357"/>
      <c r="AH4" s="357"/>
      <c r="AI4" s="358"/>
      <c r="AJ4" s="359"/>
      <c r="AK4" s="360"/>
      <c r="AL4" s="594"/>
      <c r="AM4" s="358"/>
    </row>
    <row r="5" spans="1:41" s="356" customFormat="1" ht="18.75">
      <c r="B5" s="441"/>
      <c r="C5" s="260" t="str">
        <f>geg!I12</f>
        <v>De speciale school</v>
      </c>
      <c r="D5" s="442"/>
      <c r="E5" s="442"/>
      <c r="F5" s="442"/>
      <c r="G5" s="442"/>
      <c r="H5" s="442"/>
      <c r="I5" s="446"/>
      <c r="J5" s="446"/>
      <c r="K5" s="445"/>
      <c r="L5" s="446"/>
      <c r="M5" s="445"/>
      <c r="N5" s="442"/>
      <c r="O5" s="446"/>
      <c r="P5" s="442"/>
      <c r="Q5" s="442"/>
      <c r="R5" s="442"/>
      <c r="S5" s="450"/>
      <c r="T5" s="451"/>
      <c r="U5" s="452"/>
      <c r="V5" s="450"/>
      <c r="W5" s="442"/>
      <c r="X5" s="453"/>
      <c r="AC5" s="357"/>
      <c r="AD5" s="361"/>
      <c r="AE5" s="357"/>
      <c r="AF5" s="357"/>
      <c r="AG5" s="357"/>
      <c r="AH5" s="357"/>
      <c r="AI5" s="358"/>
      <c r="AJ5" s="359"/>
      <c r="AK5" s="360"/>
      <c r="AL5" s="594"/>
      <c r="AM5" s="358"/>
    </row>
    <row r="6" spans="1:41" ht="12.75" customHeight="1">
      <c r="B6" s="92"/>
      <c r="C6" s="93"/>
      <c r="D6" s="93"/>
      <c r="E6" s="93"/>
      <c r="F6" s="271"/>
      <c r="G6" s="271"/>
      <c r="H6" s="271"/>
      <c r="I6" s="437"/>
      <c r="J6" s="437"/>
      <c r="K6" s="436"/>
      <c r="L6" s="437"/>
      <c r="M6" s="436"/>
      <c r="N6" s="93"/>
      <c r="O6" s="437"/>
      <c r="P6" s="93"/>
      <c r="Q6" s="93"/>
      <c r="R6" s="93"/>
      <c r="S6" s="440"/>
      <c r="T6" s="273"/>
      <c r="U6" s="262"/>
      <c r="V6" s="440"/>
      <c r="W6" s="93"/>
      <c r="X6" s="97"/>
      <c r="AC6" s="348"/>
      <c r="AD6" s="353"/>
      <c r="AE6" s="348"/>
      <c r="AF6" s="348"/>
      <c r="AG6" s="348"/>
      <c r="AH6" s="348"/>
      <c r="AI6" s="349"/>
      <c r="AJ6" s="350"/>
      <c r="AK6" s="351"/>
      <c r="AL6" s="368"/>
      <c r="AM6" s="349"/>
    </row>
    <row r="7" spans="1:41" ht="12.75" customHeight="1">
      <c r="B7" s="92"/>
      <c r="C7" s="93"/>
      <c r="D7" s="93"/>
      <c r="E7" s="93"/>
      <c r="F7" s="271"/>
      <c r="G7" s="271"/>
      <c r="H7" s="271"/>
      <c r="I7" s="437"/>
      <c r="J7" s="437"/>
      <c r="K7" s="436"/>
      <c r="L7" s="437"/>
      <c r="M7" s="436"/>
      <c r="N7" s="93"/>
      <c r="O7" s="437"/>
      <c r="P7" s="93"/>
      <c r="Q7" s="93"/>
      <c r="R7" s="93"/>
      <c r="S7" s="440"/>
      <c r="T7" s="273"/>
      <c r="U7" s="262"/>
      <c r="V7" s="440"/>
      <c r="W7" s="93"/>
      <c r="X7" s="97"/>
      <c r="AC7" s="348"/>
      <c r="AD7" s="353"/>
      <c r="AE7" s="348"/>
      <c r="AF7" s="348"/>
      <c r="AG7" s="348"/>
      <c r="AH7" s="348"/>
      <c r="AI7" s="349"/>
      <c r="AJ7" s="350"/>
      <c r="AK7" s="351"/>
      <c r="AL7" s="368"/>
      <c r="AM7" s="349"/>
    </row>
    <row r="8" spans="1:41" s="369" customFormat="1" ht="12.75" customHeight="1">
      <c r="B8" s="454"/>
      <c r="C8" s="93" t="s">
        <v>290</v>
      </c>
      <c r="D8" s="271"/>
      <c r="E8" s="455" t="str">
        <f>op!E8</f>
        <v>2012/13</v>
      </c>
      <c r="F8" s="456"/>
      <c r="G8" s="456"/>
      <c r="H8" s="456"/>
      <c r="I8" s="460"/>
      <c r="J8" s="460"/>
      <c r="K8" s="459"/>
      <c r="L8" s="460"/>
      <c r="M8" s="459"/>
      <c r="N8" s="462"/>
      <c r="O8" s="603"/>
      <c r="P8" s="462"/>
      <c r="Q8" s="462"/>
      <c r="R8" s="462"/>
      <c r="S8" s="465"/>
      <c r="T8" s="466"/>
      <c r="U8" s="467"/>
      <c r="V8" s="465"/>
      <c r="W8" s="462"/>
      <c r="X8" s="468"/>
      <c r="AC8" s="372"/>
      <c r="AD8" s="376"/>
      <c r="AE8" s="372"/>
      <c r="AF8" s="372"/>
      <c r="AG8" s="372"/>
      <c r="AH8" s="372"/>
      <c r="AI8" s="373"/>
      <c r="AJ8" s="374"/>
      <c r="AK8" s="375"/>
      <c r="AL8" s="377"/>
      <c r="AM8" s="373"/>
    </row>
    <row r="9" spans="1:41" ht="12.75" customHeight="1">
      <c r="B9" s="92"/>
      <c r="C9" s="93" t="s">
        <v>291</v>
      </c>
      <c r="D9" s="271"/>
      <c r="E9" s="455">
        <f>op!E9</f>
        <v>41183</v>
      </c>
      <c r="F9" s="469"/>
      <c r="G9" s="469"/>
      <c r="H9" s="469"/>
      <c r="I9" s="437"/>
      <c r="J9" s="437"/>
      <c r="K9" s="436"/>
      <c r="L9" s="437"/>
      <c r="M9" s="436"/>
      <c r="N9" s="93"/>
      <c r="O9" s="437"/>
      <c r="P9" s="93"/>
      <c r="Q9" s="93"/>
      <c r="R9" s="93"/>
      <c r="S9" s="440"/>
      <c r="T9" s="273"/>
      <c r="U9" s="262"/>
      <c r="V9" s="440"/>
      <c r="W9" s="93"/>
      <c r="X9" s="97"/>
      <c r="AC9" s="348"/>
      <c r="AD9" s="353"/>
      <c r="AE9" s="348"/>
      <c r="AF9" s="348"/>
      <c r="AG9" s="348"/>
      <c r="AH9" s="348"/>
      <c r="AI9" s="349"/>
      <c r="AJ9" s="350"/>
      <c r="AK9" s="351"/>
      <c r="AL9" s="368"/>
      <c r="AM9" s="349"/>
    </row>
    <row r="10" spans="1:41" ht="12.75" customHeight="1">
      <c r="B10" s="92"/>
      <c r="C10" s="93"/>
      <c r="D10" s="471"/>
      <c r="E10" s="472"/>
      <c r="F10" s="469"/>
      <c r="G10" s="469"/>
      <c r="H10" s="469"/>
      <c r="I10" s="437"/>
      <c r="J10" s="437"/>
      <c r="K10" s="436"/>
      <c r="L10" s="437"/>
      <c r="M10" s="436"/>
      <c r="N10" s="93"/>
      <c r="O10" s="437"/>
      <c r="P10" s="93"/>
      <c r="Q10" s="93"/>
      <c r="R10" s="93"/>
      <c r="S10" s="440"/>
      <c r="T10" s="273"/>
      <c r="U10" s="262"/>
      <c r="V10" s="440"/>
      <c r="W10" s="93"/>
      <c r="X10" s="97"/>
      <c r="AC10" s="596"/>
      <c r="AD10" s="597"/>
      <c r="AE10" s="596"/>
      <c r="AF10" s="596"/>
      <c r="AG10" s="596"/>
      <c r="AH10" s="348"/>
      <c r="AI10" s="598"/>
      <c r="AJ10" s="599"/>
      <c r="AK10" s="600"/>
      <c r="AL10" s="79"/>
      <c r="AM10" s="598"/>
    </row>
    <row r="11" spans="1:41" ht="12.75" customHeight="1">
      <c r="B11" s="92"/>
      <c r="C11" s="124"/>
      <c r="D11" s="628"/>
      <c r="E11" s="629"/>
      <c r="F11" s="630"/>
      <c r="G11" s="631"/>
      <c r="H11" s="632"/>
      <c r="I11" s="633"/>
      <c r="J11" s="633"/>
      <c r="K11" s="634"/>
      <c r="L11" s="633"/>
      <c r="M11" s="635"/>
      <c r="N11" s="636"/>
      <c r="O11" s="637"/>
      <c r="P11" s="636"/>
      <c r="Q11" s="636"/>
      <c r="R11" s="636"/>
      <c r="S11" s="638"/>
      <c r="T11" s="639"/>
      <c r="U11" s="640"/>
      <c r="V11" s="638"/>
      <c r="W11" s="130"/>
      <c r="X11" s="97"/>
      <c r="AC11" s="596"/>
      <c r="AD11" s="597"/>
      <c r="AE11" s="596"/>
      <c r="AF11" s="596"/>
      <c r="AG11" s="596"/>
      <c r="AH11" s="348"/>
      <c r="AI11" s="598"/>
      <c r="AJ11" s="599"/>
      <c r="AK11" s="600"/>
      <c r="AL11" s="79"/>
      <c r="AM11" s="598"/>
    </row>
    <row r="12" spans="1:41" ht="12.75" customHeight="1">
      <c r="B12" s="92"/>
      <c r="C12" s="620"/>
      <c r="D12" s="1176" t="s">
        <v>292</v>
      </c>
      <c r="E12" s="1177"/>
      <c r="F12" s="1177"/>
      <c r="G12" s="1177"/>
      <c r="H12" s="1177"/>
      <c r="I12" s="1178"/>
      <c r="J12" s="1178"/>
      <c r="K12" s="1178"/>
      <c r="L12" s="1178"/>
      <c r="M12" s="1178"/>
      <c r="N12" s="525"/>
      <c r="O12" s="1176" t="s">
        <v>293</v>
      </c>
      <c r="P12" s="1178"/>
      <c r="Q12" s="1178"/>
      <c r="R12" s="1178"/>
      <c r="S12" s="1178"/>
      <c r="T12" s="1178"/>
      <c r="U12" s="526"/>
      <c r="V12" s="242"/>
      <c r="W12" s="621"/>
      <c r="X12" s="604"/>
      <c r="Y12" s="393"/>
      <c r="Z12" s="349"/>
      <c r="AA12" s="85"/>
      <c r="AB12" s="349"/>
      <c r="AC12" s="68"/>
      <c r="AD12" s="68"/>
      <c r="AL12" s="68"/>
      <c r="AM12" s="68"/>
      <c r="AN12" s="393"/>
      <c r="AO12" s="393"/>
    </row>
    <row r="13" spans="1:41" ht="12.75" customHeight="1">
      <c r="B13" s="92"/>
      <c r="C13" s="524"/>
      <c r="D13" s="528" t="s">
        <v>541</v>
      </c>
      <c r="E13" s="528" t="s">
        <v>294</v>
      </c>
      <c r="F13" s="528" t="s">
        <v>295</v>
      </c>
      <c r="G13" s="529" t="s">
        <v>296</v>
      </c>
      <c r="H13" s="530" t="s">
        <v>297</v>
      </c>
      <c r="I13" s="529" t="s">
        <v>302</v>
      </c>
      <c r="J13" s="529" t="s">
        <v>303</v>
      </c>
      <c r="K13" s="531" t="s">
        <v>305</v>
      </c>
      <c r="L13" s="532" t="s">
        <v>306</v>
      </c>
      <c r="M13" s="531" t="s">
        <v>307</v>
      </c>
      <c r="N13" s="528"/>
      <c r="O13" s="535" t="s">
        <v>304</v>
      </c>
      <c r="P13" s="535" t="s">
        <v>738</v>
      </c>
      <c r="Q13" s="587" t="s">
        <v>739</v>
      </c>
      <c r="R13" s="510"/>
      <c r="S13" s="536" t="s">
        <v>306</v>
      </c>
      <c r="T13" s="576" t="s">
        <v>308</v>
      </c>
      <c r="U13" s="537" t="s">
        <v>309</v>
      </c>
      <c r="V13" s="242" t="s">
        <v>740</v>
      </c>
      <c r="W13" s="538"/>
      <c r="X13" s="605"/>
      <c r="Y13" s="394"/>
      <c r="Z13" s="392"/>
      <c r="AA13" s="391"/>
      <c r="AB13" s="392"/>
      <c r="AC13" s="68"/>
      <c r="AD13" s="68"/>
      <c r="AL13" s="68"/>
      <c r="AM13" s="68"/>
      <c r="AN13" s="393"/>
      <c r="AO13" s="394"/>
    </row>
    <row r="14" spans="1:41" s="403" customFormat="1" ht="12.75" customHeight="1">
      <c r="A14" s="402"/>
      <c r="B14" s="487"/>
      <c r="C14" s="622"/>
      <c r="D14" s="540"/>
      <c r="E14" s="528"/>
      <c r="F14" s="532"/>
      <c r="G14" s="529" t="s">
        <v>312</v>
      </c>
      <c r="H14" s="530" t="s">
        <v>313</v>
      </c>
      <c r="I14" s="529"/>
      <c r="J14" s="529"/>
      <c r="K14" s="531" t="s">
        <v>316</v>
      </c>
      <c r="L14" s="532" t="s">
        <v>317</v>
      </c>
      <c r="M14" s="531" t="s">
        <v>318</v>
      </c>
      <c r="N14" s="528"/>
      <c r="O14" s="535" t="s">
        <v>315</v>
      </c>
      <c r="P14" s="535" t="s">
        <v>741</v>
      </c>
      <c r="Q14" s="577">
        <f>tab!D108</f>
        <v>0.6</v>
      </c>
      <c r="R14" s="510" t="s">
        <v>742</v>
      </c>
      <c r="S14" s="536" t="s">
        <v>310</v>
      </c>
      <c r="T14" s="576" t="s">
        <v>391</v>
      </c>
      <c r="U14" s="537"/>
      <c r="V14" s="536" t="s">
        <v>310</v>
      </c>
      <c r="W14" s="623"/>
      <c r="X14" s="488"/>
      <c r="AO14" s="404"/>
    </row>
    <row r="15" spans="1:41" ht="12.75" customHeight="1">
      <c r="B15" s="92"/>
      <c r="C15" s="131"/>
      <c r="D15" s="155"/>
      <c r="E15" s="155"/>
      <c r="F15" s="155"/>
      <c r="G15" s="155"/>
      <c r="H15" s="543"/>
      <c r="I15" s="544"/>
      <c r="J15" s="544"/>
      <c r="K15" s="545"/>
      <c r="L15" s="542"/>
      <c r="M15" s="545"/>
      <c r="N15" s="155"/>
      <c r="O15" s="546"/>
      <c r="P15" s="547"/>
      <c r="Q15" s="547"/>
      <c r="R15" s="547"/>
      <c r="S15" s="548"/>
      <c r="T15" s="547"/>
      <c r="U15" s="549"/>
      <c r="V15" s="548"/>
      <c r="W15" s="136"/>
      <c r="X15" s="97"/>
      <c r="AC15" s="68"/>
      <c r="AD15" s="68"/>
      <c r="AL15" s="68"/>
      <c r="AM15" s="68"/>
      <c r="AO15" s="395"/>
    </row>
    <row r="16" spans="1:41" ht="12.75" customHeight="1">
      <c r="B16" s="92"/>
      <c r="C16" s="131"/>
      <c r="D16" s="169"/>
      <c r="E16" s="169"/>
      <c r="F16" s="169"/>
      <c r="G16" s="170"/>
      <c r="H16" s="566"/>
      <c r="I16" s="170"/>
      <c r="J16" s="567"/>
      <c r="K16" s="568"/>
      <c r="L16" s="569"/>
      <c r="M16" s="570">
        <f t="shared" ref="M16:M40" si="0">(IF(L16=0,(K16),(K16)-L16))</f>
        <v>0</v>
      </c>
      <c r="N16" s="551"/>
      <c r="O16" s="573" t="str">
        <f>IF(I16="","",VLOOKUP(I16,tab!$A$119:$W$159,J16+3,FALSE))</f>
        <v/>
      </c>
      <c r="P16" s="572">
        <f t="shared" ref="P16:P47" si="1">IF(E16=0,0,(O16*M16*12))</f>
        <v>0</v>
      </c>
      <c r="Q16" s="589">
        <f>$Q$14</f>
        <v>0.6</v>
      </c>
      <c r="R16" s="573" t="str">
        <f>IF(E16=0,"",(P16)*Q16)</f>
        <v/>
      </c>
      <c r="S16" s="332">
        <f>IF(L16="",0,(((O16*12)*L16)*(1+tab!$D$108)*IF(I16&gt;8,tab!$E$110,tab!$E$112)))</f>
        <v>0</v>
      </c>
      <c r="T16" s="580">
        <f>IF(E16=0,0,(P16+R16+S16))</f>
        <v>0</v>
      </c>
      <c r="U16" s="243">
        <f>IF(G16&lt;25,0,IF(G16=25,25,IF(G16&lt;40,0,IF(G16=40,40,IF(G16&gt;=40,0)))))</f>
        <v>0</v>
      </c>
      <c r="V16" s="332">
        <f t="shared" ref="V16:V47" si="2">IF(U16=25,(O16*1.08*(K16)/2),IF(U16=40,(O16*1.08*(K16)),IF(U16=0,0)))</f>
        <v>0</v>
      </c>
      <c r="W16" s="624"/>
      <c r="X16" s="97"/>
    </row>
    <row r="17" spans="2:24" ht="12.75" customHeight="1">
      <c r="B17" s="92"/>
      <c r="C17" s="131"/>
      <c r="D17" s="169"/>
      <c r="E17" s="169"/>
      <c r="F17" s="169"/>
      <c r="G17" s="170"/>
      <c r="H17" s="566"/>
      <c r="I17" s="170"/>
      <c r="J17" s="567"/>
      <c r="K17" s="568"/>
      <c r="L17" s="569"/>
      <c r="M17" s="570">
        <f t="shared" si="0"/>
        <v>0</v>
      </c>
      <c r="N17" s="551"/>
      <c r="O17" s="573" t="str">
        <f>IF(I17="","",VLOOKUP(I17,tab!$A$119:$W$159,J17+3,FALSE))</f>
        <v/>
      </c>
      <c r="P17" s="572">
        <f t="shared" si="1"/>
        <v>0</v>
      </c>
      <c r="Q17" s="589">
        <f t="shared" ref="Q17:Q65" si="3">$Q$14</f>
        <v>0.6</v>
      </c>
      <c r="R17" s="573" t="str">
        <f t="shared" ref="R17:R65" si="4">IF(E17=0,"",(P17)*Q17)</f>
        <v/>
      </c>
      <c r="S17" s="332">
        <f>IF(L17="",0,(((O17*12)*L17)*(1+tab!$D$108)*IF(I17&gt;8,tab!$E$110,tab!$E$112)))</f>
        <v>0</v>
      </c>
      <c r="T17" s="580">
        <f t="shared" ref="T17:T65" si="5">IF(E17=0,0,(P17+R17+S17))</f>
        <v>0</v>
      </c>
      <c r="U17" s="243">
        <f t="shared" ref="U17:U65" si="6">IF(G17&lt;25,0,IF(G17=25,25,IF(G17&lt;40,0,IF(G17=40,40,IF(G17&gt;=40,0)))))</f>
        <v>0</v>
      </c>
      <c r="V17" s="332">
        <f t="shared" si="2"/>
        <v>0</v>
      </c>
      <c r="W17" s="624"/>
      <c r="X17" s="97"/>
    </row>
    <row r="18" spans="2:24" ht="12.75" customHeight="1">
      <c r="B18" s="92"/>
      <c r="C18" s="131"/>
      <c r="D18" s="169"/>
      <c r="E18" s="169"/>
      <c r="F18" s="169"/>
      <c r="G18" s="170"/>
      <c r="H18" s="566"/>
      <c r="I18" s="170"/>
      <c r="J18" s="567"/>
      <c r="K18" s="568"/>
      <c r="L18" s="569"/>
      <c r="M18" s="570">
        <f t="shared" si="0"/>
        <v>0</v>
      </c>
      <c r="N18" s="551"/>
      <c r="O18" s="573" t="str">
        <f>IF(I18="","",VLOOKUP(I18,tab!$A$119:$W$159,J18+3,FALSE))</f>
        <v/>
      </c>
      <c r="P18" s="572">
        <f t="shared" si="1"/>
        <v>0</v>
      </c>
      <c r="Q18" s="589">
        <f t="shared" si="3"/>
        <v>0.6</v>
      </c>
      <c r="R18" s="573" t="str">
        <f t="shared" si="4"/>
        <v/>
      </c>
      <c r="S18" s="332">
        <f>IF(L18="",0,(((O18*12)*L18)*(1+tab!$D$108)*IF(I18&gt;8,tab!$E$110,tab!$E$112)))</f>
        <v>0</v>
      </c>
      <c r="T18" s="580">
        <f t="shared" si="5"/>
        <v>0</v>
      </c>
      <c r="U18" s="243">
        <f t="shared" si="6"/>
        <v>0</v>
      </c>
      <c r="V18" s="332">
        <f t="shared" si="2"/>
        <v>0</v>
      </c>
      <c r="W18" s="624"/>
      <c r="X18" s="97"/>
    </row>
    <row r="19" spans="2:24" ht="12.75" customHeight="1">
      <c r="B19" s="92"/>
      <c r="C19" s="131"/>
      <c r="D19" s="169"/>
      <c r="E19" s="169"/>
      <c r="F19" s="169"/>
      <c r="G19" s="170"/>
      <c r="H19" s="566"/>
      <c r="I19" s="170"/>
      <c r="J19" s="567"/>
      <c r="K19" s="568"/>
      <c r="L19" s="569"/>
      <c r="M19" s="570">
        <f t="shared" si="0"/>
        <v>0</v>
      </c>
      <c r="N19" s="551"/>
      <c r="O19" s="573" t="str">
        <f>IF(I19="","",VLOOKUP(I19,tab!$A$119:$W$159,J19+3,FALSE))</f>
        <v/>
      </c>
      <c r="P19" s="572">
        <f t="shared" si="1"/>
        <v>0</v>
      </c>
      <c r="Q19" s="589">
        <f t="shared" si="3"/>
        <v>0.6</v>
      </c>
      <c r="R19" s="573" t="str">
        <f t="shared" si="4"/>
        <v/>
      </c>
      <c r="S19" s="332">
        <f>IF(L19="",0,(((O19*12)*L19)*(1+tab!$D$108)*IF(I19&gt;8,tab!$E$110,tab!$E$112)))</f>
        <v>0</v>
      </c>
      <c r="T19" s="580">
        <f t="shared" si="5"/>
        <v>0</v>
      </c>
      <c r="U19" s="243">
        <f t="shared" si="6"/>
        <v>0</v>
      </c>
      <c r="V19" s="332">
        <f t="shared" si="2"/>
        <v>0</v>
      </c>
      <c r="W19" s="624"/>
      <c r="X19" s="97"/>
    </row>
    <row r="20" spans="2:24" ht="12.75" customHeight="1">
      <c r="B20" s="92"/>
      <c r="C20" s="131"/>
      <c r="D20" s="169"/>
      <c r="E20" s="169"/>
      <c r="F20" s="169"/>
      <c r="G20" s="170"/>
      <c r="H20" s="566"/>
      <c r="I20" s="170"/>
      <c r="J20" s="567"/>
      <c r="K20" s="568"/>
      <c r="L20" s="569"/>
      <c r="M20" s="570">
        <f t="shared" si="0"/>
        <v>0</v>
      </c>
      <c r="N20" s="551"/>
      <c r="O20" s="573" t="str">
        <f>IF(I20="","",VLOOKUP(I20,tab!$A$119:$W$159,J20+3,FALSE))</f>
        <v/>
      </c>
      <c r="P20" s="572">
        <f t="shared" si="1"/>
        <v>0</v>
      </c>
      <c r="Q20" s="589">
        <f t="shared" si="3"/>
        <v>0.6</v>
      </c>
      <c r="R20" s="573" t="str">
        <f t="shared" si="4"/>
        <v/>
      </c>
      <c r="S20" s="332">
        <f>IF(L20="",0,(((O20*12)*L20)*(1+tab!$D$108)*IF(I20&gt;8,tab!$E$110,tab!$E$112)))</f>
        <v>0</v>
      </c>
      <c r="T20" s="580">
        <f t="shared" si="5"/>
        <v>0</v>
      </c>
      <c r="U20" s="243">
        <f t="shared" si="6"/>
        <v>0</v>
      </c>
      <c r="V20" s="332">
        <f t="shared" si="2"/>
        <v>0</v>
      </c>
      <c r="W20" s="624"/>
      <c r="X20" s="97"/>
    </row>
    <row r="21" spans="2:24" ht="12.75" customHeight="1">
      <c r="B21" s="92"/>
      <c r="C21" s="131"/>
      <c r="D21" s="169"/>
      <c r="E21" s="169"/>
      <c r="F21" s="169"/>
      <c r="G21" s="170"/>
      <c r="H21" s="566"/>
      <c r="I21" s="170"/>
      <c r="J21" s="567"/>
      <c r="K21" s="568"/>
      <c r="L21" s="569"/>
      <c r="M21" s="570">
        <f t="shared" si="0"/>
        <v>0</v>
      </c>
      <c r="N21" s="551"/>
      <c r="O21" s="573" t="str">
        <f>IF(I21="","",VLOOKUP(I21,tab!$A$119:$W$159,J21+3,FALSE))</f>
        <v/>
      </c>
      <c r="P21" s="572">
        <f t="shared" si="1"/>
        <v>0</v>
      </c>
      <c r="Q21" s="589">
        <f t="shared" si="3"/>
        <v>0.6</v>
      </c>
      <c r="R21" s="573" t="str">
        <f t="shared" si="4"/>
        <v/>
      </c>
      <c r="S21" s="332">
        <f>IF(L21="",0,(((O21*12)*L21)*(1+tab!$D$108)*IF(I21&gt;8,tab!$E$110,tab!$E$112)))</f>
        <v>0</v>
      </c>
      <c r="T21" s="580">
        <f t="shared" si="5"/>
        <v>0</v>
      </c>
      <c r="U21" s="243">
        <f t="shared" si="6"/>
        <v>0</v>
      </c>
      <c r="V21" s="332">
        <f t="shared" si="2"/>
        <v>0</v>
      </c>
      <c r="W21" s="624"/>
      <c r="X21" s="97"/>
    </row>
    <row r="22" spans="2:24" ht="12.75" customHeight="1">
      <c r="B22" s="92"/>
      <c r="C22" s="131"/>
      <c r="D22" s="169"/>
      <c r="E22" s="169"/>
      <c r="F22" s="169"/>
      <c r="G22" s="170"/>
      <c r="H22" s="566"/>
      <c r="I22" s="170"/>
      <c r="J22" s="567"/>
      <c r="K22" s="568"/>
      <c r="L22" s="569"/>
      <c r="M22" s="570">
        <f t="shared" si="0"/>
        <v>0</v>
      </c>
      <c r="N22" s="551"/>
      <c r="O22" s="573" t="str">
        <f>IF(I22="","",VLOOKUP(I22,tab!$A$119:$W$159,J22+3,FALSE))</f>
        <v/>
      </c>
      <c r="P22" s="572">
        <f t="shared" si="1"/>
        <v>0</v>
      </c>
      <c r="Q22" s="589">
        <f t="shared" si="3"/>
        <v>0.6</v>
      </c>
      <c r="R22" s="573" t="str">
        <f t="shared" si="4"/>
        <v/>
      </c>
      <c r="S22" s="332">
        <f>IF(L22="",0,(((O22*12)*L22)*(1+tab!$D$108)*IF(I22&gt;8,tab!$E$110,tab!$E$112)))</f>
        <v>0</v>
      </c>
      <c r="T22" s="580">
        <f t="shared" si="5"/>
        <v>0</v>
      </c>
      <c r="U22" s="243">
        <f t="shared" si="6"/>
        <v>0</v>
      </c>
      <c r="V22" s="332">
        <f t="shared" si="2"/>
        <v>0</v>
      </c>
      <c r="W22" s="624"/>
      <c r="X22" s="97"/>
    </row>
    <row r="23" spans="2:24" ht="12.75" customHeight="1">
      <c r="B23" s="92"/>
      <c r="C23" s="131"/>
      <c r="D23" s="169"/>
      <c r="E23" s="169"/>
      <c r="F23" s="169"/>
      <c r="G23" s="170"/>
      <c r="H23" s="566"/>
      <c r="I23" s="170"/>
      <c r="J23" s="567"/>
      <c r="K23" s="568"/>
      <c r="L23" s="569"/>
      <c r="M23" s="570">
        <f t="shared" si="0"/>
        <v>0</v>
      </c>
      <c r="N23" s="551"/>
      <c r="O23" s="573" t="str">
        <f>IF(I23="","",VLOOKUP(I23,tab!$A$119:$W$159,J23+3,FALSE))</f>
        <v/>
      </c>
      <c r="P23" s="572">
        <f t="shared" si="1"/>
        <v>0</v>
      </c>
      <c r="Q23" s="589">
        <f t="shared" si="3"/>
        <v>0.6</v>
      </c>
      <c r="R23" s="573" t="str">
        <f t="shared" si="4"/>
        <v/>
      </c>
      <c r="S23" s="332">
        <f>IF(L23="",0,(((O23*12)*L23)*(1+tab!$D$108)*IF(I23&gt;8,tab!$E$110,tab!$E$112)))</f>
        <v>0</v>
      </c>
      <c r="T23" s="580">
        <f t="shared" si="5"/>
        <v>0</v>
      </c>
      <c r="U23" s="243">
        <f t="shared" si="6"/>
        <v>0</v>
      </c>
      <c r="V23" s="332">
        <f t="shared" si="2"/>
        <v>0</v>
      </c>
      <c r="W23" s="624"/>
      <c r="X23" s="97"/>
    </row>
    <row r="24" spans="2:24" ht="12.75" customHeight="1">
      <c r="B24" s="92"/>
      <c r="C24" s="131"/>
      <c r="D24" s="169"/>
      <c r="E24" s="169"/>
      <c r="F24" s="169"/>
      <c r="G24" s="170"/>
      <c r="H24" s="566"/>
      <c r="I24" s="170"/>
      <c r="J24" s="567"/>
      <c r="K24" s="568"/>
      <c r="L24" s="569"/>
      <c r="M24" s="570">
        <f t="shared" si="0"/>
        <v>0</v>
      </c>
      <c r="N24" s="551"/>
      <c r="O24" s="573" t="str">
        <f>IF(I24="","",VLOOKUP(I24,tab!$A$119:$W$159,J24+3,FALSE))</f>
        <v/>
      </c>
      <c r="P24" s="572">
        <f t="shared" si="1"/>
        <v>0</v>
      </c>
      <c r="Q24" s="589">
        <f t="shared" si="3"/>
        <v>0.6</v>
      </c>
      <c r="R24" s="573" t="str">
        <f t="shared" si="4"/>
        <v/>
      </c>
      <c r="S24" s="332">
        <f>IF(L24="",0,(((O24*12)*L24)*(1+tab!$D$108)*IF(I24&gt;8,tab!$E$110,tab!$E$112)))</f>
        <v>0</v>
      </c>
      <c r="T24" s="580">
        <f t="shared" si="5"/>
        <v>0</v>
      </c>
      <c r="U24" s="243">
        <f t="shared" si="6"/>
        <v>0</v>
      </c>
      <c r="V24" s="332">
        <f t="shared" si="2"/>
        <v>0</v>
      </c>
      <c r="W24" s="624"/>
      <c r="X24" s="97"/>
    </row>
    <row r="25" spans="2:24" ht="12.75" customHeight="1">
      <c r="B25" s="92"/>
      <c r="C25" s="131"/>
      <c r="D25" s="169"/>
      <c r="E25" s="169"/>
      <c r="F25" s="169"/>
      <c r="G25" s="170"/>
      <c r="H25" s="566"/>
      <c r="I25" s="170"/>
      <c r="J25" s="567"/>
      <c r="K25" s="568"/>
      <c r="L25" s="569"/>
      <c r="M25" s="570">
        <f t="shared" si="0"/>
        <v>0</v>
      </c>
      <c r="N25" s="551"/>
      <c r="O25" s="573" t="str">
        <f>IF(I25="","",VLOOKUP(I25,tab!$A$119:$W$159,J25+3,FALSE))</f>
        <v/>
      </c>
      <c r="P25" s="572">
        <f t="shared" si="1"/>
        <v>0</v>
      </c>
      <c r="Q25" s="589">
        <f t="shared" si="3"/>
        <v>0.6</v>
      </c>
      <c r="R25" s="573" t="str">
        <f t="shared" si="4"/>
        <v/>
      </c>
      <c r="S25" s="332">
        <f>IF(L25="",0,(((O25*12)*L25)*(1+tab!$D$108)*IF(I25&gt;8,tab!$E$110,tab!$E$112)))</f>
        <v>0</v>
      </c>
      <c r="T25" s="580">
        <f t="shared" si="5"/>
        <v>0</v>
      </c>
      <c r="U25" s="243">
        <f t="shared" si="6"/>
        <v>0</v>
      </c>
      <c r="V25" s="332">
        <f t="shared" si="2"/>
        <v>0</v>
      </c>
      <c r="W25" s="624"/>
      <c r="X25" s="97"/>
    </row>
    <row r="26" spans="2:24" ht="12.75" customHeight="1">
      <c r="B26" s="92"/>
      <c r="C26" s="131"/>
      <c r="D26" s="169"/>
      <c r="E26" s="169"/>
      <c r="F26" s="169"/>
      <c r="G26" s="170"/>
      <c r="H26" s="566"/>
      <c r="I26" s="170"/>
      <c r="J26" s="567"/>
      <c r="K26" s="568"/>
      <c r="L26" s="569"/>
      <c r="M26" s="570">
        <f t="shared" si="0"/>
        <v>0</v>
      </c>
      <c r="N26" s="551"/>
      <c r="O26" s="573" t="str">
        <f>IF(I26="","",VLOOKUP(I26,tab!$A$119:$W$159,J26+3,FALSE))</f>
        <v/>
      </c>
      <c r="P26" s="572">
        <f t="shared" si="1"/>
        <v>0</v>
      </c>
      <c r="Q26" s="589">
        <f t="shared" si="3"/>
        <v>0.6</v>
      </c>
      <c r="R26" s="573" t="str">
        <f t="shared" si="4"/>
        <v/>
      </c>
      <c r="S26" s="332">
        <f>IF(L26="",0,(((O26*12)*L26)*(1+tab!$D$108)*IF(I26&gt;8,tab!$E$110,tab!$E$112)))</f>
        <v>0</v>
      </c>
      <c r="T26" s="580">
        <f t="shared" si="5"/>
        <v>0</v>
      </c>
      <c r="U26" s="243">
        <f t="shared" si="6"/>
        <v>0</v>
      </c>
      <c r="V26" s="332">
        <f t="shared" si="2"/>
        <v>0</v>
      </c>
      <c r="W26" s="624"/>
      <c r="X26" s="97"/>
    </row>
    <row r="27" spans="2:24" ht="12.75" customHeight="1">
      <c r="B27" s="92"/>
      <c r="C27" s="131"/>
      <c r="D27" s="169"/>
      <c r="E27" s="169"/>
      <c r="F27" s="169"/>
      <c r="G27" s="170"/>
      <c r="H27" s="566"/>
      <c r="I27" s="170"/>
      <c r="J27" s="567"/>
      <c r="K27" s="568"/>
      <c r="L27" s="569"/>
      <c r="M27" s="570">
        <f t="shared" si="0"/>
        <v>0</v>
      </c>
      <c r="N27" s="551"/>
      <c r="O27" s="573" t="str">
        <f>IF(I27="","",VLOOKUP(I27,tab!$A$119:$W$159,J27+3,FALSE))</f>
        <v/>
      </c>
      <c r="P27" s="572">
        <f t="shared" si="1"/>
        <v>0</v>
      </c>
      <c r="Q27" s="589">
        <f t="shared" si="3"/>
        <v>0.6</v>
      </c>
      <c r="R27" s="573" t="str">
        <f t="shared" si="4"/>
        <v/>
      </c>
      <c r="S27" s="332">
        <f>IF(L27="",0,(((O27*12)*L27)*(1+tab!$D$108)*IF(I27&gt;8,tab!$E$110,tab!$E$112)))</f>
        <v>0</v>
      </c>
      <c r="T27" s="580">
        <f t="shared" si="5"/>
        <v>0</v>
      </c>
      <c r="U27" s="243">
        <f t="shared" si="6"/>
        <v>0</v>
      </c>
      <c r="V27" s="332">
        <f t="shared" si="2"/>
        <v>0</v>
      </c>
      <c r="W27" s="624"/>
      <c r="X27" s="97"/>
    </row>
    <row r="28" spans="2:24" ht="12.75" customHeight="1">
      <c r="B28" s="92"/>
      <c r="C28" s="131"/>
      <c r="D28" s="169"/>
      <c r="E28" s="169"/>
      <c r="F28" s="169"/>
      <c r="G28" s="170"/>
      <c r="H28" s="566"/>
      <c r="I28" s="170"/>
      <c r="J28" s="567"/>
      <c r="K28" s="568"/>
      <c r="L28" s="569"/>
      <c r="M28" s="570">
        <f t="shared" si="0"/>
        <v>0</v>
      </c>
      <c r="N28" s="551"/>
      <c r="O28" s="573" t="str">
        <f>IF(I28="","",VLOOKUP(I28,tab!$A$119:$W$159,J28+3,FALSE))</f>
        <v/>
      </c>
      <c r="P28" s="572">
        <f t="shared" si="1"/>
        <v>0</v>
      </c>
      <c r="Q28" s="589">
        <f t="shared" si="3"/>
        <v>0.6</v>
      </c>
      <c r="R28" s="573" t="str">
        <f t="shared" si="4"/>
        <v/>
      </c>
      <c r="S28" s="332">
        <f>IF(L28="",0,(((O28*12)*L28)*(1+tab!$D$108)*IF(I28&gt;8,tab!$E$110,tab!$E$112)))</f>
        <v>0</v>
      </c>
      <c r="T28" s="580">
        <f t="shared" si="5"/>
        <v>0</v>
      </c>
      <c r="U28" s="243">
        <f t="shared" si="6"/>
        <v>0</v>
      </c>
      <c r="V28" s="332">
        <f t="shared" si="2"/>
        <v>0</v>
      </c>
      <c r="W28" s="624"/>
      <c r="X28" s="97"/>
    </row>
    <row r="29" spans="2:24" ht="12.75" customHeight="1">
      <c r="B29" s="92"/>
      <c r="C29" s="131"/>
      <c r="D29" s="169"/>
      <c r="E29" s="169"/>
      <c r="F29" s="169"/>
      <c r="G29" s="170"/>
      <c r="H29" s="566"/>
      <c r="I29" s="170"/>
      <c r="J29" s="567"/>
      <c r="K29" s="568"/>
      <c r="L29" s="569"/>
      <c r="M29" s="570">
        <f t="shared" si="0"/>
        <v>0</v>
      </c>
      <c r="N29" s="551"/>
      <c r="O29" s="573" t="str">
        <f>IF(I29="","",VLOOKUP(I29,tab!$A$119:$W$159,J29+3,FALSE))</f>
        <v/>
      </c>
      <c r="P29" s="572">
        <f t="shared" si="1"/>
        <v>0</v>
      </c>
      <c r="Q29" s="589">
        <f t="shared" si="3"/>
        <v>0.6</v>
      </c>
      <c r="R29" s="573" t="str">
        <f t="shared" si="4"/>
        <v/>
      </c>
      <c r="S29" s="332">
        <f>IF(L29="",0,(((O29*12)*L29)*(1+tab!$D$108)*IF(I29&gt;8,tab!$E$110,tab!$E$112)))</f>
        <v>0</v>
      </c>
      <c r="T29" s="580">
        <f t="shared" si="5"/>
        <v>0</v>
      </c>
      <c r="U29" s="243">
        <f t="shared" si="6"/>
        <v>0</v>
      </c>
      <c r="V29" s="332">
        <f t="shared" si="2"/>
        <v>0</v>
      </c>
      <c r="W29" s="624"/>
      <c r="X29" s="97"/>
    </row>
    <row r="30" spans="2:24" ht="12.75" customHeight="1">
      <c r="B30" s="92"/>
      <c r="C30" s="131"/>
      <c r="D30" s="169"/>
      <c r="E30" s="169"/>
      <c r="F30" s="169"/>
      <c r="G30" s="170"/>
      <c r="H30" s="566"/>
      <c r="I30" s="170"/>
      <c r="J30" s="567"/>
      <c r="K30" s="568"/>
      <c r="L30" s="569"/>
      <c r="M30" s="570">
        <f t="shared" si="0"/>
        <v>0</v>
      </c>
      <c r="N30" s="551"/>
      <c r="O30" s="573" t="str">
        <f>IF(I30="","",VLOOKUP(I30,tab!$A$119:$W$159,J30+3,FALSE))</f>
        <v/>
      </c>
      <c r="P30" s="572">
        <f t="shared" si="1"/>
        <v>0</v>
      </c>
      <c r="Q30" s="589">
        <f t="shared" si="3"/>
        <v>0.6</v>
      </c>
      <c r="R30" s="573" t="str">
        <f t="shared" si="4"/>
        <v/>
      </c>
      <c r="S30" s="332">
        <f>IF(L30="",0,(((O30*12)*L30)*(1+tab!$D$108)*IF(I30&gt;8,tab!$E$110,tab!$E$112)))</f>
        <v>0</v>
      </c>
      <c r="T30" s="580">
        <f t="shared" si="5"/>
        <v>0</v>
      </c>
      <c r="U30" s="243">
        <f t="shared" si="6"/>
        <v>0</v>
      </c>
      <c r="V30" s="332">
        <f t="shared" si="2"/>
        <v>0</v>
      </c>
      <c r="W30" s="624"/>
      <c r="X30" s="97"/>
    </row>
    <row r="31" spans="2:24" ht="12.75" customHeight="1">
      <c r="B31" s="92"/>
      <c r="C31" s="131"/>
      <c r="D31" s="169"/>
      <c r="E31" s="169"/>
      <c r="F31" s="169"/>
      <c r="G31" s="170"/>
      <c r="H31" s="566"/>
      <c r="I31" s="170"/>
      <c r="J31" s="567"/>
      <c r="K31" s="568"/>
      <c r="L31" s="569"/>
      <c r="M31" s="570">
        <f t="shared" si="0"/>
        <v>0</v>
      </c>
      <c r="N31" s="551"/>
      <c r="O31" s="573" t="str">
        <f>IF(I31="","",VLOOKUP(I31,tab!$A$119:$W$159,J31+3,FALSE))</f>
        <v/>
      </c>
      <c r="P31" s="572">
        <f t="shared" si="1"/>
        <v>0</v>
      </c>
      <c r="Q31" s="589">
        <f t="shared" si="3"/>
        <v>0.6</v>
      </c>
      <c r="R31" s="573" t="str">
        <f t="shared" si="4"/>
        <v/>
      </c>
      <c r="S31" s="332">
        <f>IF(L31="",0,(((O31*12)*L31)*(1+tab!$D$108)*IF(I31&gt;8,tab!$E$110,tab!$E$112)))</f>
        <v>0</v>
      </c>
      <c r="T31" s="580">
        <f t="shared" si="5"/>
        <v>0</v>
      </c>
      <c r="U31" s="243">
        <f t="shared" si="6"/>
        <v>0</v>
      </c>
      <c r="V31" s="332">
        <f t="shared" si="2"/>
        <v>0</v>
      </c>
      <c r="W31" s="624"/>
      <c r="X31" s="97"/>
    </row>
    <row r="32" spans="2:24" ht="12.75" customHeight="1">
      <c r="B32" s="92"/>
      <c r="C32" s="131"/>
      <c r="D32" s="169"/>
      <c r="E32" s="169"/>
      <c r="F32" s="169"/>
      <c r="G32" s="170"/>
      <c r="H32" s="566"/>
      <c r="I32" s="170"/>
      <c r="J32" s="567"/>
      <c r="K32" s="568"/>
      <c r="L32" s="569"/>
      <c r="M32" s="570">
        <f t="shared" si="0"/>
        <v>0</v>
      </c>
      <c r="N32" s="551"/>
      <c r="O32" s="573" t="str">
        <f>IF(I32="","",VLOOKUP(I32,tab!$A$119:$W$159,J32+3,FALSE))</f>
        <v/>
      </c>
      <c r="P32" s="572">
        <f t="shared" si="1"/>
        <v>0</v>
      </c>
      <c r="Q32" s="589">
        <f t="shared" si="3"/>
        <v>0.6</v>
      </c>
      <c r="R32" s="573" t="str">
        <f t="shared" si="4"/>
        <v/>
      </c>
      <c r="S32" s="332">
        <f>IF(L32="",0,(((O32*12)*L32)*(1+tab!$D$108)*IF(I32&gt;8,tab!$E$110,tab!$E$112)))</f>
        <v>0</v>
      </c>
      <c r="T32" s="580">
        <f t="shared" si="5"/>
        <v>0</v>
      </c>
      <c r="U32" s="243">
        <f t="shared" si="6"/>
        <v>0</v>
      </c>
      <c r="V32" s="332">
        <f t="shared" si="2"/>
        <v>0</v>
      </c>
      <c r="W32" s="624"/>
      <c r="X32" s="97"/>
    </row>
    <row r="33" spans="2:24" ht="12.75" customHeight="1">
      <c r="B33" s="92"/>
      <c r="C33" s="131"/>
      <c r="D33" s="169"/>
      <c r="E33" s="169"/>
      <c r="F33" s="169"/>
      <c r="G33" s="170"/>
      <c r="H33" s="566"/>
      <c r="I33" s="170"/>
      <c r="J33" s="567"/>
      <c r="K33" s="568"/>
      <c r="L33" s="569"/>
      <c r="M33" s="570">
        <f t="shared" si="0"/>
        <v>0</v>
      </c>
      <c r="N33" s="551"/>
      <c r="O33" s="573" t="str">
        <f>IF(I33="","",VLOOKUP(I33,tab!$A$119:$W$159,J33+3,FALSE))</f>
        <v/>
      </c>
      <c r="P33" s="572">
        <f t="shared" si="1"/>
        <v>0</v>
      </c>
      <c r="Q33" s="589">
        <f t="shared" si="3"/>
        <v>0.6</v>
      </c>
      <c r="R33" s="573" t="str">
        <f t="shared" si="4"/>
        <v/>
      </c>
      <c r="S33" s="332">
        <f>IF(L33="",0,(((O33*12)*L33)*(1+tab!$D$108)*IF(I33&gt;8,tab!$E$110,tab!$E$112)))</f>
        <v>0</v>
      </c>
      <c r="T33" s="580">
        <f t="shared" si="5"/>
        <v>0</v>
      </c>
      <c r="U33" s="243">
        <f t="shared" si="6"/>
        <v>0</v>
      </c>
      <c r="V33" s="332">
        <f t="shared" si="2"/>
        <v>0</v>
      </c>
      <c r="W33" s="624"/>
      <c r="X33" s="97"/>
    </row>
    <row r="34" spans="2:24" ht="12.75" customHeight="1">
      <c r="B34" s="92"/>
      <c r="C34" s="131"/>
      <c r="D34" s="169"/>
      <c r="E34" s="169"/>
      <c r="F34" s="169"/>
      <c r="G34" s="170"/>
      <c r="H34" s="566"/>
      <c r="I34" s="170"/>
      <c r="J34" s="567"/>
      <c r="K34" s="568"/>
      <c r="L34" s="569"/>
      <c r="M34" s="570">
        <f t="shared" si="0"/>
        <v>0</v>
      </c>
      <c r="N34" s="551"/>
      <c r="O34" s="573" t="str">
        <f>IF(I34="","",VLOOKUP(I34,tab!$A$119:$W$159,J34+3,FALSE))</f>
        <v/>
      </c>
      <c r="P34" s="572">
        <f t="shared" si="1"/>
        <v>0</v>
      </c>
      <c r="Q34" s="589">
        <f t="shared" si="3"/>
        <v>0.6</v>
      </c>
      <c r="R34" s="573" t="str">
        <f t="shared" si="4"/>
        <v/>
      </c>
      <c r="S34" s="332">
        <f>IF(L34="",0,(((O34*12)*L34)*(1+tab!$D$108)*IF(I34&gt;8,tab!$E$110,tab!$E$112)))</f>
        <v>0</v>
      </c>
      <c r="T34" s="580">
        <f t="shared" si="5"/>
        <v>0</v>
      </c>
      <c r="U34" s="243">
        <f t="shared" si="6"/>
        <v>0</v>
      </c>
      <c r="V34" s="332">
        <f t="shared" si="2"/>
        <v>0</v>
      </c>
      <c r="W34" s="624"/>
      <c r="X34" s="97"/>
    </row>
    <row r="35" spans="2:24" ht="12.75" customHeight="1">
      <c r="B35" s="92"/>
      <c r="C35" s="131"/>
      <c r="D35" s="169"/>
      <c r="E35" s="169"/>
      <c r="F35" s="169"/>
      <c r="G35" s="170"/>
      <c r="H35" s="566"/>
      <c r="I35" s="170"/>
      <c r="J35" s="567"/>
      <c r="K35" s="568"/>
      <c r="L35" s="569"/>
      <c r="M35" s="570">
        <f t="shared" si="0"/>
        <v>0</v>
      </c>
      <c r="N35" s="551"/>
      <c r="O35" s="573" t="str">
        <f>IF(I35="","",VLOOKUP(I35,tab!$A$119:$W$159,J35+3,FALSE))</f>
        <v/>
      </c>
      <c r="P35" s="572">
        <f t="shared" si="1"/>
        <v>0</v>
      </c>
      <c r="Q35" s="589">
        <f t="shared" si="3"/>
        <v>0.6</v>
      </c>
      <c r="R35" s="573" t="str">
        <f t="shared" si="4"/>
        <v/>
      </c>
      <c r="S35" s="332">
        <f>IF(L35="",0,(((O35*12)*L35)*(1+tab!$D$108)*IF(I35&gt;8,tab!$E$110,tab!$E$112)))</f>
        <v>0</v>
      </c>
      <c r="T35" s="580">
        <f t="shared" si="5"/>
        <v>0</v>
      </c>
      <c r="U35" s="243">
        <f t="shared" si="6"/>
        <v>0</v>
      </c>
      <c r="V35" s="332">
        <f t="shared" si="2"/>
        <v>0</v>
      </c>
      <c r="W35" s="624"/>
      <c r="X35" s="97"/>
    </row>
    <row r="36" spans="2:24" ht="12.75" customHeight="1">
      <c r="B36" s="92"/>
      <c r="C36" s="131"/>
      <c r="D36" s="169"/>
      <c r="E36" s="169"/>
      <c r="F36" s="169"/>
      <c r="G36" s="170"/>
      <c r="H36" s="566"/>
      <c r="I36" s="170"/>
      <c r="J36" s="567"/>
      <c r="K36" s="568"/>
      <c r="L36" s="569"/>
      <c r="M36" s="570">
        <f t="shared" si="0"/>
        <v>0</v>
      </c>
      <c r="N36" s="551"/>
      <c r="O36" s="573" t="str">
        <f>IF(I36="","",VLOOKUP(I36,tab!$A$119:$W$159,J36+3,FALSE))</f>
        <v/>
      </c>
      <c r="P36" s="572">
        <f t="shared" si="1"/>
        <v>0</v>
      </c>
      <c r="Q36" s="589">
        <f t="shared" si="3"/>
        <v>0.6</v>
      </c>
      <c r="R36" s="573" t="str">
        <f t="shared" si="4"/>
        <v/>
      </c>
      <c r="S36" s="332">
        <f>IF(L36="",0,(((O36*12)*L36)*(1+tab!$D$108)*IF(I36&gt;8,tab!$E$110,tab!$E$112)))</f>
        <v>0</v>
      </c>
      <c r="T36" s="580">
        <f t="shared" si="5"/>
        <v>0</v>
      </c>
      <c r="U36" s="243">
        <f t="shared" si="6"/>
        <v>0</v>
      </c>
      <c r="V36" s="332">
        <f t="shared" si="2"/>
        <v>0</v>
      </c>
      <c r="W36" s="624"/>
      <c r="X36" s="97"/>
    </row>
    <row r="37" spans="2:24" ht="12.75" customHeight="1">
      <c r="B37" s="92"/>
      <c r="C37" s="131"/>
      <c r="D37" s="169"/>
      <c r="E37" s="169"/>
      <c r="F37" s="169"/>
      <c r="G37" s="170"/>
      <c r="H37" s="566"/>
      <c r="I37" s="170"/>
      <c r="J37" s="567"/>
      <c r="K37" s="568"/>
      <c r="L37" s="569"/>
      <c r="M37" s="570">
        <f t="shared" si="0"/>
        <v>0</v>
      </c>
      <c r="N37" s="551"/>
      <c r="O37" s="573" t="str">
        <f>IF(I37="","",VLOOKUP(I37,tab!$A$119:$W$159,J37+3,FALSE))</f>
        <v/>
      </c>
      <c r="P37" s="572">
        <f t="shared" si="1"/>
        <v>0</v>
      </c>
      <c r="Q37" s="589">
        <f t="shared" si="3"/>
        <v>0.6</v>
      </c>
      <c r="R37" s="573" t="str">
        <f t="shared" si="4"/>
        <v/>
      </c>
      <c r="S37" s="332">
        <f>IF(L37="",0,(((O37*12)*L37)*(1+tab!$D$108)*IF(I37&gt;8,tab!$E$110,tab!$E$112)))</f>
        <v>0</v>
      </c>
      <c r="T37" s="580">
        <f t="shared" si="5"/>
        <v>0</v>
      </c>
      <c r="U37" s="243">
        <f t="shared" si="6"/>
        <v>0</v>
      </c>
      <c r="V37" s="332">
        <f t="shared" si="2"/>
        <v>0</v>
      </c>
      <c r="W37" s="624"/>
      <c r="X37" s="97"/>
    </row>
    <row r="38" spans="2:24" ht="12.75" customHeight="1">
      <c r="B38" s="92"/>
      <c r="C38" s="131"/>
      <c r="D38" s="169"/>
      <c r="E38" s="169"/>
      <c r="F38" s="169"/>
      <c r="G38" s="170"/>
      <c r="H38" s="566"/>
      <c r="I38" s="170"/>
      <c r="J38" s="567"/>
      <c r="K38" s="568"/>
      <c r="L38" s="569"/>
      <c r="M38" s="570">
        <f t="shared" si="0"/>
        <v>0</v>
      </c>
      <c r="N38" s="551"/>
      <c r="O38" s="573" t="str">
        <f>IF(I38="","",VLOOKUP(I38,tab!$A$119:$W$159,J38+3,FALSE))</f>
        <v/>
      </c>
      <c r="P38" s="572">
        <f t="shared" si="1"/>
        <v>0</v>
      </c>
      <c r="Q38" s="589">
        <f t="shared" si="3"/>
        <v>0.6</v>
      </c>
      <c r="R38" s="573" t="str">
        <f t="shared" si="4"/>
        <v/>
      </c>
      <c r="S38" s="332">
        <f>IF(L38="",0,(((O38*12)*L38)*(1+tab!$D$108)*IF(I38&gt;8,tab!$E$110,tab!$E$112)))</f>
        <v>0</v>
      </c>
      <c r="T38" s="580">
        <f t="shared" si="5"/>
        <v>0</v>
      </c>
      <c r="U38" s="243">
        <f t="shared" si="6"/>
        <v>0</v>
      </c>
      <c r="V38" s="332">
        <f t="shared" si="2"/>
        <v>0</v>
      </c>
      <c r="W38" s="624"/>
      <c r="X38" s="97"/>
    </row>
    <row r="39" spans="2:24" ht="12.75" customHeight="1">
      <c r="B39" s="92"/>
      <c r="C39" s="131"/>
      <c r="D39" s="169"/>
      <c r="E39" s="169"/>
      <c r="F39" s="169"/>
      <c r="G39" s="170"/>
      <c r="H39" s="566"/>
      <c r="I39" s="170"/>
      <c r="J39" s="567"/>
      <c r="K39" s="568"/>
      <c r="L39" s="569"/>
      <c r="M39" s="570">
        <f t="shared" si="0"/>
        <v>0</v>
      </c>
      <c r="N39" s="551"/>
      <c r="O39" s="573" t="str">
        <f>IF(I39="","",VLOOKUP(I39,tab!$A$119:$W$159,J39+3,FALSE))</f>
        <v/>
      </c>
      <c r="P39" s="572">
        <f t="shared" si="1"/>
        <v>0</v>
      </c>
      <c r="Q39" s="589">
        <f t="shared" si="3"/>
        <v>0.6</v>
      </c>
      <c r="R39" s="573" t="str">
        <f t="shared" si="4"/>
        <v/>
      </c>
      <c r="S39" s="332">
        <f>IF(L39="",0,(((O39*12)*L39)*(1+tab!$D$108)*IF(I39&gt;8,tab!$E$110,tab!$E$112)))</f>
        <v>0</v>
      </c>
      <c r="T39" s="580">
        <f t="shared" si="5"/>
        <v>0</v>
      </c>
      <c r="U39" s="243">
        <f t="shared" si="6"/>
        <v>0</v>
      </c>
      <c r="V39" s="332">
        <f t="shared" si="2"/>
        <v>0</v>
      </c>
      <c r="W39" s="624"/>
      <c r="X39" s="97"/>
    </row>
    <row r="40" spans="2:24" ht="12.75" customHeight="1">
      <c r="B40" s="92"/>
      <c r="C40" s="131"/>
      <c r="D40" s="169"/>
      <c r="E40" s="169"/>
      <c r="F40" s="169"/>
      <c r="G40" s="170"/>
      <c r="H40" s="566"/>
      <c r="I40" s="170"/>
      <c r="J40" s="567"/>
      <c r="K40" s="568"/>
      <c r="L40" s="569"/>
      <c r="M40" s="570">
        <f t="shared" si="0"/>
        <v>0</v>
      </c>
      <c r="N40" s="551"/>
      <c r="O40" s="573" t="str">
        <f>IF(I40="","",VLOOKUP(I40,tab!$A$119:$W$159,J40+3,FALSE))</f>
        <v/>
      </c>
      <c r="P40" s="572">
        <f t="shared" si="1"/>
        <v>0</v>
      </c>
      <c r="Q40" s="589">
        <f t="shared" si="3"/>
        <v>0.6</v>
      </c>
      <c r="R40" s="573" t="str">
        <f t="shared" si="4"/>
        <v/>
      </c>
      <c r="S40" s="332">
        <f>IF(L40="",0,(((O40*12)*L40)*(1+tab!$D$108)*IF(I40&gt;8,tab!$E$110,tab!$E$112)))</f>
        <v>0</v>
      </c>
      <c r="T40" s="580">
        <f t="shared" si="5"/>
        <v>0</v>
      </c>
      <c r="U40" s="243">
        <f t="shared" si="6"/>
        <v>0</v>
      </c>
      <c r="V40" s="332">
        <f t="shared" si="2"/>
        <v>0</v>
      </c>
      <c r="W40" s="624"/>
      <c r="X40" s="97"/>
    </row>
    <row r="41" spans="2:24" ht="12.75" customHeight="1">
      <c r="B41" s="92"/>
      <c r="C41" s="131"/>
      <c r="D41" s="169"/>
      <c r="E41" s="169"/>
      <c r="F41" s="169"/>
      <c r="G41" s="170"/>
      <c r="H41" s="566"/>
      <c r="I41" s="170"/>
      <c r="J41" s="567"/>
      <c r="K41" s="568"/>
      <c r="L41" s="569"/>
      <c r="M41" s="570">
        <f t="shared" ref="M41:M65" si="7">(IF(L41=0,(K41),(K41)-L41))</f>
        <v>0</v>
      </c>
      <c r="N41" s="551"/>
      <c r="O41" s="573" t="str">
        <f>IF(I41="","",VLOOKUP(I41,tab!$A$119:$W$159,J41+3,FALSE))</f>
        <v/>
      </c>
      <c r="P41" s="572">
        <f t="shared" si="1"/>
        <v>0</v>
      </c>
      <c r="Q41" s="589">
        <f t="shared" si="3"/>
        <v>0.6</v>
      </c>
      <c r="R41" s="573" t="str">
        <f t="shared" si="4"/>
        <v/>
      </c>
      <c r="S41" s="332">
        <f>IF(L41="",0,(((O41*12)*L41)*(1+tab!$D$108)*IF(I41&gt;8,tab!$E$110,tab!$E$112)))</f>
        <v>0</v>
      </c>
      <c r="T41" s="580">
        <f t="shared" si="5"/>
        <v>0</v>
      </c>
      <c r="U41" s="243">
        <f t="shared" si="6"/>
        <v>0</v>
      </c>
      <c r="V41" s="332">
        <f t="shared" si="2"/>
        <v>0</v>
      </c>
      <c r="W41" s="624"/>
      <c r="X41" s="97"/>
    </row>
    <row r="42" spans="2:24" ht="12.75" customHeight="1">
      <c r="B42" s="92"/>
      <c r="C42" s="131"/>
      <c r="D42" s="169"/>
      <c r="E42" s="169"/>
      <c r="F42" s="169"/>
      <c r="G42" s="170"/>
      <c r="H42" s="566"/>
      <c r="I42" s="170"/>
      <c r="J42" s="567"/>
      <c r="K42" s="568"/>
      <c r="L42" s="569"/>
      <c r="M42" s="570">
        <f t="shared" si="7"/>
        <v>0</v>
      </c>
      <c r="N42" s="551"/>
      <c r="O42" s="573" t="str">
        <f>IF(I42="","",VLOOKUP(I42,tab!$A$119:$W$159,J42+3,FALSE))</f>
        <v/>
      </c>
      <c r="P42" s="572">
        <f t="shared" si="1"/>
        <v>0</v>
      </c>
      <c r="Q42" s="589">
        <f t="shared" si="3"/>
        <v>0.6</v>
      </c>
      <c r="R42" s="573" t="str">
        <f t="shared" si="4"/>
        <v/>
      </c>
      <c r="S42" s="332">
        <f>IF(L42="",0,(((O42*12)*L42)*(1+tab!$D$108)*IF(I42&gt;8,tab!$E$110,tab!$E$112)))</f>
        <v>0</v>
      </c>
      <c r="T42" s="580">
        <f t="shared" si="5"/>
        <v>0</v>
      </c>
      <c r="U42" s="243">
        <f t="shared" si="6"/>
        <v>0</v>
      </c>
      <c r="V42" s="332">
        <f t="shared" si="2"/>
        <v>0</v>
      </c>
      <c r="W42" s="624"/>
      <c r="X42" s="97"/>
    </row>
    <row r="43" spans="2:24" ht="12.75" customHeight="1">
      <c r="B43" s="92"/>
      <c r="C43" s="131"/>
      <c r="D43" s="169"/>
      <c r="E43" s="169"/>
      <c r="F43" s="169"/>
      <c r="G43" s="170"/>
      <c r="H43" s="566"/>
      <c r="I43" s="170"/>
      <c r="J43" s="567"/>
      <c r="K43" s="568"/>
      <c r="L43" s="569"/>
      <c r="M43" s="570">
        <f t="shared" si="7"/>
        <v>0</v>
      </c>
      <c r="N43" s="551"/>
      <c r="O43" s="573" t="str">
        <f>IF(I43="","",VLOOKUP(I43,tab!$A$119:$W$159,J43+3,FALSE))</f>
        <v/>
      </c>
      <c r="P43" s="572">
        <f t="shared" si="1"/>
        <v>0</v>
      </c>
      <c r="Q43" s="589">
        <f t="shared" si="3"/>
        <v>0.6</v>
      </c>
      <c r="R43" s="573" t="str">
        <f t="shared" si="4"/>
        <v/>
      </c>
      <c r="S43" s="332">
        <f>IF(L43="",0,(((O43*12)*L43)*(1+tab!$D$108)*IF(I43&gt;8,tab!$E$110,tab!$E$112)))</f>
        <v>0</v>
      </c>
      <c r="T43" s="580">
        <f t="shared" si="5"/>
        <v>0</v>
      </c>
      <c r="U43" s="243">
        <f t="shared" si="6"/>
        <v>0</v>
      </c>
      <c r="V43" s="332">
        <f t="shared" si="2"/>
        <v>0</v>
      </c>
      <c r="W43" s="624"/>
      <c r="X43" s="97"/>
    </row>
    <row r="44" spans="2:24" ht="12.75" customHeight="1">
      <c r="B44" s="92"/>
      <c r="C44" s="131"/>
      <c r="D44" s="169"/>
      <c r="E44" s="169"/>
      <c r="F44" s="169"/>
      <c r="G44" s="170"/>
      <c r="H44" s="566"/>
      <c r="I44" s="170"/>
      <c r="J44" s="567"/>
      <c r="K44" s="568"/>
      <c r="L44" s="569"/>
      <c r="M44" s="570">
        <f t="shared" si="7"/>
        <v>0</v>
      </c>
      <c r="N44" s="551"/>
      <c r="O44" s="573" t="str">
        <f>IF(I44="","",VLOOKUP(I44,tab!$A$119:$W$159,J44+3,FALSE))</f>
        <v/>
      </c>
      <c r="P44" s="572">
        <f t="shared" si="1"/>
        <v>0</v>
      </c>
      <c r="Q44" s="589">
        <f t="shared" si="3"/>
        <v>0.6</v>
      </c>
      <c r="R44" s="573" t="str">
        <f t="shared" si="4"/>
        <v/>
      </c>
      <c r="S44" s="332">
        <f>IF(L44="",0,(((O44*12)*L44)*(1+tab!$D$108)*IF(I44&gt;8,tab!$E$110,tab!$E$112)))</f>
        <v>0</v>
      </c>
      <c r="T44" s="580">
        <f t="shared" si="5"/>
        <v>0</v>
      </c>
      <c r="U44" s="243">
        <f t="shared" si="6"/>
        <v>0</v>
      </c>
      <c r="V44" s="332">
        <f t="shared" si="2"/>
        <v>0</v>
      </c>
      <c r="W44" s="624"/>
      <c r="X44" s="97"/>
    </row>
    <row r="45" spans="2:24" ht="12.75" customHeight="1">
      <c r="B45" s="92"/>
      <c r="C45" s="131"/>
      <c r="D45" s="169"/>
      <c r="E45" s="169"/>
      <c r="F45" s="169"/>
      <c r="G45" s="170"/>
      <c r="H45" s="566"/>
      <c r="I45" s="170"/>
      <c r="J45" s="567"/>
      <c r="K45" s="568"/>
      <c r="L45" s="569"/>
      <c r="M45" s="570">
        <f t="shared" si="7"/>
        <v>0</v>
      </c>
      <c r="N45" s="551"/>
      <c r="O45" s="573" t="str">
        <f>IF(I45="","",VLOOKUP(I45,tab!$A$119:$W$159,J45+3,FALSE))</f>
        <v/>
      </c>
      <c r="P45" s="572">
        <f t="shared" si="1"/>
        <v>0</v>
      </c>
      <c r="Q45" s="589">
        <f t="shared" si="3"/>
        <v>0.6</v>
      </c>
      <c r="R45" s="573" t="str">
        <f t="shared" si="4"/>
        <v/>
      </c>
      <c r="S45" s="332">
        <f>IF(L45="",0,(((O45*12)*L45)*(1+tab!$D$108)*IF(I45&gt;8,tab!$E$110,tab!$E$112)))</f>
        <v>0</v>
      </c>
      <c r="T45" s="580">
        <f t="shared" si="5"/>
        <v>0</v>
      </c>
      <c r="U45" s="243">
        <f t="shared" si="6"/>
        <v>0</v>
      </c>
      <c r="V45" s="332">
        <f t="shared" si="2"/>
        <v>0</v>
      </c>
      <c r="W45" s="624"/>
      <c r="X45" s="97"/>
    </row>
    <row r="46" spans="2:24" ht="12.75" customHeight="1">
      <c r="B46" s="92"/>
      <c r="C46" s="131"/>
      <c r="D46" s="169"/>
      <c r="E46" s="169"/>
      <c r="F46" s="169"/>
      <c r="G46" s="170"/>
      <c r="H46" s="566"/>
      <c r="I46" s="170"/>
      <c r="J46" s="567"/>
      <c r="K46" s="568"/>
      <c r="L46" s="569"/>
      <c r="M46" s="570">
        <f t="shared" si="7"/>
        <v>0</v>
      </c>
      <c r="N46" s="551"/>
      <c r="O46" s="573" t="str">
        <f>IF(I46="","",VLOOKUP(I46,tab!$A$119:$W$159,J46+3,FALSE))</f>
        <v/>
      </c>
      <c r="P46" s="572">
        <f t="shared" si="1"/>
        <v>0</v>
      </c>
      <c r="Q46" s="589">
        <f t="shared" si="3"/>
        <v>0.6</v>
      </c>
      <c r="R46" s="573" t="str">
        <f t="shared" si="4"/>
        <v/>
      </c>
      <c r="S46" s="332">
        <f>IF(L46="",0,(((O46*12)*L46)*(1+tab!$D$108)*IF(I46&gt;8,tab!$E$110,tab!$E$112)))</f>
        <v>0</v>
      </c>
      <c r="T46" s="580">
        <f t="shared" si="5"/>
        <v>0</v>
      </c>
      <c r="U46" s="243">
        <f t="shared" si="6"/>
        <v>0</v>
      </c>
      <c r="V46" s="332">
        <f t="shared" si="2"/>
        <v>0</v>
      </c>
      <c r="W46" s="624"/>
      <c r="X46" s="97"/>
    </row>
    <row r="47" spans="2:24" ht="12.75" customHeight="1">
      <c r="B47" s="92"/>
      <c r="C47" s="131"/>
      <c r="D47" s="169"/>
      <c r="E47" s="169"/>
      <c r="F47" s="169"/>
      <c r="G47" s="170"/>
      <c r="H47" s="566"/>
      <c r="I47" s="170"/>
      <c r="J47" s="567"/>
      <c r="K47" s="568"/>
      <c r="L47" s="569"/>
      <c r="M47" s="570">
        <f t="shared" si="7"/>
        <v>0</v>
      </c>
      <c r="N47" s="551"/>
      <c r="O47" s="573" t="str">
        <f>IF(I47="","",VLOOKUP(I47,tab!$A$119:$W$159,J47+3,FALSE))</f>
        <v/>
      </c>
      <c r="P47" s="572">
        <f t="shared" si="1"/>
        <v>0</v>
      </c>
      <c r="Q47" s="589">
        <f t="shared" si="3"/>
        <v>0.6</v>
      </c>
      <c r="R47" s="573" t="str">
        <f t="shared" si="4"/>
        <v/>
      </c>
      <c r="S47" s="332">
        <f>IF(L47="",0,(((O47*12)*L47)*(1+tab!$D$108)*IF(I47&gt;8,tab!$E$110,tab!$E$112)))</f>
        <v>0</v>
      </c>
      <c r="T47" s="580">
        <f t="shared" si="5"/>
        <v>0</v>
      </c>
      <c r="U47" s="243">
        <f t="shared" si="6"/>
        <v>0</v>
      </c>
      <c r="V47" s="332">
        <f t="shared" si="2"/>
        <v>0</v>
      </c>
      <c r="W47" s="624"/>
      <c r="X47" s="97"/>
    </row>
    <row r="48" spans="2:24" ht="12.75" customHeight="1">
      <c r="B48" s="92"/>
      <c r="C48" s="131"/>
      <c r="D48" s="169"/>
      <c r="E48" s="169"/>
      <c r="F48" s="169"/>
      <c r="G48" s="170"/>
      <c r="H48" s="566"/>
      <c r="I48" s="170"/>
      <c r="J48" s="567"/>
      <c r="K48" s="568"/>
      <c r="L48" s="569"/>
      <c r="M48" s="570">
        <f t="shared" si="7"/>
        <v>0</v>
      </c>
      <c r="N48" s="551"/>
      <c r="O48" s="573" t="str">
        <f>IF(I48="","",VLOOKUP(I48,tab!$A$119:$W$159,J48+3,FALSE))</f>
        <v/>
      </c>
      <c r="P48" s="572">
        <f t="shared" ref="P48:P65" si="8">IF(E48=0,0,(O48*M48*12))</f>
        <v>0</v>
      </c>
      <c r="Q48" s="589">
        <f t="shared" si="3"/>
        <v>0.6</v>
      </c>
      <c r="R48" s="573" t="str">
        <f t="shared" si="4"/>
        <v/>
      </c>
      <c r="S48" s="332">
        <f>IF(L48="",0,(((O48*12)*L48)*(1+tab!$D$108)*IF(I48&gt;8,tab!$E$110,tab!$E$112)))</f>
        <v>0</v>
      </c>
      <c r="T48" s="580">
        <f t="shared" si="5"/>
        <v>0</v>
      </c>
      <c r="U48" s="243">
        <f t="shared" si="6"/>
        <v>0</v>
      </c>
      <c r="V48" s="332">
        <f t="shared" ref="V48:V65" si="9">IF(U48=25,(O48*1.08*(K48)/2),IF(U48=40,(O48*1.08*(K48)),IF(U48=0,0)))</f>
        <v>0</v>
      </c>
      <c r="W48" s="624"/>
      <c r="X48" s="97"/>
    </row>
    <row r="49" spans="2:24" ht="12.75" customHeight="1">
      <c r="B49" s="92"/>
      <c r="C49" s="131"/>
      <c r="D49" s="169"/>
      <c r="E49" s="169"/>
      <c r="F49" s="169"/>
      <c r="G49" s="170"/>
      <c r="H49" s="566"/>
      <c r="I49" s="170"/>
      <c r="J49" s="567"/>
      <c r="K49" s="568"/>
      <c r="L49" s="569"/>
      <c r="M49" s="570">
        <f t="shared" si="7"/>
        <v>0</v>
      </c>
      <c r="N49" s="551"/>
      <c r="O49" s="573" t="str">
        <f>IF(I49="","",VLOOKUP(I49,tab!$A$119:$W$159,J49+3,FALSE))</f>
        <v/>
      </c>
      <c r="P49" s="572">
        <f t="shared" si="8"/>
        <v>0</v>
      </c>
      <c r="Q49" s="589">
        <f t="shared" si="3"/>
        <v>0.6</v>
      </c>
      <c r="R49" s="573" t="str">
        <f t="shared" si="4"/>
        <v/>
      </c>
      <c r="S49" s="332">
        <f>IF(L49="",0,(((O49*12)*L49)*(1+tab!$D$108)*IF(I49&gt;8,tab!$E$110,tab!$E$112)))</f>
        <v>0</v>
      </c>
      <c r="T49" s="580">
        <f t="shared" si="5"/>
        <v>0</v>
      </c>
      <c r="U49" s="243">
        <f t="shared" si="6"/>
        <v>0</v>
      </c>
      <c r="V49" s="332">
        <f t="shared" si="9"/>
        <v>0</v>
      </c>
      <c r="W49" s="624"/>
      <c r="X49" s="97"/>
    </row>
    <row r="50" spans="2:24" ht="12.75" customHeight="1">
      <c r="B50" s="92"/>
      <c r="C50" s="131"/>
      <c r="D50" s="169"/>
      <c r="E50" s="169"/>
      <c r="F50" s="169"/>
      <c r="G50" s="170"/>
      <c r="H50" s="566"/>
      <c r="I50" s="170"/>
      <c r="J50" s="567"/>
      <c r="K50" s="568"/>
      <c r="L50" s="569"/>
      <c r="M50" s="570">
        <f t="shared" si="7"/>
        <v>0</v>
      </c>
      <c r="N50" s="551"/>
      <c r="O50" s="573" t="str">
        <f>IF(I50="","",VLOOKUP(I50,tab!$A$119:$W$159,J50+3,FALSE))</f>
        <v/>
      </c>
      <c r="P50" s="572">
        <f t="shared" si="8"/>
        <v>0</v>
      </c>
      <c r="Q50" s="589">
        <f t="shared" si="3"/>
        <v>0.6</v>
      </c>
      <c r="R50" s="573" t="str">
        <f t="shared" si="4"/>
        <v/>
      </c>
      <c r="S50" s="332">
        <f>IF(L50="",0,(((O50*12)*L50)*(1+tab!$D$108)*IF(I50&gt;8,tab!$E$110,tab!$E$112)))</f>
        <v>0</v>
      </c>
      <c r="T50" s="580">
        <f t="shared" si="5"/>
        <v>0</v>
      </c>
      <c r="U50" s="243">
        <f t="shared" si="6"/>
        <v>0</v>
      </c>
      <c r="V50" s="332">
        <f t="shared" si="9"/>
        <v>0</v>
      </c>
      <c r="W50" s="624"/>
      <c r="X50" s="97"/>
    </row>
    <row r="51" spans="2:24" ht="12.75" customHeight="1">
      <c r="B51" s="92"/>
      <c r="C51" s="131"/>
      <c r="D51" s="169"/>
      <c r="E51" s="169"/>
      <c r="F51" s="169"/>
      <c r="G51" s="170"/>
      <c r="H51" s="566"/>
      <c r="I51" s="170"/>
      <c r="J51" s="567"/>
      <c r="K51" s="568"/>
      <c r="L51" s="569"/>
      <c r="M51" s="570">
        <f t="shared" si="7"/>
        <v>0</v>
      </c>
      <c r="N51" s="551"/>
      <c r="O51" s="573" t="str">
        <f>IF(I51="","",VLOOKUP(I51,tab!$A$119:$W$159,J51+3,FALSE))</f>
        <v/>
      </c>
      <c r="P51" s="572">
        <f t="shared" si="8"/>
        <v>0</v>
      </c>
      <c r="Q51" s="589">
        <f t="shared" si="3"/>
        <v>0.6</v>
      </c>
      <c r="R51" s="573" t="str">
        <f t="shared" si="4"/>
        <v/>
      </c>
      <c r="S51" s="332">
        <f>IF(L51="",0,(((O51*12)*L51)*(1+tab!$D$108)*IF(I51&gt;8,tab!$E$110,tab!$E$112)))</f>
        <v>0</v>
      </c>
      <c r="T51" s="580">
        <f t="shared" si="5"/>
        <v>0</v>
      </c>
      <c r="U51" s="243">
        <f t="shared" si="6"/>
        <v>0</v>
      </c>
      <c r="V51" s="332">
        <f t="shared" si="9"/>
        <v>0</v>
      </c>
      <c r="W51" s="624"/>
      <c r="X51" s="97"/>
    </row>
    <row r="52" spans="2:24" ht="12.75" customHeight="1">
      <c r="B52" s="92"/>
      <c r="C52" s="131"/>
      <c r="D52" s="169"/>
      <c r="E52" s="169"/>
      <c r="F52" s="169"/>
      <c r="G52" s="170"/>
      <c r="H52" s="566"/>
      <c r="I52" s="170"/>
      <c r="J52" s="567"/>
      <c r="K52" s="568"/>
      <c r="L52" s="569"/>
      <c r="M52" s="570">
        <f t="shared" si="7"/>
        <v>0</v>
      </c>
      <c r="N52" s="551"/>
      <c r="O52" s="573" t="str">
        <f>IF(I52="","",VLOOKUP(I52,tab!$A$119:$W$159,J52+3,FALSE))</f>
        <v/>
      </c>
      <c r="P52" s="572">
        <f t="shared" si="8"/>
        <v>0</v>
      </c>
      <c r="Q52" s="589">
        <f t="shared" si="3"/>
        <v>0.6</v>
      </c>
      <c r="R52" s="573" t="str">
        <f t="shared" si="4"/>
        <v/>
      </c>
      <c r="S52" s="332">
        <f>IF(L52="",0,(((O52*12)*L52)*(1+tab!$D$108)*IF(I52&gt;8,tab!$E$110,tab!$E$112)))</f>
        <v>0</v>
      </c>
      <c r="T52" s="580">
        <f t="shared" si="5"/>
        <v>0</v>
      </c>
      <c r="U52" s="243">
        <f t="shared" si="6"/>
        <v>0</v>
      </c>
      <c r="V52" s="332">
        <f t="shared" si="9"/>
        <v>0</v>
      </c>
      <c r="W52" s="624"/>
      <c r="X52" s="97"/>
    </row>
    <row r="53" spans="2:24" ht="12.75" customHeight="1">
      <c r="B53" s="92"/>
      <c r="C53" s="131"/>
      <c r="D53" s="169"/>
      <c r="E53" s="169"/>
      <c r="F53" s="169"/>
      <c r="G53" s="170"/>
      <c r="H53" s="566"/>
      <c r="I53" s="170"/>
      <c r="J53" s="567"/>
      <c r="K53" s="568"/>
      <c r="L53" s="569"/>
      <c r="M53" s="570">
        <f t="shared" si="7"/>
        <v>0</v>
      </c>
      <c r="N53" s="551"/>
      <c r="O53" s="573" t="str">
        <f>IF(I53="","",VLOOKUP(I53,tab!$A$119:$W$159,J53+3,FALSE))</f>
        <v/>
      </c>
      <c r="P53" s="572">
        <f t="shared" si="8"/>
        <v>0</v>
      </c>
      <c r="Q53" s="589">
        <f t="shared" si="3"/>
        <v>0.6</v>
      </c>
      <c r="R53" s="573" t="str">
        <f t="shared" si="4"/>
        <v/>
      </c>
      <c r="S53" s="332">
        <f>IF(L53="",0,(((O53*12)*L53)*(1+tab!$D$108)*IF(I53&gt;8,tab!$E$110,tab!$E$112)))</f>
        <v>0</v>
      </c>
      <c r="T53" s="580">
        <f t="shared" si="5"/>
        <v>0</v>
      </c>
      <c r="U53" s="243">
        <f t="shared" si="6"/>
        <v>0</v>
      </c>
      <c r="V53" s="332">
        <f t="shared" si="9"/>
        <v>0</v>
      </c>
      <c r="W53" s="624"/>
      <c r="X53" s="97"/>
    </row>
    <row r="54" spans="2:24" ht="12.75" customHeight="1">
      <c r="B54" s="92"/>
      <c r="C54" s="131"/>
      <c r="D54" s="169"/>
      <c r="E54" s="169"/>
      <c r="F54" s="169"/>
      <c r="G54" s="170"/>
      <c r="H54" s="566"/>
      <c r="I54" s="170"/>
      <c r="J54" s="567"/>
      <c r="K54" s="568"/>
      <c r="L54" s="569"/>
      <c r="M54" s="570">
        <f t="shared" si="7"/>
        <v>0</v>
      </c>
      <c r="N54" s="551"/>
      <c r="O54" s="573" t="str">
        <f>IF(I54="","",VLOOKUP(I54,tab!$A$119:$W$159,J54+3,FALSE))</f>
        <v/>
      </c>
      <c r="P54" s="572">
        <f t="shared" si="8"/>
        <v>0</v>
      </c>
      <c r="Q54" s="589">
        <f t="shared" si="3"/>
        <v>0.6</v>
      </c>
      <c r="R54" s="573" t="str">
        <f t="shared" si="4"/>
        <v/>
      </c>
      <c r="S54" s="332">
        <f>IF(L54="",0,(((O54*12)*L54)*(1+tab!$D$108)*IF(I54&gt;8,tab!$E$110,tab!$E$112)))</f>
        <v>0</v>
      </c>
      <c r="T54" s="580">
        <f t="shared" si="5"/>
        <v>0</v>
      </c>
      <c r="U54" s="243">
        <f t="shared" si="6"/>
        <v>0</v>
      </c>
      <c r="V54" s="332">
        <f t="shared" si="9"/>
        <v>0</v>
      </c>
      <c r="W54" s="624"/>
      <c r="X54" s="97"/>
    </row>
    <row r="55" spans="2:24" ht="12.75" customHeight="1">
      <c r="B55" s="92"/>
      <c r="C55" s="131"/>
      <c r="D55" s="169"/>
      <c r="E55" s="169"/>
      <c r="F55" s="169"/>
      <c r="G55" s="170"/>
      <c r="H55" s="566"/>
      <c r="I55" s="170"/>
      <c r="J55" s="567"/>
      <c r="K55" s="568"/>
      <c r="L55" s="569"/>
      <c r="M55" s="570">
        <f t="shared" si="7"/>
        <v>0</v>
      </c>
      <c r="N55" s="551"/>
      <c r="O55" s="573" t="str">
        <f>IF(I55="","",VLOOKUP(I55,tab!$A$119:$W$159,J55+3,FALSE))</f>
        <v/>
      </c>
      <c r="P55" s="572">
        <f t="shared" si="8"/>
        <v>0</v>
      </c>
      <c r="Q55" s="589">
        <f t="shared" si="3"/>
        <v>0.6</v>
      </c>
      <c r="R55" s="573" t="str">
        <f t="shared" si="4"/>
        <v/>
      </c>
      <c r="S55" s="332">
        <f>IF(L55="",0,(((O55*12)*L55)*(1+tab!$D$108)*IF(I55&gt;8,tab!$E$110,tab!$E$112)))</f>
        <v>0</v>
      </c>
      <c r="T55" s="580">
        <f t="shared" si="5"/>
        <v>0</v>
      </c>
      <c r="U55" s="243">
        <f t="shared" si="6"/>
        <v>0</v>
      </c>
      <c r="V55" s="332">
        <f t="shared" si="9"/>
        <v>0</v>
      </c>
      <c r="W55" s="624"/>
      <c r="X55" s="97"/>
    </row>
    <row r="56" spans="2:24" ht="12.75" customHeight="1">
      <c r="B56" s="92"/>
      <c r="C56" s="131"/>
      <c r="D56" s="169"/>
      <c r="E56" s="169"/>
      <c r="F56" s="169"/>
      <c r="G56" s="170"/>
      <c r="H56" s="566"/>
      <c r="I56" s="170"/>
      <c r="J56" s="567"/>
      <c r="K56" s="568"/>
      <c r="L56" s="569"/>
      <c r="M56" s="570">
        <f t="shared" si="7"/>
        <v>0</v>
      </c>
      <c r="N56" s="551"/>
      <c r="O56" s="573" t="str">
        <f>IF(I56="","",VLOOKUP(I56,tab!$A$119:$W$159,J56+3,FALSE))</f>
        <v/>
      </c>
      <c r="P56" s="572">
        <f t="shared" si="8"/>
        <v>0</v>
      </c>
      <c r="Q56" s="589">
        <f t="shared" si="3"/>
        <v>0.6</v>
      </c>
      <c r="R56" s="573" t="str">
        <f t="shared" si="4"/>
        <v/>
      </c>
      <c r="S56" s="332">
        <f>IF(L56="",0,(((O56*12)*L56)*(1+tab!$D$108)*IF(I56&gt;8,tab!$E$110,tab!$E$112)))</f>
        <v>0</v>
      </c>
      <c r="T56" s="580">
        <f t="shared" si="5"/>
        <v>0</v>
      </c>
      <c r="U56" s="243">
        <f t="shared" si="6"/>
        <v>0</v>
      </c>
      <c r="V56" s="332">
        <f t="shared" si="9"/>
        <v>0</v>
      </c>
      <c r="W56" s="624"/>
      <c r="X56" s="97"/>
    </row>
    <row r="57" spans="2:24" ht="12.75" customHeight="1">
      <c r="B57" s="92"/>
      <c r="C57" s="131"/>
      <c r="D57" s="169"/>
      <c r="E57" s="169"/>
      <c r="F57" s="169"/>
      <c r="G57" s="170"/>
      <c r="H57" s="566"/>
      <c r="I57" s="170"/>
      <c r="J57" s="567"/>
      <c r="K57" s="568"/>
      <c r="L57" s="569"/>
      <c r="M57" s="570">
        <f t="shared" si="7"/>
        <v>0</v>
      </c>
      <c r="N57" s="551"/>
      <c r="O57" s="573" t="str">
        <f>IF(I57="","",VLOOKUP(I57,tab!$A$119:$W$159,J57+3,FALSE))</f>
        <v/>
      </c>
      <c r="P57" s="572">
        <f t="shared" si="8"/>
        <v>0</v>
      </c>
      <c r="Q57" s="589">
        <f t="shared" si="3"/>
        <v>0.6</v>
      </c>
      <c r="R57" s="573" t="str">
        <f t="shared" si="4"/>
        <v/>
      </c>
      <c r="S57" s="332">
        <f>IF(L57="",0,(((O57*12)*L57)*(1+tab!$D$108)*IF(I57&gt;8,tab!$E$110,tab!$E$112)))</f>
        <v>0</v>
      </c>
      <c r="T57" s="580">
        <f t="shared" si="5"/>
        <v>0</v>
      </c>
      <c r="U57" s="243">
        <f t="shared" si="6"/>
        <v>0</v>
      </c>
      <c r="V57" s="332">
        <f t="shared" si="9"/>
        <v>0</v>
      </c>
      <c r="W57" s="624"/>
      <c r="X57" s="97"/>
    </row>
    <row r="58" spans="2:24" ht="12.75" customHeight="1">
      <c r="B58" s="92"/>
      <c r="C58" s="131"/>
      <c r="D58" s="169"/>
      <c r="E58" s="169"/>
      <c r="F58" s="169"/>
      <c r="G58" s="170"/>
      <c r="H58" s="566"/>
      <c r="I58" s="170"/>
      <c r="J58" s="567"/>
      <c r="K58" s="568"/>
      <c r="L58" s="569"/>
      <c r="M58" s="570">
        <f t="shared" si="7"/>
        <v>0</v>
      </c>
      <c r="N58" s="551"/>
      <c r="O58" s="573" t="str">
        <f>IF(I58="","",VLOOKUP(I58,tab!$A$119:$W$159,J58+3,FALSE))</f>
        <v/>
      </c>
      <c r="P58" s="572">
        <f t="shared" si="8"/>
        <v>0</v>
      </c>
      <c r="Q58" s="589">
        <f t="shared" si="3"/>
        <v>0.6</v>
      </c>
      <c r="R58" s="573" t="str">
        <f t="shared" si="4"/>
        <v/>
      </c>
      <c r="S58" s="332">
        <f>IF(L58="",0,(((O58*12)*L58)*(1+tab!$D$108)*IF(I58&gt;8,tab!$E$110,tab!$E$112)))</f>
        <v>0</v>
      </c>
      <c r="T58" s="580">
        <f t="shared" si="5"/>
        <v>0</v>
      </c>
      <c r="U58" s="243">
        <f t="shared" si="6"/>
        <v>0</v>
      </c>
      <c r="V58" s="332">
        <f t="shared" si="9"/>
        <v>0</v>
      </c>
      <c r="W58" s="624"/>
      <c r="X58" s="97"/>
    </row>
    <row r="59" spans="2:24" ht="12.75" customHeight="1">
      <c r="B59" s="92"/>
      <c r="C59" s="131"/>
      <c r="D59" s="169"/>
      <c r="E59" s="169"/>
      <c r="F59" s="169"/>
      <c r="G59" s="170"/>
      <c r="H59" s="566"/>
      <c r="I59" s="170"/>
      <c r="J59" s="567"/>
      <c r="K59" s="568"/>
      <c r="L59" s="569"/>
      <c r="M59" s="570">
        <f t="shared" si="7"/>
        <v>0</v>
      </c>
      <c r="N59" s="551"/>
      <c r="O59" s="573" t="str">
        <f>IF(I59="","",VLOOKUP(I59,tab!$A$119:$W$159,J59+3,FALSE))</f>
        <v/>
      </c>
      <c r="P59" s="572">
        <f t="shared" si="8"/>
        <v>0</v>
      </c>
      <c r="Q59" s="589">
        <f t="shared" si="3"/>
        <v>0.6</v>
      </c>
      <c r="R59" s="573" t="str">
        <f t="shared" si="4"/>
        <v/>
      </c>
      <c r="S59" s="332">
        <f>IF(L59="",0,(((O59*12)*L59)*(1+tab!$D$108)*IF(I59&gt;8,tab!$E$110,tab!$E$112)))</f>
        <v>0</v>
      </c>
      <c r="T59" s="580">
        <f t="shared" si="5"/>
        <v>0</v>
      </c>
      <c r="U59" s="243">
        <f t="shared" si="6"/>
        <v>0</v>
      </c>
      <c r="V59" s="332">
        <f t="shared" si="9"/>
        <v>0</v>
      </c>
      <c r="W59" s="624"/>
      <c r="X59" s="97"/>
    </row>
    <row r="60" spans="2:24" ht="12.75" customHeight="1">
      <c r="B60" s="92"/>
      <c r="C60" s="131"/>
      <c r="D60" s="169"/>
      <c r="E60" s="169"/>
      <c r="F60" s="169"/>
      <c r="G60" s="170"/>
      <c r="H60" s="566"/>
      <c r="I60" s="170"/>
      <c r="J60" s="567"/>
      <c r="K60" s="568"/>
      <c r="L60" s="569"/>
      <c r="M60" s="570">
        <f t="shared" si="7"/>
        <v>0</v>
      </c>
      <c r="N60" s="551"/>
      <c r="O60" s="573" t="str">
        <f>IF(I60="","",VLOOKUP(I60,tab!$A$119:$W$159,J60+3,FALSE))</f>
        <v/>
      </c>
      <c r="P60" s="572">
        <f t="shared" si="8"/>
        <v>0</v>
      </c>
      <c r="Q60" s="589">
        <f t="shared" si="3"/>
        <v>0.6</v>
      </c>
      <c r="R60" s="573" t="str">
        <f t="shared" si="4"/>
        <v/>
      </c>
      <c r="S60" s="332">
        <f>IF(L60="",0,(((O60*12)*L60)*(1+tab!$D$108)*IF(I60&gt;8,tab!$E$110,tab!$E$112)))</f>
        <v>0</v>
      </c>
      <c r="T60" s="580">
        <f t="shared" si="5"/>
        <v>0</v>
      </c>
      <c r="U60" s="243">
        <f t="shared" si="6"/>
        <v>0</v>
      </c>
      <c r="V60" s="332">
        <f t="shared" si="9"/>
        <v>0</v>
      </c>
      <c r="W60" s="624"/>
      <c r="X60" s="97"/>
    </row>
    <row r="61" spans="2:24" ht="12.75" customHeight="1">
      <c r="B61" s="92"/>
      <c r="C61" s="131"/>
      <c r="D61" s="169"/>
      <c r="E61" s="169"/>
      <c r="F61" s="169"/>
      <c r="G61" s="170"/>
      <c r="H61" s="566"/>
      <c r="I61" s="170"/>
      <c r="J61" s="567"/>
      <c r="K61" s="568"/>
      <c r="L61" s="569"/>
      <c r="M61" s="570">
        <f t="shared" si="7"/>
        <v>0</v>
      </c>
      <c r="N61" s="551"/>
      <c r="O61" s="573" t="str">
        <f>IF(I61="","",VLOOKUP(I61,tab!$A$119:$W$159,J61+3,FALSE))</f>
        <v/>
      </c>
      <c r="P61" s="572">
        <f t="shared" si="8"/>
        <v>0</v>
      </c>
      <c r="Q61" s="589">
        <f t="shared" si="3"/>
        <v>0.6</v>
      </c>
      <c r="R61" s="573" t="str">
        <f t="shared" si="4"/>
        <v/>
      </c>
      <c r="S61" s="332">
        <f>IF(L61="",0,(((O61*12)*L61)*(1+tab!$D$108)*IF(I61&gt;8,tab!$E$110,tab!$E$112)))</f>
        <v>0</v>
      </c>
      <c r="T61" s="580">
        <f t="shared" si="5"/>
        <v>0</v>
      </c>
      <c r="U61" s="243">
        <f t="shared" si="6"/>
        <v>0</v>
      </c>
      <c r="V61" s="332">
        <f t="shared" si="9"/>
        <v>0</v>
      </c>
      <c r="W61" s="624"/>
      <c r="X61" s="97"/>
    </row>
    <row r="62" spans="2:24" ht="12.75" customHeight="1">
      <c r="B62" s="92"/>
      <c r="C62" s="131"/>
      <c r="D62" s="169"/>
      <c r="E62" s="169"/>
      <c r="F62" s="169"/>
      <c r="G62" s="170"/>
      <c r="H62" s="566"/>
      <c r="I62" s="170"/>
      <c r="J62" s="567"/>
      <c r="K62" s="568"/>
      <c r="L62" s="569"/>
      <c r="M62" s="570">
        <f t="shared" si="7"/>
        <v>0</v>
      </c>
      <c r="N62" s="551"/>
      <c r="O62" s="573" t="str">
        <f>IF(I62="","",VLOOKUP(I62,tab!$A$119:$W$159,J62+3,FALSE))</f>
        <v/>
      </c>
      <c r="P62" s="572">
        <f t="shared" si="8"/>
        <v>0</v>
      </c>
      <c r="Q62" s="589">
        <f t="shared" si="3"/>
        <v>0.6</v>
      </c>
      <c r="R62" s="573" t="str">
        <f t="shared" si="4"/>
        <v/>
      </c>
      <c r="S62" s="332">
        <f>IF(L62="",0,(((O62*12)*L62)*(1+tab!$D$108)*IF(I62&gt;8,tab!$E$110,tab!$E$112)))</f>
        <v>0</v>
      </c>
      <c r="T62" s="580">
        <f t="shared" si="5"/>
        <v>0</v>
      </c>
      <c r="U62" s="243">
        <f t="shared" si="6"/>
        <v>0</v>
      </c>
      <c r="V62" s="332">
        <f t="shared" si="9"/>
        <v>0</v>
      </c>
      <c r="W62" s="624"/>
      <c r="X62" s="97"/>
    </row>
    <row r="63" spans="2:24" ht="12.75" customHeight="1">
      <c r="B63" s="92"/>
      <c r="C63" s="131"/>
      <c r="D63" s="169"/>
      <c r="E63" s="169"/>
      <c r="F63" s="169"/>
      <c r="G63" s="170"/>
      <c r="H63" s="566"/>
      <c r="I63" s="170"/>
      <c r="J63" s="567"/>
      <c r="K63" s="568"/>
      <c r="L63" s="569"/>
      <c r="M63" s="570">
        <f t="shared" si="7"/>
        <v>0</v>
      </c>
      <c r="N63" s="551"/>
      <c r="O63" s="573" t="str">
        <f>IF(I63="","",VLOOKUP(I63,tab!$A$119:$W$159,J63+3,FALSE))</f>
        <v/>
      </c>
      <c r="P63" s="572">
        <f t="shared" si="8"/>
        <v>0</v>
      </c>
      <c r="Q63" s="589">
        <f t="shared" si="3"/>
        <v>0.6</v>
      </c>
      <c r="R63" s="573" t="str">
        <f t="shared" si="4"/>
        <v/>
      </c>
      <c r="S63" s="332">
        <f>IF(L63="",0,(((O63*12)*L63)*(1+tab!$D$108)*IF(I63&gt;8,tab!$E$110,tab!$E$112)))</f>
        <v>0</v>
      </c>
      <c r="T63" s="580">
        <f t="shared" si="5"/>
        <v>0</v>
      </c>
      <c r="U63" s="243">
        <f t="shared" si="6"/>
        <v>0</v>
      </c>
      <c r="V63" s="332">
        <f t="shared" si="9"/>
        <v>0</v>
      </c>
      <c r="W63" s="624"/>
      <c r="X63" s="97"/>
    </row>
    <row r="64" spans="2:24" ht="12.75" customHeight="1">
      <c r="B64" s="92"/>
      <c r="C64" s="131"/>
      <c r="D64" s="169"/>
      <c r="E64" s="169"/>
      <c r="F64" s="169"/>
      <c r="G64" s="170"/>
      <c r="H64" s="566"/>
      <c r="I64" s="170"/>
      <c r="J64" s="567"/>
      <c r="K64" s="568"/>
      <c r="L64" s="569"/>
      <c r="M64" s="570">
        <f t="shared" si="7"/>
        <v>0</v>
      </c>
      <c r="N64" s="551"/>
      <c r="O64" s="573" t="str">
        <f>IF(I64="","",VLOOKUP(I64,tab!$A$119:$W$159,J64+3,FALSE))</f>
        <v/>
      </c>
      <c r="P64" s="572">
        <f t="shared" si="8"/>
        <v>0</v>
      </c>
      <c r="Q64" s="589">
        <f t="shared" si="3"/>
        <v>0.6</v>
      </c>
      <c r="R64" s="573" t="str">
        <f t="shared" si="4"/>
        <v/>
      </c>
      <c r="S64" s="332">
        <f>IF(L64="",0,(((O64*12)*L64)*(1+tab!$D$108)*IF(I64&gt;8,tab!$E$110,tab!$E$112)))</f>
        <v>0</v>
      </c>
      <c r="T64" s="580">
        <f t="shared" si="5"/>
        <v>0</v>
      </c>
      <c r="U64" s="243">
        <f t="shared" si="6"/>
        <v>0</v>
      </c>
      <c r="V64" s="332">
        <f t="shared" si="9"/>
        <v>0</v>
      </c>
      <c r="W64" s="624"/>
      <c r="X64" s="97"/>
    </row>
    <row r="65" spans="1:41" ht="12.75" customHeight="1">
      <c r="B65" s="92"/>
      <c r="C65" s="131"/>
      <c r="D65" s="169"/>
      <c r="E65" s="169"/>
      <c r="F65" s="169"/>
      <c r="G65" s="170"/>
      <c r="H65" s="566"/>
      <c r="I65" s="170"/>
      <c r="J65" s="567"/>
      <c r="K65" s="568"/>
      <c r="L65" s="569"/>
      <c r="M65" s="570">
        <f t="shared" si="7"/>
        <v>0</v>
      </c>
      <c r="N65" s="551"/>
      <c r="O65" s="573" t="str">
        <f>IF(I65="","",VLOOKUP(I65,tab!$A$119:$W$159,J65+3,FALSE))</f>
        <v/>
      </c>
      <c r="P65" s="572">
        <f t="shared" si="8"/>
        <v>0</v>
      </c>
      <c r="Q65" s="589">
        <f t="shared" si="3"/>
        <v>0.6</v>
      </c>
      <c r="R65" s="573" t="str">
        <f t="shared" si="4"/>
        <v/>
      </c>
      <c r="S65" s="332">
        <f>IF(L65="",0,(((O65*12)*L65)*(1+tab!$D$108)*IF(I65&gt;8,tab!$E$110,tab!$E$112)))</f>
        <v>0</v>
      </c>
      <c r="T65" s="580">
        <f t="shared" si="5"/>
        <v>0</v>
      </c>
      <c r="U65" s="243">
        <f t="shared" si="6"/>
        <v>0</v>
      </c>
      <c r="V65" s="332">
        <f t="shared" si="9"/>
        <v>0</v>
      </c>
      <c r="W65" s="624"/>
      <c r="X65" s="97"/>
    </row>
    <row r="66" spans="1:41" ht="12.75" customHeight="1">
      <c r="B66" s="92"/>
      <c r="C66" s="131"/>
      <c r="D66" s="319"/>
      <c r="E66" s="319"/>
      <c r="F66" s="319"/>
      <c r="G66" s="319"/>
      <c r="H66" s="319"/>
      <c r="I66" s="139"/>
      <c r="J66" s="625"/>
      <c r="K66" s="575">
        <f>SUM(K16:K65)</f>
        <v>0</v>
      </c>
      <c r="L66" s="575">
        <f>SUM(L16:L65)</f>
        <v>0</v>
      </c>
      <c r="M66" s="575">
        <f>SUM(M16:M65)</f>
        <v>0</v>
      </c>
      <c r="N66" s="550"/>
      <c r="O66" s="309">
        <f>SUM(O16:O65)</f>
        <v>0</v>
      </c>
      <c r="P66" s="309">
        <f>SUM(P16:P65)</f>
        <v>0</v>
      </c>
      <c r="Q66" s="299"/>
      <c r="R66" s="344">
        <f>SUM(R16:R65)</f>
        <v>0</v>
      </c>
      <c r="S66" s="344">
        <f>SUM(S16:S65)</f>
        <v>0</v>
      </c>
      <c r="T66" s="309">
        <f>SUM(T16:T65)</f>
        <v>0</v>
      </c>
      <c r="U66" s="574">
        <f>SUM(U16:U65)</f>
        <v>0</v>
      </c>
      <c r="V66" s="344">
        <f>SUM(V16:V65)</f>
        <v>0</v>
      </c>
      <c r="W66" s="626"/>
      <c r="X66" s="97"/>
    </row>
    <row r="67" spans="1:41" ht="12.75" customHeight="1">
      <c r="B67" s="92"/>
      <c r="C67" s="141"/>
      <c r="D67" s="557"/>
      <c r="E67" s="557"/>
      <c r="F67" s="557"/>
      <c r="G67" s="557"/>
      <c r="H67" s="557"/>
      <c r="I67" s="146"/>
      <c r="J67" s="559"/>
      <c r="K67" s="560"/>
      <c r="L67" s="559"/>
      <c r="M67" s="560"/>
      <c r="N67" s="559"/>
      <c r="O67" s="559"/>
      <c r="P67" s="299"/>
      <c r="Q67" s="299"/>
      <c r="R67" s="299"/>
      <c r="S67" s="562"/>
      <c r="T67" s="299"/>
      <c r="U67" s="563"/>
      <c r="V67" s="562"/>
      <c r="W67" s="627"/>
      <c r="X67" s="97"/>
    </row>
    <row r="68" spans="1:41" ht="12.75" customHeight="1">
      <c r="B68" s="113"/>
      <c r="C68" s="114"/>
      <c r="D68" s="489"/>
      <c r="E68" s="489"/>
      <c r="F68" s="489"/>
      <c r="G68" s="489"/>
      <c r="H68" s="606"/>
      <c r="I68" s="118"/>
      <c r="J68" s="491"/>
      <c r="K68" s="492"/>
      <c r="L68" s="493"/>
      <c r="M68" s="493"/>
      <c r="N68" s="114"/>
      <c r="O68" s="496"/>
      <c r="P68" s="495"/>
      <c r="Q68" s="495"/>
      <c r="R68" s="495"/>
      <c r="S68" s="497"/>
      <c r="T68" s="498"/>
      <c r="U68" s="499"/>
      <c r="V68" s="497"/>
      <c r="W68" s="114"/>
      <c r="X68" s="120"/>
    </row>
    <row r="69" spans="1:41" ht="12.75" customHeight="1">
      <c r="B69" s="87"/>
      <c r="C69" s="88"/>
      <c r="D69" s="424"/>
      <c r="E69" s="424"/>
      <c r="F69" s="424"/>
      <c r="G69" s="424"/>
      <c r="H69" s="607"/>
      <c r="I69" s="90"/>
      <c r="J69" s="428"/>
      <c r="K69" s="608"/>
      <c r="L69" s="427"/>
      <c r="M69" s="427"/>
      <c r="N69" s="88"/>
      <c r="O69" s="609"/>
      <c r="P69" s="610"/>
      <c r="Q69" s="610"/>
      <c r="R69" s="610"/>
      <c r="S69" s="611"/>
      <c r="T69" s="612"/>
      <c r="U69" s="613"/>
      <c r="V69" s="611"/>
      <c r="W69" s="88"/>
      <c r="X69" s="91"/>
    </row>
    <row r="70" spans="1:41" ht="12.75" customHeight="1">
      <c r="B70" s="92"/>
      <c r="C70" s="93" t="s">
        <v>290</v>
      </c>
      <c r="D70" s="271"/>
      <c r="E70" s="455" t="str">
        <f>dir!E35</f>
        <v>2013/14</v>
      </c>
      <c r="F70" s="271"/>
      <c r="G70" s="271"/>
      <c r="H70" s="614"/>
      <c r="I70" s="95"/>
      <c r="J70" s="437"/>
      <c r="K70" s="615"/>
      <c r="L70" s="436"/>
      <c r="M70" s="436"/>
      <c r="N70" s="93"/>
      <c r="O70" s="616"/>
      <c r="P70" s="617"/>
      <c r="Q70" s="617"/>
      <c r="R70" s="617"/>
      <c r="S70" s="618"/>
      <c r="T70" s="619"/>
      <c r="U70" s="263"/>
      <c r="V70" s="618"/>
      <c r="W70" s="93"/>
      <c r="X70" s="97"/>
    </row>
    <row r="71" spans="1:41" ht="12.75" customHeight="1">
      <c r="B71" s="92"/>
      <c r="C71" s="93" t="s">
        <v>291</v>
      </c>
      <c r="D71" s="271"/>
      <c r="E71" s="455">
        <f>dir!E36</f>
        <v>41548</v>
      </c>
      <c r="F71" s="271"/>
      <c r="G71" s="271"/>
      <c r="H71" s="614"/>
      <c r="I71" s="95"/>
      <c r="J71" s="437"/>
      <c r="K71" s="615"/>
      <c r="L71" s="436"/>
      <c r="M71" s="436"/>
      <c r="N71" s="93"/>
      <c r="O71" s="616"/>
      <c r="P71" s="617"/>
      <c r="Q71" s="617"/>
      <c r="R71" s="617"/>
      <c r="S71" s="618"/>
      <c r="T71" s="619"/>
      <c r="U71" s="263"/>
      <c r="V71" s="618"/>
      <c r="W71" s="93"/>
      <c r="X71" s="97"/>
    </row>
    <row r="72" spans="1:41" ht="12.75" customHeight="1">
      <c r="B72" s="92"/>
      <c r="C72" s="93"/>
      <c r="D72" s="271"/>
      <c r="E72" s="271"/>
      <c r="F72" s="271"/>
      <c r="G72" s="271"/>
      <c r="H72" s="614"/>
      <c r="I72" s="95"/>
      <c r="J72" s="437"/>
      <c r="K72" s="615"/>
      <c r="L72" s="436"/>
      <c r="M72" s="436"/>
      <c r="N72" s="93"/>
      <c r="O72" s="616"/>
      <c r="P72" s="617"/>
      <c r="Q72" s="617"/>
      <c r="R72" s="617"/>
      <c r="S72" s="618"/>
      <c r="T72" s="619"/>
      <c r="U72" s="263"/>
      <c r="V72" s="618"/>
      <c r="W72" s="93"/>
      <c r="X72" s="97"/>
    </row>
    <row r="73" spans="1:41" ht="12.75" customHeight="1">
      <c r="B73" s="92"/>
      <c r="C73" s="124"/>
      <c r="D73" s="628"/>
      <c r="E73" s="629"/>
      <c r="F73" s="630"/>
      <c r="G73" s="631"/>
      <c r="H73" s="632"/>
      <c r="I73" s="633"/>
      <c r="J73" s="633"/>
      <c r="K73" s="634"/>
      <c r="L73" s="633"/>
      <c r="M73" s="635"/>
      <c r="N73" s="636"/>
      <c r="O73" s="637"/>
      <c r="P73" s="636"/>
      <c r="Q73" s="636"/>
      <c r="R73" s="636"/>
      <c r="S73" s="638"/>
      <c r="T73" s="639"/>
      <c r="U73" s="640"/>
      <c r="V73" s="638"/>
      <c r="W73" s="130"/>
      <c r="X73" s="97"/>
      <c r="AC73" s="596"/>
      <c r="AD73" s="597"/>
      <c r="AE73" s="596"/>
      <c r="AF73" s="596"/>
      <c r="AG73" s="596"/>
      <c r="AH73" s="348"/>
      <c r="AI73" s="598"/>
      <c r="AJ73" s="599"/>
      <c r="AK73" s="600"/>
      <c r="AL73" s="79"/>
      <c r="AM73" s="598"/>
    </row>
    <row r="74" spans="1:41" ht="12.75" customHeight="1">
      <c r="B74" s="92"/>
      <c r="C74" s="620"/>
      <c r="D74" s="1176" t="s">
        <v>292</v>
      </c>
      <c r="E74" s="1177"/>
      <c r="F74" s="1177"/>
      <c r="G74" s="1177"/>
      <c r="H74" s="1177"/>
      <c r="I74" s="1178"/>
      <c r="J74" s="1178"/>
      <c r="K74" s="1178"/>
      <c r="L74" s="1178"/>
      <c r="M74" s="1178"/>
      <c r="N74" s="525"/>
      <c r="O74" s="1176" t="s">
        <v>293</v>
      </c>
      <c r="P74" s="1178"/>
      <c r="Q74" s="1178"/>
      <c r="R74" s="1178"/>
      <c r="S74" s="1178"/>
      <c r="T74" s="1178"/>
      <c r="U74" s="526"/>
      <c r="V74" s="242"/>
      <c r="W74" s="621"/>
      <c r="X74" s="604"/>
      <c r="Y74" s="393"/>
      <c r="Z74" s="349"/>
      <c r="AA74" s="85"/>
      <c r="AB74" s="349"/>
      <c r="AC74" s="68"/>
      <c r="AD74" s="68"/>
      <c r="AL74" s="68"/>
      <c r="AM74" s="68"/>
      <c r="AN74" s="393"/>
      <c r="AO74" s="393"/>
    </row>
    <row r="75" spans="1:41" ht="12.75" customHeight="1">
      <c r="B75" s="92"/>
      <c r="C75" s="524"/>
      <c r="D75" s="528" t="s">
        <v>541</v>
      </c>
      <c r="E75" s="528" t="s">
        <v>294</v>
      </c>
      <c r="F75" s="528" t="s">
        <v>295</v>
      </c>
      <c r="G75" s="529" t="s">
        <v>296</v>
      </c>
      <c r="H75" s="530" t="s">
        <v>297</v>
      </c>
      <c r="I75" s="529" t="s">
        <v>302</v>
      </c>
      <c r="J75" s="529" t="s">
        <v>303</v>
      </c>
      <c r="K75" s="531" t="s">
        <v>305</v>
      </c>
      <c r="L75" s="532" t="s">
        <v>306</v>
      </c>
      <c r="M75" s="531" t="s">
        <v>307</v>
      </c>
      <c r="N75" s="528"/>
      <c r="O75" s="535" t="s">
        <v>304</v>
      </c>
      <c r="P75" s="535" t="s">
        <v>738</v>
      </c>
      <c r="Q75" s="587" t="s">
        <v>739</v>
      </c>
      <c r="R75" s="510"/>
      <c r="S75" s="536" t="s">
        <v>306</v>
      </c>
      <c r="T75" s="576" t="s">
        <v>308</v>
      </c>
      <c r="U75" s="537" t="s">
        <v>309</v>
      </c>
      <c r="V75" s="242" t="s">
        <v>740</v>
      </c>
      <c r="W75" s="538"/>
      <c r="X75" s="605"/>
      <c r="Y75" s="394"/>
      <c r="Z75" s="392"/>
      <c r="AA75" s="391"/>
      <c r="AB75" s="392"/>
      <c r="AC75" s="68"/>
      <c r="AD75" s="68"/>
      <c r="AL75" s="68"/>
      <c r="AM75" s="68"/>
      <c r="AN75" s="393"/>
      <c r="AO75" s="394"/>
    </row>
    <row r="76" spans="1:41" s="403" customFormat="1" ht="12.75" customHeight="1">
      <c r="A76" s="402"/>
      <c r="B76" s="487"/>
      <c r="C76" s="622"/>
      <c r="D76" s="540"/>
      <c r="E76" s="528"/>
      <c r="F76" s="532"/>
      <c r="G76" s="529" t="s">
        <v>312</v>
      </c>
      <c r="H76" s="530" t="s">
        <v>313</v>
      </c>
      <c r="I76" s="529"/>
      <c r="J76" s="529"/>
      <c r="K76" s="531" t="s">
        <v>316</v>
      </c>
      <c r="L76" s="532" t="s">
        <v>317</v>
      </c>
      <c r="M76" s="531" t="s">
        <v>318</v>
      </c>
      <c r="N76" s="528"/>
      <c r="O76" s="535" t="s">
        <v>315</v>
      </c>
      <c r="P76" s="535" t="s">
        <v>741</v>
      </c>
      <c r="Q76" s="577">
        <f>Q14</f>
        <v>0.6</v>
      </c>
      <c r="R76" s="510" t="s">
        <v>742</v>
      </c>
      <c r="S76" s="536" t="s">
        <v>310</v>
      </c>
      <c r="T76" s="576" t="s">
        <v>391</v>
      </c>
      <c r="U76" s="537"/>
      <c r="V76" s="536" t="s">
        <v>310</v>
      </c>
      <c r="W76" s="623"/>
      <c r="X76" s="488"/>
      <c r="AO76" s="404"/>
    </row>
    <row r="77" spans="1:41" ht="12.75" customHeight="1">
      <c r="B77" s="92"/>
      <c r="C77" s="131"/>
      <c r="D77" s="155"/>
      <c r="E77" s="155"/>
      <c r="F77" s="155"/>
      <c r="G77" s="155"/>
      <c r="H77" s="543"/>
      <c r="I77" s="544"/>
      <c r="J77" s="544"/>
      <c r="K77" s="545"/>
      <c r="L77" s="542"/>
      <c r="M77" s="545"/>
      <c r="N77" s="155"/>
      <c r="O77" s="546"/>
      <c r="P77" s="547"/>
      <c r="Q77" s="547"/>
      <c r="R77" s="547"/>
      <c r="S77" s="548"/>
      <c r="T77" s="547"/>
      <c r="U77" s="549"/>
      <c r="V77" s="548"/>
      <c r="W77" s="136"/>
      <c r="X77" s="97"/>
      <c r="AC77" s="68"/>
      <c r="AD77" s="68"/>
      <c r="AL77" s="68"/>
      <c r="AM77" s="68"/>
      <c r="AO77" s="395"/>
    </row>
    <row r="78" spans="1:41">
      <c r="B78" s="92"/>
      <c r="C78" s="131"/>
      <c r="D78" s="169" t="str">
        <f>IF(oop!D16=0,"",oop!D16)</f>
        <v/>
      </c>
      <c r="E78" s="169" t="str">
        <f>IF(oop!E16=0,"",oop!E16)</f>
        <v/>
      </c>
      <c r="F78" s="169" t="str">
        <f>IF(oop!F16=0,"",oop!F16)</f>
        <v/>
      </c>
      <c r="G78" s="170" t="str">
        <f>IF(oop!G16=0,"",oop!G16+1)</f>
        <v/>
      </c>
      <c r="H78" s="566" t="str">
        <f>IF(oop!H16="","",oop!H16)</f>
        <v/>
      </c>
      <c r="I78" s="170" t="str">
        <f>IF(oop!I16=0,"",oop!I16)</f>
        <v/>
      </c>
      <c r="J78" s="567" t="str">
        <f>IF(E78="","",(IF(oop!J16+1&gt;LOOKUP(I78,schaal2011,regels2011),oop!J16,oop!J16+1)))</f>
        <v/>
      </c>
      <c r="K78" s="568" t="str">
        <f>IF(oop!K16="","",oop!K16)</f>
        <v/>
      </c>
      <c r="L78" s="569" t="str">
        <f>IF(oop!L16="","",oop!L16)</f>
        <v/>
      </c>
      <c r="M78" s="570" t="str">
        <f t="shared" ref="M78:M102" si="10">(IF(L78="",(K78),(K78)-L78))</f>
        <v/>
      </c>
      <c r="N78" s="551"/>
      <c r="O78" s="573" t="str">
        <f>IF(I78="","",VLOOKUP(I78,tab!$A$119:$W$159,J78+3,FALSE))</f>
        <v/>
      </c>
      <c r="P78" s="572">
        <f t="shared" ref="P78:P109" si="11">IF(E78="",0,(O78*M78*12))</f>
        <v>0</v>
      </c>
      <c r="Q78" s="589">
        <f>$Q$76</f>
        <v>0.6</v>
      </c>
      <c r="R78" s="573">
        <f>IF(E78=0,"",(P78)*Q78)</f>
        <v>0</v>
      </c>
      <c r="S78" s="332">
        <f>IF(L78="",0,(((O78*12)*L78)*(1+tab!$D$108)*IF(I78&gt;8,tab!$E$110,tab!$E$112)))</f>
        <v>0</v>
      </c>
      <c r="T78" s="580">
        <f>IF(E78=0,0,(P78+R78+S78))</f>
        <v>0</v>
      </c>
      <c r="U78" s="243">
        <f t="shared" ref="U78:U127" si="12">IF(G78&lt;25,0,IF(G78=25,25,IF(G78&lt;40,0,IF(G78=40,40,IF(G78&gt;=40,0)))))</f>
        <v>0</v>
      </c>
      <c r="V78" s="332">
        <f t="shared" ref="V78:V109" si="13">IF(U78=25,(O78*1.08*(K78)/2),IF(U78=40,(O78*1.08*(K78)),IF(U78=0,0)))</f>
        <v>0</v>
      </c>
      <c r="W78" s="624"/>
      <c r="X78" s="97"/>
      <c r="AA78" s="405"/>
      <c r="AJ78" s="405"/>
    </row>
    <row r="79" spans="1:41">
      <c r="B79" s="92"/>
      <c r="C79" s="131"/>
      <c r="D79" s="169" t="str">
        <f>IF(oop!D17=0,"",oop!D17)</f>
        <v/>
      </c>
      <c r="E79" s="169" t="str">
        <f>IF(oop!E17=0,"",oop!E17)</f>
        <v/>
      </c>
      <c r="F79" s="169" t="str">
        <f>IF(oop!F17=0,"",oop!F17)</f>
        <v/>
      </c>
      <c r="G79" s="169" t="str">
        <f>IF(oop!G17=0,"",oop!G17+1)</f>
        <v/>
      </c>
      <c r="H79" s="641" t="str">
        <f>IF(oop!H17="","",oop!H17)</f>
        <v/>
      </c>
      <c r="I79" s="170" t="str">
        <f>IF(oop!I17=0,"",oop!I17)</f>
        <v/>
      </c>
      <c r="J79" s="567" t="str">
        <f>IF(E79="","",(IF(oop!J17+1&gt;LOOKUP(I79,schaal2011,regels2011),oop!J17,oop!J17+1)))</f>
        <v/>
      </c>
      <c r="K79" s="568" t="str">
        <f>IF(oop!K17="","",oop!K17)</f>
        <v/>
      </c>
      <c r="L79" s="569" t="str">
        <f>IF(oop!L17="","",oop!L17)</f>
        <v/>
      </c>
      <c r="M79" s="570" t="str">
        <f t="shared" si="10"/>
        <v/>
      </c>
      <c r="N79" s="551"/>
      <c r="O79" s="573" t="str">
        <f>IF(I79="","",VLOOKUP(I79,tab!$A$119:$W$159,J79+3,FALSE))</f>
        <v/>
      </c>
      <c r="P79" s="572">
        <f t="shared" si="11"/>
        <v>0</v>
      </c>
      <c r="Q79" s="589">
        <f t="shared" ref="Q79:Q127" si="14">$Q$76</f>
        <v>0.6</v>
      </c>
      <c r="R79" s="573">
        <f t="shared" ref="R79:R127" si="15">IF(E79=0,"",(P79)*Q79)</f>
        <v>0</v>
      </c>
      <c r="S79" s="332">
        <f>IF(L79="",0,(((O79*12)*L79)*(1+tab!$D$108)*IF(I79&gt;8,tab!$E$110,tab!$E$112)))</f>
        <v>0</v>
      </c>
      <c r="T79" s="580">
        <f t="shared" ref="T79:T127" si="16">IF(E79=0,0,(P79+R79+S79))</f>
        <v>0</v>
      </c>
      <c r="U79" s="243">
        <f t="shared" si="12"/>
        <v>0</v>
      </c>
      <c r="V79" s="332">
        <f t="shared" si="13"/>
        <v>0</v>
      </c>
      <c r="W79" s="624"/>
      <c r="X79" s="97"/>
      <c r="AA79" s="405"/>
      <c r="AJ79" s="405"/>
    </row>
    <row r="80" spans="1:41">
      <c r="B80" s="92"/>
      <c r="C80" s="131"/>
      <c r="D80" s="169" t="str">
        <f>IF(oop!D18=0,"",oop!D18)</f>
        <v/>
      </c>
      <c r="E80" s="169" t="str">
        <f>IF(oop!E18=0,"",oop!E18)</f>
        <v/>
      </c>
      <c r="F80" s="169" t="str">
        <f>IF(oop!F18=0,"",oop!F18)</f>
        <v/>
      </c>
      <c r="G80" s="169" t="str">
        <f>IF(oop!G18=0,"",oop!G18+1)</f>
        <v/>
      </c>
      <c r="H80" s="641" t="str">
        <f>IF(oop!H18="","",oop!H18)</f>
        <v/>
      </c>
      <c r="I80" s="170" t="str">
        <f>IF(oop!I18=0,"",oop!I18)</f>
        <v/>
      </c>
      <c r="J80" s="567" t="str">
        <f>IF(E80="","",(IF(oop!J18+1&gt;LOOKUP(I80,schaal2011,regels2011),oop!J18,oop!J18+1)))</f>
        <v/>
      </c>
      <c r="K80" s="568" t="str">
        <f>IF(oop!K18="","",oop!K18)</f>
        <v/>
      </c>
      <c r="L80" s="569" t="str">
        <f>IF(oop!L18="","",oop!L18)</f>
        <v/>
      </c>
      <c r="M80" s="570" t="str">
        <f t="shared" si="10"/>
        <v/>
      </c>
      <c r="N80" s="551"/>
      <c r="O80" s="573" t="str">
        <f>IF(I80="","",VLOOKUP(I80,tab!$A$119:$W$159,J80+3,FALSE))</f>
        <v/>
      </c>
      <c r="P80" s="572">
        <f t="shared" si="11"/>
        <v>0</v>
      </c>
      <c r="Q80" s="589">
        <f t="shared" si="14"/>
        <v>0.6</v>
      </c>
      <c r="R80" s="573">
        <f t="shared" si="15"/>
        <v>0</v>
      </c>
      <c r="S80" s="332">
        <f>IF(L80="",0,(((O80*12)*L80)*(1+tab!$D$108)*IF(I80&gt;8,tab!$E$110,tab!$E$112)))</f>
        <v>0</v>
      </c>
      <c r="T80" s="580">
        <f t="shared" si="16"/>
        <v>0</v>
      </c>
      <c r="U80" s="243">
        <f t="shared" si="12"/>
        <v>0</v>
      </c>
      <c r="V80" s="332">
        <f t="shared" si="13"/>
        <v>0</v>
      </c>
      <c r="W80" s="624"/>
      <c r="X80" s="97"/>
      <c r="AA80" s="405"/>
      <c r="AJ80" s="405"/>
    </row>
    <row r="81" spans="2:36">
      <c r="B81" s="92"/>
      <c r="C81" s="131"/>
      <c r="D81" s="169" t="str">
        <f>IF(oop!D19=0,"",oop!D19)</f>
        <v/>
      </c>
      <c r="E81" s="169" t="str">
        <f>IF(oop!E19=0,"",oop!E19)</f>
        <v/>
      </c>
      <c r="F81" s="169" t="str">
        <f>IF(oop!F19=0,"",oop!F19)</f>
        <v/>
      </c>
      <c r="G81" s="169" t="str">
        <f>IF(oop!G19=0,"",oop!G19+1)</f>
        <v/>
      </c>
      <c r="H81" s="641" t="str">
        <f>IF(oop!H19="","",oop!H19)</f>
        <v/>
      </c>
      <c r="I81" s="170" t="str">
        <f>IF(oop!I19=0,"",oop!I19)</f>
        <v/>
      </c>
      <c r="J81" s="567" t="str">
        <f>IF(E81="","",(IF(oop!J19+1&gt;LOOKUP(I81,schaal2011,regels2011),oop!J19,oop!J19+1)))</f>
        <v/>
      </c>
      <c r="K81" s="568" t="str">
        <f>IF(oop!K19="","",oop!K19)</f>
        <v/>
      </c>
      <c r="L81" s="569" t="str">
        <f>IF(oop!L19="","",oop!L19)</f>
        <v/>
      </c>
      <c r="M81" s="570" t="str">
        <f t="shared" si="10"/>
        <v/>
      </c>
      <c r="N81" s="551"/>
      <c r="O81" s="573" t="str">
        <f>IF(I81="","",VLOOKUP(I81,tab!$A$119:$W$159,J81+3,FALSE))</f>
        <v/>
      </c>
      <c r="P81" s="572">
        <f t="shared" si="11"/>
        <v>0</v>
      </c>
      <c r="Q81" s="589">
        <f t="shared" si="14"/>
        <v>0.6</v>
      </c>
      <c r="R81" s="573">
        <f t="shared" si="15"/>
        <v>0</v>
      </c>
      <c r="S81" s="332">
        <f>IF(L81="",0,(((O81*12)*L81)*(1+tab!$D$108)*IF(I81&gt;8,tab!$E$110,tab!$E$112)))</f>
        <v>0</v>
      </c>
      <c r="T81" s="580">
        <f t="shared" si="16"/>
        <v>0</v>
      </c>
      <c r="U81" s="243">
        <f t="shared" si="12"/>
        <v>0</v>
      </c>
      <c r="V81" s="332">
        <f t="shared" si="13"/>
        <v>0</v>
      </c>
      <c r="W81" s="624"/>
      <c r="X81" s="97"/>
      <c r="AA81" s="405"/>
      <c r="AJ81" s="405"/>
    </row>
    <row r="82" spans="2:36">
      <c r="B82" s="92"/>
      <c r="C82" s="131"/>
      <c r="D82" s="169" t="str">
        <f>IF(oop!D20=0,"",oop!D20)</f>
        <v/>
      </c>
      <c r="E82" s="169" t="str">
        <f>IF(oop!E20=0,"",oop!E20)</f>
        <v/>
      </c>
      <c r="F82" s="169" t="str">
        <f>IF(oop!F20=0,"",oop!F20)</f>
        <v/>
      </c>
      <c r="G82" s="169" t="str">
        <f>IF(oop!G20=0,"",oop!G20+1)</f>
        <v/>
      </c>
      <c r="H82" s="641" t="str">
        <f>IF(oop!H20="","",oop!H20)</f>
        <v/>
      </c>
      <c r="I82" s="170" t="str">
        <f>IF(oop!I20=0,"",oop!I20)</f>
        <v/>
      </c>
      <c r="J82" s="567" t="str">
        <f>IF(E82="","",(IF(oop!J20+1&gt;LOOKUP(I82,schaal2011,regels2011),oop!J20,oop!J20+1)))</f>
        <v/>
      </c>
      <c r="K82" s="568" t="str">
        <f>IF(oop!K20="","",oop!K20)</f>
        <v/>
      </c>
      <c r="L82" s="569" t="str">
        <f>IF(oop!L20="","",oop!L20)</f>
        <v/>
      </c>
      <c r="M82" s="570" t="str">
        <f t="shared" si="10"/>
        <v/>
      </c>
      <c r="N82" s="551"/>
      <c r="O82" s="573" t="str">
        <f>IF(I82="","",VLOOKUP(I82,tab!$A$119:$W$159,J82+3,FALSE))</f>
        <v/>
      </c>
      <c r="P82" s="572">
        <f t="shared" si="11"/>
        <v>0</v>
      </c>
      <c r="Q82" s="589">
        <f t="shared" si="14"/>
        <v>0.6</v>
      </c>
      <c r="R82" s="573">
        <f t="shared" si="15"/>
        <v>0</v>
      </c>
      <c r="S82" s="332">
        <f>IF(L82="",0,(((O82*12)*L82)*(1+tab!$D$108)*IF(I82&gt;8,tab!$E$110,tab!$E$112)))</f>
        <v>0</v>
      </c>
      <c r="T82" s="580">
        <f t="shared" si="16"/>
        <v>0</v>
      </c>
      <c r="U82" s="243">
        <f t="shared" si="12"/>
        <v>0</v>
      </c>
      <c r="V82" s="332">
        <f t="shared" si="13"/>
        <v>0</v>
      </c>
      <c r="W82" s="624"/>
      <c r="X82" s="97"/>
      <c r="AA82" s="405"/>
      <c r="AJ82" s="405"/>
    </row>
    <row r="83" spans="2:36">
      <c r="B83" s="92"/>
      <c r="C83" s="131"/>
      <c r="D83" s="169" t="str">
        <f>IF(oop!D21=0,"",oop!D21)</f>
        <v/>
      </c>
      <c r="E83" s="169" t="str">
        <f>IF(oop!E21=0,"",oop!E21)</f>
        <v/>
      </c>
      <c r="F83" s="169" t="str">
        <f>IF(oop!F21=0,"",oop!F21)</f>
        <v/>
      </c>
      <c r="G83" s="169" t="str">
        <f>IF(oop!G21=0,"",oop!G21+1)</f>
        <v/>
      </c>
      <c r="H83" s="641" t="str">
        <f>IF(oop!H21="","",oop!H21)</f>
        <v/>
      </c>
      <c r="I83" s="170" t="str">
        <f>IF(oop!I21=0,"",oop!I21)</f>
        <v/>
      </c>
      <c r="J83" s="567" t="str">
        <f>IF(E83="","",(IF(oop!J21+1&gt;LOOKUP(I83,schaal2011,regels2011),oop!J21,oop!J21+1)))</f>
        <v/>
      </c>
      <c r="K83" s="568" t="str">
        <f>IF(oop!K21="","",oop!K21)</f>
        <v/>
      </c>
      <c r="L83" s="569" t="str">
        <f>IF(oop!L21="","",oop!L21)</f>
        <v/>
      </c>
      <c r="M83" s="570" t="str">
        <f t="shared" si="10"/>
        <v/>
      </c>
      <c r="N83" s="551"/>
      <c r="O83" s="573" t="str">
        <f>IF(I83="","",VLOOKUP(I83,tab!$A$119:$W$159,J83+3,FALSE))</f>
        <v/>
      </c>
      <c r="P83" s="572">
        <f t="shared" si="11"/>
        <v>0</v>
      </c>
      <c r="Q83" s="589">
        <f t="shared" si="14"/>
        <v>0.6</v>
      </c>
      <c r="R83" s="573">
        <f t="shared" si="15"/>
        <v>0</v>
      </c>
      <c r="S83" s="332">
        <f>IF(L83="",0,(((O83*12)*L83)*(1+tab!$D$108)*IF(I83&gt;8,tab!$E$110,tab!$E$112)))</f>
        <v>0</v>
      </c>
      <c r="T83" s="580">
        <f t="shared" si="16"/>
        <v>0</v>
      </c>
      <c r="U83" s="243">
        <f t="shared" si="12"/>
        <v>0</v>
      </c>
      <c r="V83" s="332">
        <f t="shared" si="13"/>
        <v>0</v>
      </c>
      <c r="W83" s="624"/>
      <c r="X83" s="97"/>
      <c r="AA83" s="405"/>
      <c r="AJ83" s="405"/>
    </row>
    <row r="84" spans="2:36">
      <c r="B84" s="92"/>
      <c r="C84" s="131"/>
      <c r="D84" s="169" t="str">
        <f>IF(oop!D22=0,"",oop!D22)</f>
        <v/>
      </c>
      <c r="E84" s="169" t="str">
        <f>IF(oop!E22=0,"",oop!E22)</f>
        <v/>
      </c>
      <c r="F84" s="169" t="str">
        <f>IF(oop!F22=0,"",oop!F22)</f>
        <v/>
      </c>
      <c r="G84" s="169" t="str">
        <f>IF(oop!G22=0,"",oop!G22+1)</f>
        <v/>
      </c>
      <c r="H84" s="641" t="str">
        <f>IF(oop!H22="","",oop!H22)</f>
        <v/>
      </c>
      <c r="I84" s="170" t="str">
        <f>IF(oop!I22=0,"",oop!I22)</f>
        <v/>
      </c>
      <c r="J84" s="567" t="str">
        <f>IF(E84="","",(IF(oop!J22+1&gt;LOOKUP(I84,schaal2011,regels2011),oop!J22,oop!J22+1)))</f>
        <v/>
      </c>
      <c r="K84" s="568" t="str">
        <f>IF(oop!K22="","",oop!K22)</f>
        <v/>
      </c>
      <c r="L84" s="569" t="str">
        <f>IF(oop!L22="","",oop!L22)</f>
        <v/>
      </c>
      <c r="M84" s="570" t="str">
        <f t="shared" si="10"/>
        <v/>
      </c>
      <c r="N84" s="551"/>
      <c r="O84" s="573" t="str">
        <f>IF(I84="","",VLOOKUP(I84,tab!$A$119:$W$159,J84+3,FALSE))</f>
        <v/>
      </c>
      <c r="P84" s="572">
        <f t="shared" si="11"/>
        <v>0</v>
      </c>
      <c r="Q84" s="589">
        <f t="shared" si="14"/>
        <v>0.6</v>
      </c>
      <c r="R84" s="573">
        <f t="shared" si="15"/>
        <v>0</v>
      </c>
      <c r="S84" s="332">
        <f>IF(L84="",0,(((O84*12)*L84)*(1+tab!$D$108)*IF(I84&gt;8,tab!$E$110,tab!$E$112)))</f>
        <v>0</v>
      </c>
      <c r="T84" s="580">
        <f t="shared" si="16"/>
        <v>0</v>
      </c>
      <c r="U84" s="243">
        <f t="shared" si="12"/>
        <v>0</v>
      </c>
      <c r="V84" s="332">
        <f t="shared" si="13"/>
        <v>0</v>
      </c>
      <c r="W84" s="624"/>
      <c r="X84" s="97"/>
      <c r="AA84" s="405"/>
      <c r="AJ84" s="405"/>
    </row>
    <row r="85" spans="2:36">
      <c r="B85" s="92"/>
      <c r="C85" s="131"/>
      <c r="D85" s="169" t="str">
        <f>IF(oop!D23=0,"",oop!D23)</f>
        <v/>
      </c>
      <c r="E85" s="169" t="str">
        <f>IF(oop!E23=0,"",oop!E23)</f>
        <v/>
      </c>
      <c r="F85" s="169" t="str">
        <f>IF(oop!F23=0,"",oop!F23)</f>
        <v/>
      </c>
      <c r="G85" s="169" t="str">
        <f>IF(oop!G23=0,"",oop!G23+1)</f>
        <v/>
      </c>
      <c r="H85" s="641" t="str">
        <f>IF(oop!H23="","",oop!H23)</f>
        <v/>
      </c>
      <c r="I85" s="170" t="str">
        <f>IF(oop!I23=0,"",oop!I23)</f>
        <v/>
      </c>
      <c r="J85" s="567" t="str">
        <f>IF(E85="","",(IF(oop!J23+1&gt;LOOKUP(I85,schaal2011,regels2011),oop!J23,oop!J23+1)))</f>
        <v/>
      </c>
      <c r="K85" s="568" t="str">
        <f>IF(oop!K23="","",oop!K23)</f>
        <v/>
      </c>
      <c r="L85" s="569" t="str">
        <f>IF(oop!L23="","",oop!L23)</f>
        <v/>
      </c>
      <c r="M85" s="570" t="str">
        <f t="shared" si="10"/>
        <v/>
      </c>
      <c r="N85" s="551"/>
      <c r="O85" s="573" t="str">
        <f>IF(I85="","",VLOOKUP(I85,tab!$A$119:$W$159,J85+3,FALSE))</f>
        <v/>
      </c>
      <c r="P85" s="572">
        <f t="shared" si="11"/>
        <v>0</v>
      </c>
      <c r="Q85" s="589">
        <f t="shared" si="14"/>
        <v>0.6</v>
      </c>
      <c r="R85" s="573">
        <f t="shared" si="15"/>
        <v>0</v>
      </c>
      <c r="S85" s="332">
        <f>IF(L85="",0,(((O85*12)*L85)*(1+tab!$D$108)*IF(I85&gt;8,tab!$E$110,tab!$E$112)))</f>
        <v>0</v>
      </c>
      <c r="T85" s="580">
        <f t="shared" si="16"/>
        <v>0</v>
      </c>
      <c r="U85" s="243">
        <f t="shared" si="12"/>
        <v>0</v>
      </c>
      <c r="V85" s="332">
        <f t="shared" si="13"/>
        <v>0</v>
      </c>
      <c r="W85" s="624"/>
      <c r="X85" s="97"/>
      <c r="AA85" s="405"/>
      <c r="AJ85" s="405"/>
    </row>
    <row r="86" spans="2:36">
      <c r="B86" s="92"/>
      <c r="C86" s="131"/>
      <c r="D86" s="169" t="str">
        <f>IF(oop!D24=0,"",oop!D24)</f>
        <v/>
      </c>
      <c r="E86" s="169" t="str">
        <f>IF(oop!E24=0,"",oop!E24)</f>
        <v/>
      </c>
      <c r="F86" s="169" t="str">
        <f>IF(oop!F24=0,"",oop!F24)</f>
        <v/>
      </c>
      <c r="G86" s="169" t="str">
        <f>IF(oop!G24=0,"",oop!G24+1)</f>
        <v/>
      </c>
      <c r="H86" s="641" t="str">
        <f>IF(oop!H24="","",oop!H24)</f>
        <v/>
      </c>
      <c r="I86" s="170" t="str">
        <f>IF(oop!I24=0,"",oop!I24)</f>
        <v/>
      </c>
      <c r="J86" s="567" t="str">
        <f>IF(E86="","",(IF(oop!J24+1&gt;LOOKUP(I86,schaal2011,regels2011),oop!J24,oop!J24+1)))</f>
        <v/>
      </c>
      <c r="K86" s="568" t="str">
        <f>IF(oop!K24="","",oop!K24)</f>
        <v/>
      </c>
      <c r="L86" s="569" t="str">
        <f>IF(oop!L24="","",oop!L24)</f>
        <v/>
      </c>
      <c r="M86" s="570" t="str">
        <f t="shared" si="10"/>
        <v/>
      </c>
      <c r="N86" s="551"/>
      <c r="O86" s="573" t="str">
        <f>IF(I86="","",VLOOKUP(I86,tab!$A$119:$W$159,J86+3,FALSE))</f>
        <v/>
      </c>
      <c r="P86" s="572">
        <f t="shared" si="11"/>
        <v>0</v>
      </c>
      <c r="Q86" s="589">
        <f t="shared" si="14"/>
        <v>0.6</v>
      </c>
      <c r="R86" s="573">
        <f t="shared" si="15"/>
        <v>0</v>
      </c>
      <c r="S86" s="332">
        <f>IF(L86="",0,(((O86*12)*L86)*(1+tab!$D$108)*IF(I86&gt;8,tab!$E$110,tab!$E$112)))</f>
        <v>0</v>
      </c>
      <c r="T86" s="580">
        <f t="shared" si="16"/>
        <v>0</v>
      </c>
      <c r="U86" s="243">
        <f t="shared" si="12"/>
        <v>0</v>
      </c>
      <c r="V86" s="332">
        <f t="shared" si="13"/>
        <v>0</v>
      </c>
      <c r="W86" s="624"/>
      <c r="X86" s="97"/>
      <c r="AA86" s="405"/>
      <c r="AJ86" s="405"/>
    </row>
    <row r="87" spans="2:36">
      <c r="B87" s="92"/>
      <c r="C87" s="131"/>
      <c r="D87" s="169" t="str">
        <f>IF(oop!D25=0,"",oop!D25)</f>
        <v/>
      </c>
      <c r="E87" s="169" t="str">
        <f>IF(oop!E25=0,"",oop!E25)</f>
        <v/>
      </c>
      <c r="F87" s="169" t="str">
        <f>IF(oop!F25=0,"",oop!F25)</f>
        <v/>
      </c>
      <c r="G87" s="169" t="str">
        <f>IF(oop!G25=0,"",oop!G25+1)</f>
        <v/>
      </c>
      <c r="H87" s="641" t="str">
        <f>IF(oop!H25="","",oop!H25)</f>
        <v/>
      </c>
      <c r="I87" s="170" t="str">
        <f>IF(oop!I25=0,"",oop!I25)</f>
        <v/>
      </c>
      <c r="J87" s="567" t="str">
        <f>IF(E87="","",(IF(oop!J25+1&gt;LOOKUP(I87,schaal2011,regels2011),oop!J25,oop!J25+1)))</f>
        <v/>
      </c>
      <c r="K87" s="568" t="str">
        <f>IF(oop!K25="","",oop!K25)</f>
        <v/>
      </c>
      <c r="L87" s="569" t="str">
        <f>IF(oop!L25="","",oop!L25)</f>
        <v/>
      </c>
      <c r="M87" s="570" t="str">
        <f t="shared" si="10"/>
        <v/>
      </c>
      <c r="N87" s="551"/>
      <c r="O87" s="573" t="str">
        <f>IF(I87="","",VLOOKUP(I87,tab!$A$119:$W$159,J87+3,FALSE))</f>
        <v/>
      </c>
      <c r="P87" s="572">
        <f t="shared" si="11"/>
        <v>0</v>
      </c>
      <c r="Q87" s="589">
        <f t="shared" si="14"/>
        <v>0.6</v>
      </c>
      <c r="R87" s="573">
        <f t="shared" si="15"/>
        <v>0</v>
      </c>
      <c r="S87" s="332">
        <f>IF(L87="",0,(((O87*12)*L87)*(1+tab!$D$108)*IF(I87&gt;8,tab!$E$110,tab!$E$112)))</f>
        <v>0</v>
      </c>
      <c r="T87" s="580">
        <f t="shared" si="16"/>
        <v>0</v>
      </c>
      <c r="U87" s="243">
        <f t="shared" si="12"/>
        <v>0</v>
      </c>
      <c r="V87" s="332">
        <f t="shared" si="13"/>
        <v>0</v>
      </c>
      <c r="W87" s="624"/>
      <c r="X87" s="97"/>
      <c r="AA87" s="405"/>
      <c r="AJ87" s="405"/>
    </row>
    <row r="88" spans="2:36">
      <c r="B88" s="92"/>
      <c r="C88" s="131"/>
      <c r="D88" s="169" t="str">
        <f>IF(oop!D26=0,"",oop!D26)</f>
        <v/>
      </c>
      <c r="E88" s="169" t="str">
        <f>IF(oop!E26=0,"",oop!E26)</f>
        <v/>
      </c>
      <c r="F88" s="169" t="str">
        <f>IF(oop!F26=0,"",oop!F26)</f>
        <v/>
      </c>
      <c r="G88" s="169" t="str">
        <f>IF(oop!G26=0,"",oop!G26+1)</f>
        <v/>
      </c>
      <c r="H88" s="641" t="str">
        <f>IF(oop!H26="","",oop!H26)</f>
        <v/>
      </c>
      <c r="I88" s="170" t="str">
        <f>IF(oop!I26=0,"",oop!I26)</f>
        <v/>
      </c>
      <c r="J88" s="567" t="str">
        <f>IF(E88="","",(IF(oop!J26+1&gt;LOOKUP(I88,schaal2011,regels2011),oop!J26,oop!J26+1)))</f>
        <v/>
      </c>
      <c r="K88" s="568" t="str">
        <f>IF(oop!K26="","",oop!K26)</f>
        <v/>
      </c>
      <c r="L88" s="569" t="str">
        <f>IF(oop!L26="","",oop!L26)</f>
        <v/>
      </c>
      <c r="M88" s="570" t="str">
        <f t="shared" si="10"/>
        <v/>
      </c>
      <c r="N88" s="551"/>
      <c r="O88" s="573" t="str">
        <f>IF(I88="","",VLOOKUP(I88,tab!$A$119:$W$159,J88+3,FALSE))</f>
        <v/>
      </c>
      <c r="P88" s="572">
        <f t="shared" si="11"/>
        <v>0</v>
      </c>
      <c r="Q88" s="589">
        <f t="shared" si="14"/>
        <v>0.6</v>
      </c>
      <c r="R88" s="573">
        <f t="shared" si="15"/>
        <v>0</v>
      </c>
      <c r="S88" s="332">
        <f>IF(L88="",0,(((O88*12)*L88)*(1+tab!$D$108)*IF(I88&gt;8,tab!$E$110,tab!$E$112)))</f>
        <v>0</v>
      </c>
      <c r="T88" s="580">
        <f t="shared" si="16"/>
        <v>0</v>
      </c>
      <c r="U88" s="243">
        <f t="shared" si="12"/>
        <v>0</v>
      </c>
      <c r="V88" s="332">
        <f t="shared" si="13"/>
        <v>0</v>
      </c>
      <c r="W88" s="624"/>
      <c r="X88" s="97"/>
      <c r="AA88" s="405"/>
      <c r="AJ88" s="405"/>
    </row>
    <row r="89" spans="2:36">
      <c r="B89" s="92"/>
      <c r="C89" s="131"/>
      <c r="D89" s="169" t="str">
        <f>IF(oop!D27=0,"",oop!D27)</f>
        <v/>
      </c>
      <c r="E89" s="169" t="str">
        <f>IF(oop!E27=0,"",oop!E27)</f>
        <v/>
      </c>
      <c r="F89" s="169" t="str">
        <f>IF(oop!F27=0,"",oop!F27)</f>
        <v/>
      </c>
      <c r="G89" s="169" t="str">
        <f>IF(oop!G27=0,"",oop!G27+1)</f>
        <v/>
      </c>
      <c r="H89" s="641" t="str">
        <f>IF(oop!H27="","",oop!H27)</f>
        <v/>
      </c>
      <c r="I89" s="170" t="str">
        <f>IF(oop!I27=0,"",oop!I27)</f>
        <v/>
      </c>
      <c r="J89" s="567" t="str">
        <f>IF(E89="","",(IF(oop!J27+1&gt;LOOKUP(I89,schaal2011,regels2011),oop!J27,oop!J27+1)))</f>
        <v/>
      </c>
      <c r="K89" s="568" t="str">
        <f>IF(oop!K27="","",oop!K27)</f>
        <v/>
      </c>
      <c r="L89" s="569" t="str">
        <f>IF(oop!L27="","",oop!L27)</f>
        <v/>
      </c>
      <c r="M89" s="570" t="str">
        <f t="shared" si="10"/>
        <v/>
      </c>
      <c r="N89" s="551"/>
      <c r="O89" s="573" t="str">
        <f>IF(I89="","",VLOOKUP(I89,tab!$A$119:$W$159,J89+3,FALSE))</f>
        <v/>
      </c>
      <c r="P89" s="572">
        <f t="shared" si="11"/>
        <v>0</v>
      </c>
      <c r="Q89" s="589">
        <f t="shared" si="14"/>
        <v>0.6</v>
      </c>
      <c r="R89" s="573">
        <f t="shared" si="15"/>
        <v>0</v>
      </c>
      <c r="S89" s="332">
        <f>IF(L89="",0,(((O89*12)*L89)*(1+tab!$D$108)*IF(I89&gt;8,tab!$E$110,tab!$E$112)))</f>
        <v>0</v>
      </c>
      <c r="T89" s="580">
        <f t="shared" si="16"/>
        <v>0</v>
      </c>
      <c r="U89" s="243">
        <f t="shared" si="12"/>
        <v>0</v>
      </c>
      <c r="V89" s="332">
        <f t="shared" si="13"/>
        <v>0</v>
      </c>
      <c r="W89" s="624"/>
      <c r="X89" s="97"/>
      <c r="AA89" s="405"/>
      <c r="AJ89" s="405"/>
    </row>
    <row r="90" spans="2:36">
      <c r="B90" s="92"/>
      <c r="C90" s="131"/>
      <c r="D90" s="169" t="str">
        <f>IF(oop!D28=0,"",oop!D28)</f>
        <v/>
      </c>
      <c r="E90" s="169" t="str">
        <f>IF(oop!E28=0,"",oop!E28)</f>
        <v/>
      </c>
      <c r="F90" s="169" t="str">
        <f>IF(oop!F28=0,"",oop!F28)</f>
        <v/>
      </c>
      <c r="G90" s="169" t="str">
        <f>IF(oop!G28=0,"",oop!G28+1)</f>
        <v/>
      </c>
      <c r="H90" s="641" t="str">
        <f>IF(oop!H28="","",oop!H28)</f>
        <v/>
      </c>
      <c r="I90" s="170" t="str">
        <f>IF(oop!I28=0,"",oop!I28)</f>
        <v/>
      </c>
      <c r="J90" s="567" t="str">
        <f>IF(E90="","",(IF(oop!J28+1&gt;LOOKUP(I90,schaal2011,regels2011),oop!J28,oop!J28+1)))</f>
        <v/>
      </c>
      <c r="K90" s="568" t="str">
        <f>IF(oop!K28="","",oop!K28)</f>
        <v/>
      </c>
      <c r="L90" s="569" t="str">
        <f>IF(oop!L28="","",oop!L28)</f>
        <v/>
      </c>
      <c r="M90" s="570" t="str">
        <f t="shared" si="10"/>
        <v/>
      </c>
      <c r="N90" s="551"/>
      <c r="O90" s="573" t="str">
        <f>IF(I90="","",VLOOKUP(I90,tab!$A$119:$W$159,J90+3,FALSE))</f>
        <v/>
      </c>
      <c r="P90" s="572">
        <f t="shared" si="11"/>
        <v>0</v>
      </c>
      <c r="Q90" s="589">
        <f t="shared" si="14"/>
        <v>0.6</v>
      </c>
      <c r="R90" s="573">
        <f t="shared" si="15"/>
        <v>0</v>
      </c>
      <c r="S90" s="332">
        <f>IF(L90="",0,(((O90*12)*L90)*(1+tab!$D$108)*IF(I90&gt;8,tab!$E$110,tab!$E$112)))</f>
        <v>0</v>
      </c>
      <c r="T90" s="580">
        <f t="shared" si="16"/>
        <v>0</v>
      </c>
      <c r="U90" s="243">
        <f t="shared" si="12"/>
        <v>0</v>
      </c>
      <c r="V90" s="332">
        <f t="shared" si="13"/>
        <v>0</v>
      </c>
      <c r="W90" s="624"/>
      <c r="X90" s="97"/>
      <c r="AA90" s="405"/>
      <c r="AJ90" s="405"/>
    </row>
    <row r="91" spans="2:36">
      <c r="B91" s="92"/>
      <c r="C91" s="131"/>
      <c r="D91" s="169" t="str">
        <f>IF(oop!D29=0,"",oop!D29)</f>
        <v/>
      </c>
      <c r="E91" s="169" t="str">
        <f>IF(oop!E29=0,"",oop!E29)</f>
        <v/>
      </c>
      <c r="F91" s="169" t="str">
        <f>IF(oop!F29=0,"",oop!F29)</f>
        <v/>
      </c>
      <c r="G91" s="169" t="str">
        <f>IF(oop!G29=0,"",oop!G29+1)</f>
        <v/>
      </c>
      <c r="H91" s="641" t="str">
        <f>IF(oop!H29="","",oop!H29)</f>
        <v/>
      </c>
      <c r="I91" s="170" t="str">
        <f>IF(oop!I29=0,"",oop!I29)</f>
        <v/>
      </c>
      <c r="J91" s="567" t="str">
        <f>IF(E91="","",(IF(oop!J29+1&gt;LOOKUP(I91,schaal2011,regels2011),oop!J29,oop!J29+1)))</f>
        <v/>
      </c>
      <c r="K91" s="568" t="str">
        <f>IF(oop!K29="","",oop!K29)</f>
        <v/>
      </c>
      <c r="L91" s="569" t="str">
        <f>IF(oop!L29="","",oop!L29)</f>
        <v/>
      </c>
      <c r="M91" s="570" t="str">
        <f t="shared" si="10"/>
        <v/>
      </c>
      <c r="N91" s="551"/>
      <c r="O91" s="573" t="str">
        <f>IF(I91="","",VLOOKUP(I91,tab!$A$119:$W$159,J91+3,FALSE))</f>
        <v/>
      </c>
      <c r="P91" s="572">
        <f t="shared" si="11"/>
        <v>0</v>
      </c>
      <c r="Q91" s="589">
        <f t="shared" si="14"/>
        <v>0.6</v>
      </c>
      <c r="R91" s="573">
        <f t="shared" si="15"/>
        <v>0</v>
      </c>
      <c r="S91" s="332">
        <f>IF(L91="",0,(((O91*12)*L91)*(1+tab!$D$108)*IF(I91&gt;8,tab!$E$110,tab!$E$112)))</f>
        <v>0</v>
      </c>
      <c r="T91" s="580">
        <f t="shared" si="16"/>
        <v>0</v>
      </c>
      <c r="U91" s="243">
        <f t="shared" si="12"/>
        <v>0</v>
      </c>
      <c r="V91" s="332">
        <f t="shared" si="13"/>
        <v>0</v>
      </c>
      <c r="W91" s="624"/>
      <c r="X91" s="97"/>
      <c r="AA91" s="405"/>
      <c r="AJ91" s="405"/>
    </row>
    <row r="92" spans="2:36">
      <c r="B92" s="92"/>
      <c r="C92" s="131"/>
      <c r="D92" s="169" t="str">
        <f>IF(oop!D30=0,"",oop!D30)</f>
        <v/>
      </c>
      <c r="E92" s="169" t="str">
        <f>IF(oop!E30=0,"",oop!E30)</f>
        <v/>
      </c>
      <c r="F92" s="169" t="str">
        <f>IF(oop!F30=0,"",oop!F30)</f>
        <v/>
      </c>
      <c r="G92" s="169" t="str">
        <f>IF(oop!G30=0,"",oop!G30+1)</f>
        <v/>
      </c>
      <c r="H92" s="641" t="str">
        <f>IF(oop!H30="","",oop!H30)</f>
        <v/>
      </c>
      <c r="I92" s="170" t="str">
        <f>IF(oop!I30=0,"",oop!I30)</f>
        <v/>
      </c>
      <c r="J92" s="567" t="str">
        <f>IF(E92="","",(IF(oop!J30+1&gt;LOOKUP(I92,schaal2011,regels2011),oop!J30,oop!J30+1)))</f>
        <v/>
      </c>
      <c r="K92" s="568" t="str">
        <f>IF(oop!K30="","",oop!K30)</f>
        <v/>
      </c>
      <c r="L92" s="569" t="str">
        <f>IF(oop!L30="","",oop!L30)</f>
        <v/>
      </c>
      <c r="M92" s="570" t="str">
        <f t="shared" si="10"/>
        <v/>
      </c>
      <c r="N92" s="551"/>
      <c r="O92" s="573" t="str">
        <f>IF(I92="","",VLOOKUP(I92,tab!$A$119:$W$159,J92+3,FALSE))</f>
        <v/>
      </c>
      <c r="P92" s="572">
        <f t="shared" si="11"/>
        <v>0</v>
      </c>
      <c r="Q92" s="589">
        <f t="shared" si="14"/>
        <v>0.6</v>
      </c>
      <c r="R92" s="573">
        <f t="shared" si="15"/>
        <v>0</v>
      </c>
      <c r="S92" s="332">
        <f>IF(L92="",0,(((O92*12)*L92)*(1+tab!$D$108)*IF(I92&gt;8,tab!$E$110,tab!$E$112)))</f>
        <v>0</v>
      </c>
      <c r="T92" s="580">
        <f t="shared" si="16"/>
        <v>0</v>
      </c>
      <c r="U92" s="243">
        <f t="shared" si="12"/>
        <v>0</v>
      </c>
      <c r="V92" s="332">
        <f t="shared" si="13"/>
        <v>0</v>
      </c>
      <c r="W92" s="624"/>
      <c r="X92" s="97"/>
      <c r="AA92" s="405"/>
      <c r="AJ92" s="405"/>
    </row>
    <row r="93" spans="2:36">
      <c r="B93" s="92"/>
      <c r="C93" s="131"/>
      <c r="D93" s="169" t="str">
        <f>IF(oop!D31=0,"",oop!D31)</f>
        <v/>
      </c>
      <c r="E93" s="169" t="str">
        <f>IF(oop!E31=0,"",oop!E31)</f>
        <v/>
      </c>
      <c r="F93" s="169" t="str">
        <f>IF(oop!F31=0,"",oop!F31)</f>
        <v/>
      </c>
      <c r="G93" s="169" t="str">
        <f>IF(oop!G31=0,"",oop!G31+1)</f>
        <v/>
      </c>
      <c r="H93" s="641" t="str">
        <f>IF(oop!H31="","",oop!H31)</f>
        <v/>
      </c>
      <c r="I93" s="170" t="str">
        <f>IF(oop!I31=0,"",oop!I31)</f>
        <v/>
      </c>
      <c r="J93" s="567" t="str">
        <f>IF(E93="","",(IF(oop!J31+1&gt;LOOKUP(I93,schaal2011,regels2011),oop!J31,oop!J31+1)))</f>
        <v/>
      </c>
      <c r="K93" s="568" t="str">
        <f>IF(oop!K31="","",oop!K31)</f>
        <v/>
      </c>
      <c r="L93" s="569" t="str">
        <f>IF(oop!L31="","",oop!L31)</f>
        <v/>
      </c>
      <c r="M93" s="570" t="str">
        <f t="shared" si="10"/>
        <v/>
      </c>
      <c r="N93" s="551"/>
      <c r="O93" s="573" t="str">
        <f>IF(I93="","",VLOOKUP(I93,tab!$A$119:$W$159,J93+3,FALSE))</f>
        <v/>
      </c>
      <c r="P93" s="572">
        <f t="shared" si="11"/>
        <v>0</v>
      </c>
      <c r="Q93" s="589">
        <f t="shared" si="14"/>
        <v>0.6</v>
      </c>
      <c r="R93" s="573">
        <f t="shared" si="15"/>
        <v>0</v>
      </c>
      <c r="S93" s="332">
        <f>IF(L93="",0,(((O93*12)*L93)*(1+tab!$D$108)*IF(I93&gt;8,tab!$E$110,tab!$E$112)))</f>
        <v>0</v>
      </c>
      <c r="T93" s="580">
        <f t="shared" si="16"/>
        <v>0</v>
      </c>
      <c r="U93" s="243">
        <f t="shared" si="12"/>
        <v>0</v>
      </c>
      <c r="V93" s="332">
        <f t="shared" si="13"/>
        <v>0</v>
      </c>
      <c r="W93" s="624"/>
      <c r="X93" s="97"/>
      <c r="AA93" s="405"/>
      <c r="AJ93" s="405"/>
    </row>
    <row r="94" spans="2:36">
      <c r="B94" s="92"/>
      <c r="C94" s="131"/>
      <c r="D94" s="169" t="str">
        <f>IF(oop!D32=0,"",oop!D32)</f>
        <v/>
      </c>
      <c r="E94" s="169" t="str">
        <f>IF(oop!E32=0,"",oop!E32)</f>
        <v/>
      </c>
      <c r="F94" s="169" t="str">
        <f>IF(oop!F32=0,"",oop!F32)</f>
        <v/>
      </c>
      <c r="G94" s="169" t="str">
        <f>IF(oop!G32=0,"",oop!G32+1)</f>
        <v/>
      </c>
      <c r="H94" s="641" t="str">
        <f>IF(oop!H32="","",oop!H32)</f>
        <v/>
      </c>
      <c r="I94" s="170" t="str">
        <f>IF(oop!I32=0,"",oop!I32)</f>
        <v/>
      </c>
      <c r="J94" s="567" t="str">
        <f>IF(E94="","",(IF(oop!J32+1&gt;LOOKUP(I94,schaal2011,regels2011),oop!J32,oop!J32+1)))</f>
        <v/>
      </c>
      <c r="K94" s="568" t="str">
        <f>IF(oop!K32="","",oop!K32)</f>
        <v/>
      </c>
      <c r="L94" s="569" t="str">
        <f>IF(oop!L32="","",oop!L32)</f>
        <v/>
      </c>
      <c r="M94" s="570" t="str">
        <f t="shared" si="10"/>
        <v/>
      </c>
      <c r="N94" s="551"/>
      <c r="O94" s="573" t="str">
        <f>IF(I94="","",VLOOKUP(I94,tab!$A$119:$W$159,J94+3,FALSE))</f>
        <v/>
      </c>
      <c r="P94" s="572">
        <f t="shared" si="11"/>
        <v>0</v>
      </c>
      <c r="Q94" s="589">
        <f t="shared" si="14"/>
        <v>0.6</v>
      </c>
      <c r="R94" s="573">
        <f t="shared" si="15"/>
        <v>0</v>
      </c>
      <c r="S94" s="332">
        <f>IF(L94="",0,(((O94*12)*L94)*(1+tab!$D$108)*IF(I94&gt;8,tab!$E$110,tab!$E$112)))</f>
        <v>0</v>
      </c>
      <c r="T94" s="580">
        <f t="shared" si="16"/>
        <v>0</v>
      </c>
      <c r="U94" s="243">
        <f t="shared" si="12"/>
        <v>0</v>
      </c>
      <c r="V94" s="332">
        <f t="shared" si="13"/>
        <v>0</v>
      </c>
      <c r="W94" s="624"/>
      <c r="X94" s="97"/>
      <c r="AA94" s="405"/>
      <c r="AJ94" s="405"/>
    </row>
    <row r="95" spans="2:36">
      <c r="B95" s="92"/>
      <c r="C95" s="131"/>
      <c r="D95" s="169" t="str">
        <f>IF(oop!D33=0,"",oop!D33)</f>
        <v/>
      </c>
      <c r="E95" s="169" t="str">
        <f>IF(oop!E33=0,"",oop!E33)</f>
        <v/>
      </c>
      <c r="F95" s="169" t="str">
        <f>IF(oop!F33=0,"",oop!F33)</f>
        <v/>
      </c>
      <c r="G95" s="169" t="str">
        <f>IF(oop!G33=0,"",oop!G33+1)</f>
        <v/>
      </c>
      <c r="H95" s="641" t="str">
        <f>IF(oop!H33="","",oop!H33)</f>
        <v/>
      </c>
      <c r="I95" s="170" t="str">
        <f>IF(oop!I33=0,"",oop!I33)</f>
        <v/>
      </c>
      <c r="J95" s="567" t="str">
        <f>IF(E95="","",(IF(oop!J33+1&gt;LOOKUP(I95,schaal2011,regels2011),oop!J33,oop!J33+1)))</f>
        <v/>
      </c>
      <c r="K95" s="568" t="str">
        <f>IF(oop!K33="","",oop!K33)</f>
        <v/>
      </c>
      <c r="L95" s="569" t="str">
        <f>IF(oop!L33="","",oop!L33)</f>
        <v/>
      </c>
      <c r="M95" s="570" t="str">
        <f t="shared" si="10"/>
        <v/>
      </c>
      <c r="N95" s="551"/>
      <c r="O95" s="573" t="str">
        <f>IF(I95="","",VLOOKUP(I95,tab!$A$119:$W$159,J95+3,FALSE))</f>
        <v/>
      </c>
      <c r="P95" s="572">
        <f t="shared" si="11"/>
        <v>0</v>
      </c>
      <c r="Q95" s="589">
        <f t="shared" si="14"/>
        <v>0.6</v>
      </c>
      <c r="R95" s="573">
        <f t="shared" si="15"/>
        <v>0</v>
      </c>
      <c r="S95" s="332">
        <f>IF(L95="",0,(((O95*12)*L95)*(1+tab!$D$108)*IF(I95&gt;8,tab!$E$110,tab!$E$112)))</f>
        <v>0</v>
      </c>
      <c r="T95" s="580">
        <f t="shared" si="16"/>
        <v>0</v>
      </c>
      <c r="U95" s="243">
        <f t="shared" si="12"/>
        <v>0</v>
      </c>
      <c r="V95" s="332">
        <f t="shared" si="13"/>
        <v>0</v>
      </c>
      <c r="W95" s="624"/>
      <c r="X95" s="97"/>
      <c r="AA95" s="405"/>
      <c r="AJ95" s="405"/>
    </row>
    <row r="96" spans="2:36">
      <c r="B96" s="92"/>
      <c r="C96" s="131"/>
      <c r="D96" s="169" t="str">
        <f>IF(oop!D34=0,"",oop!D34)</f>
        <v/>
      </c>
      <c r="E96" s="169" t="str">
        <f>IF(oop!E34=0,"",oop!E34)</f>
        <v/>
      </c>
      <c r="F96" s="169" t="str">
        <f>IF(oop!F34=0,"",oop!F34)</f>
        <v/>
      </c>
      <c r="G96" s="169" t="str">
        <f>IF(oop!G34=0,"",oop!G34+1)</f>
        <v/>
      </c>
      <c r="H96" s="641" t="str">
        <f>IF(oop!H34="","",oop!H34)</f>
        <v/>
      </c>
      <c r="I96" s="170" t="str">
        <f>IF(oop!I34=0,"",oop!I34)</f>
        <v/>
      </c>
      <c r="J96" s="567" t="str">
        <f>IF(E96="","",(IF(oop!J34+1&gt;LOOKUP(I96,schaal2011,regels2011),oop!J34,oop!J34+1)))</f>
        <v/>
      </c>
      <c r="K96" s="568" t="str">
        <f>IF(oop!K34="","",oop!K34)</f>
        <v/>
      </c>
      <c r="L96" s="569" t="str">
        <f>IF(oop!L34="","",oop!L34)</f>
        <v/>
      </c>
      <c r="M96" s="570" t="str">
        <f t="shared" si="10"/>
        <v/>
      </c>
      <c r="N96" s="551"/>
      <c r="O96" s="573" t="str">
        <f>IF(I96="","",VLOOKUP(I96,tab!$A$119:$W$159,J96+3,FALSE))</f>
        <v/>
      </c>
      <c r="P96" s="572">
        <f t="shared" si="11"/>
        <v>0</v>
      </c>
      <c r="Q96" s="589">
        <f t="shared" si="14"/>
        <v>0.6</v>
      </c>
      <c r="R96" s="573">
        <f t="shared" si="15"/>
        <v>0</v>
      </c>
      <c r="S96" s="332">
        <f>IF(L96="",0,(((O96*12)*L96)*(1+tab!$D$108)*IF(I96&gt;8,tab!$E$110,tab!$E$112)))</f>
        <v>0</v>
      </c>
      <c r="T96" s="580">
        <f t="shared" si="16"/>
        <v>0</v>
      </c>
      <c r="U96" s="243">
        <f t="shared" si="12"/>
        <v>0</v>
      </c>
      <c r="V96" s="332">
        <f t="shared" si="13"/>
        <v>0</v>
      </c>
      <c r="W96" s="624"/>
      <c r="X96" s="97"/>
      <c r="AA96" s="405"/>
      <c r="AJ96" s="405"/>
    </row>
    <row r="97" spans="2:36">
      <c r="B97" s="92"/>
      <c r="C97" s="131"/>
      <c r="D97" s="169" t="str">
        <f>IF(oop!D35=0,"",oop!D35)</f>
        <v/>
      </c>
      <c r="E97" s="169" t="str">
        <f>IF(oop!E35=0,"",oop!E35)</f>
        <v/>
      </c>
      <c r="F97" s="169" t="str">
        <f>IF(oop!F35=0,"",oop!F35)</f>
        <v/>
      </c>
      <c r="G97" s="169" t="str">
        <f>IF(oop!G35=0,"",oop!G35+1)</f>
        <v/>
      </c>
      <c r="H97" s="641" t="str">
        <f>IF(oop!H35="","",oop!H35)</f>
        <v/>
      </c>
      <c r="I97" s="170" t="str">
        <f>IF(oop!I35=0,"",oop!I35)</f>
        <v/>
      </c>
      <c r="J97" s="567" t="str">
        <f>IF(E97="","",(IF(oop!J35+1&gt;LOOKUP(I97,schaal2011,regels2011),oop!J35,oop!J35+1)))</f>
        <v/>
      </c>
      <c r="K97" s="568" t="str">
        <f>IF(oop!K35="","",oop!K35)</f>
        <v/>
      </c>
      <c r="L97" s="569" t="str">
        <f>IF(oop!L35="","",oop!L35)</f>
        <v/>
      </c>
      <c r="M97" s="570" t="str">
        <f t="shared" si="10"/>
        <v/>
      </c>
      <c r="N97" s="551"/>
      <c r="O97" s="573" t="str">
        <f>IF(I97="","",VLOOKUP(I97,tab!$A$119:$W$159,J97+3,FALSE))</f>
        <v/>
      </c>
      <c r="P97" s="572">
        <f t="shared" si="11"/>
        <v>0</v>
      </c>
      <c r="Q97" s="589">
        <f t="shared" si="14"/>
        <v>0.6</v>
      </c>
      <c r="R97" s="573">
        <f t="shared" si="15"/>
        <v>0</v>
      </c>
      <c r="S97" s="332">
        <f>IF(L97="",0,(((O97*12)*L97)*(1+tab!$D$108)*IF(I97&gt;8,tab!$E$110,tab!$E$112)))</f>
        <v>0</v>
      </c>
      <c r="T97" s="580">
        <f t="shared" si="16"/>
        <v>0</v>
      </c>
      <c r="U97" s="243">
        <f t="shared" si="12"/>
        <v>0</v>
      </c>
      <c r="V97" s="332">
        <f t="shared" si="13"/>
        <v>0</v>
      </c>
      <c r="W97" s="624"/>
      <c r="X97" s="97"/>
      <c r="AA97" s="405"/>
      <c r="AJ97" s="405"/>
    </row>
    <row r="98" spans="2:36">
      <c r="B98" s="92"/>
      <c r="C98" s="131"/>
      <c r="D98" s="169" t="str">
        <f>IF(oop!D36=0,"",oop!D36)</f>
        <v/>
      </c>
      <c r="E98" s="169" t="str">
        <f>IF(oop!E36=0,"",oop!E36)</f>
        <v/>
      </c>
      <c r="F98" s="169" t="str">
        <f>IF(oop!F36=0,"",oop!F36)</f>
        <v/>
      </c>
      <c r="G98" s="169" t="str">
        <f>IF(oop!G36=0,"",oop!G36+1)</f>
        <v/>
      </c>
      <c r="H98" s="641" t="str">
        <f>IF(oop!H36="","",oop!H36)</f>
        <v/>
      </c>
      <c r="I98" s="170" t="str">
        <f>IF(oop!I36=0,"",oop!I36)</f>
        <v/>
      </c>
      <c r="J98" s="567" t="str">
        <f>IF(E98="","",(IF(oop!J36+1&gt;LOOKUP(I98,schaal2011,regels2011),oop!J36,oop!J36+1)))</f>
        <v/>
      </c>
      <c r="K98" s="568" t="str">
        <f>IF(oop!K36="","",oop!K36)</f>
        <v/>
      </c>
      <c r="L98" s="569" t="str">
        <f>IF(oop!L36="","",oop!L36)</f>
        <v/>
      </c>
      <c r="M98" s="570" t="str">
        <f t="shared" si="10"/>
        <v/>
      </c>
      <c r="N98" s="551"/>
      <c r="O98" s="573" t="str">
        <f>IF(I98="","",VLOOKUP(I98,tab!$A$119:$W$159,J98+3,FALSE))</f>
        <v/>
      </c>
      <c r="P98" s="572">
        <f t="shared" si="11"/>
        <v>0</v>
      </c>
      <c r="Q98" s="589">
        <f t="shared" si="14"/>
        <v>0.6</v>
      </c>
      <c r="R98" s="573">
        <f t="shared" si="15"/>
        <v>0</v>
      </c>
      <c r="S98" s="332">
        <f>IF(L98="",0,(((O98*12)*L98)*(1+tab!$D$108)*IF(I98&gt;8,tab!$E$110,tab!$E$112)))</f>
        <v>0</v>
      </c>
      <c r="T98" s="580">
        <f t="shared" si="16"/>
        <v>0</v>
      </c>
      <c r="U98" s="243">
        <f t="shared" si="12"/>
        <v>0</v>
      </c>
      <c r="V98" s="332">
        <f t="shared" si="13"/>
        <v>0</v>
      </c>
      <c r="W98" s="624"/>
      <c r="X98" s="97"/>
      <c r="AA98" s="405"/>
      <c r="AJ98" s="405"/>
    </row>
    <row r="99" spans="2:36">
      <c r="B99" s="92"/>
      <c r="C99" s="131"/>
      <c r="D99" s="169" t="str">
        <f>IF(oop!D37=0,"",oop!D37)</f>
        <v/>
      </c>
      <c r="E99" s="169" t="str">
        <f>IF(oop!E37=0,"",oop!E37)</f>
        <v/>
      </c>
      <c r="F99" s="169" t="str">
        <f>IF(oop!F37=0,"",oop!F37)</f>
        <v/>
      </c>
      <c r="G99" s="169" t="str">
        <f>IF(oop!G37=0,"",oop!G37+1)</f>
        <v/>
      </c>
      <c r="H99" s="641" t="str">
        <f>IF(oop!H37="","",oop!H37)</f>
        <v/>
      </c>
      <c r="I99" s="170" t="str">
        <f>IF(oop!I37=0,"",oop!I37)</f>
        <v/>
      </c>
      <c r="J99" s="567" t="str">
        <f>IF(E99="","",(IF(oop!J37+1&gt;LOOKUP(I99,schaal2011,regels2011),oop!J37,oop!J37+1)))</f>
        <v/>
      </c>
      <c r="K99" s="568" t="str">
        <f>IF(oop!K37="","",oop!K37)</f>
        <v/>
      </c>
      <c r="L99" s="569" t="str">
        <f>IF(oop!L37="","",oop!L37)</f>
        <v/>
      </c>
      <c r="M99" s="570" t="str">
        <f t="shared" si="10"/>
        <v/>
      </c>
      <c r="N99" s="551"/>
      <c r="O99" s="573" t="str">
        <f>IF(I99="","",VLOOKUP(I99,tab!$A$119:$W$159,J99+3,FALSE))</f>
        <v/>
      </c>
      <c r="P99" s="572">
        <f t="shared" si="11"/>
        <v>0</v>
      </c>
      <c r="Q99" s="589">
        <f t="shared" si="14"/>
        <v>0.6</v>
      </c>
      <c r="R99" s="573">
        <f t="shared" si="15"/>
        <v>0</v>
      </c>
      <c r="S99" s="332">
        <f>IF(L99="",0,(((O99*12)*L99)*(1+tab!$D$108)*IF(I99&gt;8,tab!$E$110,tab!$E$112)))</f>
        <v>0</v>
      </c>
      <c r="T99" s="580">
        <f t="shared" si="16"/>
        <v>0</v>
      </c>
      <c r="U99" s="243">
        <f t="shared" si="12"/>
        <v>0</v>
      </c>
      <c r="V99" s="332">
        <f t="shared" si="13"/>
        <v>0</v>
      </c>
      <c r="W99" s="624"/>
      <c r="X99" s="97"/>
      <c r="AA99" s="405"/>
      <c r="AJ99" s="405"/>
    </row>
    <row r="100" spans="2:36">
      <c r="B100" s="92"/>
      <c r="C100" s="131"/>
      <c r="D100" s="169" t="str">
        <f>IF(oop!D38=0,"",oop!D38)</f>
        <v/>
      </c>
      <c r="E100" s="169" t="str">
        <f>IF(oop!E38=0,"",oop!E38)</f>
        <v/>
      </c>
      <c r="F100" s="169" t="str">
        <f>IF(oop!F38=0,"",oop!F38)</f>
        <v/>
      </c>
      <c r="G100" s="169" t="str">
        <f>IF(oop!G38=0,"",oop!G38+1)</f>
        <v/>
      </c>
      <c r="H100" s="641" t="str">
        <f>IF(oop!H38="","",oop!H38)</f>
        <v/>
      </c>
      <c r="I100" s="170" t="str">
        <f>IF(oop!I38=0,"",oop!I38)</f>
        <v/>
      </c>
      <c r="J100" s="567" t="str">
        <f>IF(E100="","",(IF(oop!J38+1&gt;LOOKUP(I100,schaal2011,regels2011),oop!J38,oop!J38+1)))</f>
        <v/>
      </c>
      <c r="K100" s="568" t="str">
        <f>IF(oop!K38="","",oop!K38)</f>
        <v/>
      </c>
      <c r="L100" s="569" t="str">
        <f>IF(oop!L38="","",oop!L38)</f>
        <v/>
      </c>
      <c r="M100" s="570" t="str">
        <f t="shared" si="10"/>
        <v/>
      </c>
      <c r="N100" s="551"/>
      <c r="O100" s="573" t="str">
        <f>IF(I100="","",VLOOKUP(I100,tab!$A$119:$W$159,J100+3,FALSE))</f>
        <v/>
      </c>
      <c r="P100" s="572">
        <f t="shared" si="11"/>
        <v>0</v>
      </c>
      <c r="Q100" s="589">
        <f t="shared" si="14"/>
        <v>0.6</v>
      </c>
      <c r="R100" s="573">
        <f t="shared" si="15"/>
        <v>0</v>
      </c>
      <c r="S100" s="332">
        <f>IF(L100="",0,(((O100*12)*L100)*(1+tab!$D$108)*IF(I100&gt;8,tab!$E$110,tab!$E$112)))</f>
        <v>0</v>
      </c>
      <c r="T100" s="580">
        <f t="shared" si="16"/>
        <v>0</v>
      </c>
      <c r="U100" s="243">
        <f t="shared" si="12"/>
        <v>0</v>
      </c>
      <c r="V100" s="332">
        <f t="shared" si="13"/>
        <v>0</v>
      </c>
      <c r="W100" s="624"/>
      <c r="X100" s="97"/>
      <c r="AA100" s="405"/>
      <c r="AJ100" s="405"/>
    </row>
    <row r="101" spans="2:36">
      <c r="B101" s="92"/>
      <c r="C101" s="131"/>
      <c r="D101" s="169" t="str">
        <f>IF(oop!D39=0,"",oop!D39)</f>
        <v/>
      </c>
      <c r="E101" s="169" t="str">
        <f>IF(oop!E39=0,"",oop!E39)</f>
        <v/>
      </c>
      <c r="F101" s="169" t="str">
        <f>IF(oop!F39=0,"",oop!F39)</f>
        <v/>
      </c>
      <c r="G101" s="169" t="str">
        <f>IF(oop!G39=0,"",oop!G39+1)</f>
        <v/>
      </c>
      <c r="H101" s="641" t="str">
        <f>IF(oop!H39="","",oop!H39)</f>
        <v/>
      </c>
      <c r="I101" s="170" t="str">
        <f>IF(oop!I39=0,"",oop!I39)</f>
        <v/>
      </c>
      <c r="J101" s="567" t="str">
        <f>IF(E101="","",(IF(oop!J39+1&gt;LOOKUP(I101,schaal2011,regels2011),oop!J39,oop!J39+1)))</f>
        <v/>
      </c>
      <c r="K101" s="568" t="str">
        <f>IF(oop!K39="","",oop!K39)</f>
        <v/>
      </c>
      <c r="L101" s="569" t="str">
        <f>IF(oop!L39="","",oop!L39)</f>
        <v/>
      </c>
      <c r="M101" s="570" t="str">
        <f t="shared" si="10"/>
        <v/>
      </c>
      <c r="N101" s="551"/>
      <c r="O101" s="573" t="str">
        <f>IF(I101="","",VLOOKUP(I101,tab!$A$119:$W$159,J101+3,FALSE))</f>
        <v/>
      </c>
      <c r="P101" s="572">
        <f t="shared" si="11"/>
        <v>0</v>
      </c>
      <c r="Q101" s="589">
        <f t="shared" si="14"/>
        <v>0.6</v>
      </c>
      <c r="R101" s="573">
        <f t="shared" si="15"/>
        <v>0</v>
      </c>
      <c r="S101" s="332">
        <f>IF(L101="",0,(((O101*12)*L101)*(1+tab!$D$108)*IF(I101&gt;8,tab!$E$110,tab!$E$112)))</f>
        <v>0</v>
      </c>
      <c r="T101" s="580">
        <f t="shared" si="16"/>
        <v>0</v>
      </c>
      <c r="U101" s="243">
        <f t="shared" si="12"/>
        <v>0</v>
      </c>
      <c r="V101" s="332">
        <f t="shared" si="13"/>
        <v>0</v>
      </c>
      <c r="W101" s="624"/>
      <c r="X101" s="97"/>
      <c r="AA101" s="405"/>
      <c r="AJ101" s="405"/>
    </row>
    <row r="102" spans="2:36">
      <c r="B102" s="92"/>
      <c r="C102" s="131"/>
      <c r="D102" s="169" t="str">
        <f>IF(oop!D40=0,"",oop!D40)</f>
        <v/>
      </c>
      <c r="E102" s="169" t="str">
        <f>IF(oop!E40=0,"",oop!E40)</f>
        <v/>
      </c>
      <c r="F102" s="169" t="str">
        <f>IF(oop!F40=0,"",oop!F40)</f>
        <v/>
      </c>
      <c r="G102" s="169" t="str">
        <f>IF(oop!G40=0,"",oop!G40+1)</f>
        <v/>
      </c>
      <c r="H102" s="641" t="str">
        <f>IF(oop!H40="","",oop!H40)</f>
        <v/>
      </c>
      <c r="I102" s="170" t="str">
        <f>IF(oop!I40=0,"",oop!I40)</f>
        <v/>
      </c>
      <c r="J102" s="567" t="str">
        <f>IF(E102="","",(IF(oop!J40+1&gt;LOOKUP(I102,schaal2011,regels2011),oop!J40,oop!J40+1)))</f>
        <v/>
      </c>
      <c r="K102" s="568" t="str">
        <f>IF(oop!K40="","",oop!K40)</f>
        <v/>
      </c>
      <c r="L102" s="569" t="str">
        <f>IF(oop!L40="","",oop!L40)</f>
        <v/>
      </c>
      <c r="M102" s="570" t="str">
        <f t="shared" si="10"/>
        <v/>
      </c>
      <c r="N102" s="551"/>
      <c r="O102" s="573" t="str">
        <f>IF(I102="","",VLOOKUP(I102,tab!$A$119:$W$159,J102+3,FALSE))</f>
        <v/>
      </c>
      <c r="P102" s="572">
        <f t="shared" si="11"/>
        <v>0</v>
      </c>
      <c r="Q102" s="589">
        <f t="shared" si="14"/>
        <v>0.6</v>
      </c>
      <c r="R102" s="573">
        <f t="shared" si="15"/>
        <v>0</v>
      </c>
      <c r="S102" s="332">
        <f>IF(L102="",0,(((O102*12)*L102)*(1+tab!$D$108)*IF(I102&gt;8,tab!$E$110,tab!$E$112)))</f>
        <v>0</v>
      </c>
      <c r="T102" s="580">
        <f t="shared" si="16"/>
        <v>0</v>
      </c>
      <c r="U102" s="243">
        <f t="shared" si="12"/>
        <v>0</v>
      </c>
      <c r="V102" s="332">
        <f t="shared" si="13"/>
        <v>0</v>
      </c>
      <c r="W102" s="624"/>
      <c r="X102" s="97"/>
      <c r="AA102" s="405"/>
      <c r="AJ102" s="405"/>
    </row>
    <row r="103" spans="2:36">
      <c r="B103" s="92"/>
      <c r="C103" s="131"/>
      <c r="D103" s="169" t="str">
        <f>IF(oop!D41=0,"",oop!D41)</f>
        <v/>
      </c>
      <c r="E103" s="169" t="str">
        <f>IF(oop!E41=0,"",oop!E41)</f>
        <v/>
      </c>
      <c r="F103" s="169" t="str">
        <f>IF(oop!F41=0,"",oop!F41)</f>
        <v/>
      </c>
      <c r="G103" s="169" t="str">
        <f>IF(oop!G41=0,"",oop!G41+1)</f>
        <v/>
      </c>
      <c r="H103" s="641" t="str">
        <f>IF(oop!H41="","",oop!H41)</f>
        <v/>
      </c>
      <c r="I103" s="170" t="str">
        <f>IF(oop!I41=0,"",oop!I41)</f>
        <v/>
      </c>
      <c r="J103" s="567" t="str">
        <f>IF(E103="","",(IF(oop!J41+1&gt;LOOKUP(I103,schaal2011,regels2011),oop!J41,oop!J41+1)))</f>
        <v/>
      </c>
      <c r="K103" s="568" t="str">
        <f>IF(oop!K41="","",oop!K41)</f>
        <v/>
      </c>
      <c r="L103" s="569" t="str">
        <f>IF(oop!L41="","",oop!L41)</f>
        <v/>
      </c>
      <c r="M103" s="570" t="str">
        <f t="shared" ref="M103:M127" si="17">(IF(L103="",(K103),(K103)-L103))</f>
        <v/>
      </c>
      <c r="N103" s="551"/>
      <c r="O103" s="573" t="str">
        <f>IF(I103="","",VLOOKUP(I103,tab!$A$119:$W$159,J103+3,FALSE))</f>
        <v/>
      </c>
      <c r="P103" s="572">
        <f t="shared" si="11"/>
        <v>0</v>
      </c>
      <c r="Q103" s="589">
        <f t="shared" si="14"/>
        <v>0.6</v>
      </c>
      <c r="R103" s="573">
        <f t="shared" si="15"/>
        <v>0</v>
      </c>
      <c r="S103" s="332">
        <f>IF(L103="",0,(((O103*12)*L103)*(1+tab!$D$108)*IF(I103&gt;8,tab!$E$110,tab!$E$112)))</f>
        <v>0</v>
      </c>
      <c r="T103" s="580">
        <f t="shared" si="16"/>
        <v>0</v>
      </c>
      <c r="U103" s="243">
        <f t="shared" si="12"/>
        <v>0</v>
      </c>
      <c r="V103" s="332">
        <f t="shared" si="13"/>
        <v>0</v>
      </c>
      <c r="W103" s="624"/>
      <c r="X103" s="97"/>
      <c r="AA103" s="405"/>
      <c r="AJ103" s="405"/>
    </row>
    <row r="104" spans="2:36">
      <c r="B104" s="92"/>
      <c r="C104" s="131"/>
      <c r="D104" s="169" t="str">
        <f>IF(oop!D42=0,"",oop!D42)</f>
        <v/>
      </c>
      <c r="E104" s="169" t="str">
        <f>IF(oop!E42=0,"",oop!E42)</f>
        <v/>
      </c>
      <c r="F104" s="169" t="str">
        <f>IF(oop!F42=0,"",oop!F42)</f>
        <v/>
      </c>
      <c r="G104" s="169" t="str">
        <f>IF(oop!G42=0,"",oop!G42+1)</f>
        <v/>
      </c>
      <c r="H104" s="641" t="str">
        <f>IF(oop!H42="","",oop!H42)</f>
        <v/>
      </c>
      <c r="I104" s="170" t="str">
        <f>IF(oop!I42=0,"",oop!I42)</f>
        <v/>
      </c>
      <c r="J104" s="567" t="str">
        <f>IF(E104="","",(IF(oop!J42+1&gt;LOOKUP(I104,schaal2011,regels2011),oop!J42,oop!J42+1)))</f>
        <v/>
      </c>
      <c r="K104" s="568" t="str">
        <f>IF(oop!K42="","",oop!K42)</f>
        <v/>
      </c>
      <c r="L104" s="569" t="str">
        <f>IF(oop!L42="","",oop!L42)</f>
        <v/>
      </c>
      <c r="M104" s="570" t="str">
        <f t="shared" si="17"/>
        <v/>
      </c>
      <c r="N104" s="551"/>
      <c r="O104" s="573" t="str">
        <f>IF(I104="","",VLOOKUP(I104,tab!$A$119:$W$159,J104+3,FALSE))</f>
        <v/>
      </c>
      <c r="P104" s="572">
        <f t="shared" si="11"/>
        <v>0</v>
      </c>
      <c r="Q104" s="589">
        <f t="shared" si="14"/>
        <v>0.6</v>
      </c>
      <c r="R104" s="573">
        <f t="shared" si="15"/>
        <v>0</v>
      </c>
      <c r="S104" s="332">
        <f>IF(L104="",0,(((O104*12)*L104)*(1+tab!$D$108)*IF(I104&gt;8,tab!$E$110,tab!$E$112)))</f>
        <v>0</v>
      </c>
      <c r="T104" s="580">
        <f t="shared" si="16"/>
        <v>0</v>
      </c>
      <c r="U104" s="243">
        <f t="shared" si="12"/>
        <v>0</v>
      </c>
      <c r="V104" s="332">
        <f t="shared" si="13"/>
        <v>0</v>
      </c>
      <c r="W104" s="624"/>
      <c r="X104" s="97"/>
      <c r="AA104" s="405"/>
      <c r="AJ104" s="405"/>
    </row>
    <row r="105" spans="2:36">
      <c r="B105" s="92"/>
      <c r="C105" s="131"/>
      <c r="D105" s="169" t="str">
        <f>IF(oop!D43=0,"",oop!D43)</f>
        <v/>
      </c>
      <c r="E105" s="169" t="str">
        <f>IF(oop!E43=0,"",oop!E43)</f>
        <v/>
      </c>
      <c r="F105" s="169" t="str">
        <f>IF(oop!F43=0,"",oop!F43)</f>
        <v/>
      </c>
      <c r="G105" s="169" t="str">
        <f>IF(oop!G43=0,"",oop!G43+1)</f>
        <v/>
      </c>
      <c r="H105" s="641" t="str">
        <f>IF(oop!H43="","",oop!H43)</f>
        <v/>
      </c>
      <c r="I105" s="170" t="str">
        <f>IF(oop!I43=0,"",oop!I43)</f>
        <v/>
      </c>
      <c r="J105" s="567" t="str">
        <f>IF(E105="","",(IF(oop!J43+1&gt;LOOKUP(I105,schaal2011,regels2011),oop!J43,oop!J43+1)))</f>
        <v/>
      </c>
      <c r="K105" s="568" t="str">
        <f>IF(oop!K43="","",oop!K43)</f>
        <v/>
      </c>
      <c r="L105" s="569" t="str">
        <f>IF(oop!L43="","",oop!L43)</f>
        <v/>
      </c>
      <c r="M105" s="570" t="str">
        <f t="shared" si="17"/>
        <v/>
      </c>
      <c r="N105" s="551"/>
      <c r="O105" s="573" t="str">
        <f>IF(I105="","",VLOOKUP(I105,tab!$A$119:$W$159,J105+3,FALSE))</f>
        <v/>
      </c>
      <c r="P105" s="572">
        <f t="shared" si="11"/>
        <v>0</v>
      </c>
      <c r="Q105" s="589">
        <f t="shared" si="14"/>
        <v>0.6</v>
      </c>
      <c r="R105" s="573">
        <f t="shared" si="15"/>
        <v>0</v>
      </c>
      <c r="S105" s="332">
        <f>IF(L105="",0,(((O105*12)*L105)*(1+tab!$D$108)*IF(I105&gt;8,tab!$E$110,tab!$E$112)))</f>
        <v>0</v>
      </c>
      <c r="T105" s="580">
        <f t="shared" si="16"/>
        <v>0</v>
      </c>
      <c r="U105" s="243">
        <f t="shared" si="12"/>
        <v>0</v>
      </c>
      <c r="V105" s="332">
        <f t="shared" si="13"/>
        <v>0</v>
      </c>
      <c r="W105" s="624"/>
      <c r="X105" s="97"/>
      <c r="AA105" s="405"/>
      <c r="AJ105" s="405"/>
    </row>
    <row r="106" spans="2:36">
      <c r="B106" s="92"/>
      <c r="C106" s="131"/>
      <c r="D106" s="169" t="str">
        <f>IF(oop!D44=0,"",oop!D44)</f>
        <v/>
      </c>
      <c r="E106" s="169" t="str">
        <f>IF(oop!E44=0,"",oop!E44)</f>
        <v/>
      </c>
      <c r="F106" s="169" t="str">
        <f>IF(oop!F44=0,"",oop!F44)</f>
        <v/>
      </c>
      <c r="G106" s="169" t="str">
        <f>IF(oop!G44=0,"",oop!G44+1)</f>
        <v/>
      </c>
      <c r="H106" s="641" t="str">
        <f>IF(oop!H44="","",oop!H44)</f>
        <v/>
      </c>
      <c r="I106" s="170" t="str">
        <f>IF(oop!I44=0,"",oop!I44)</f>
        <v/>
      </c>
      <c r="J106" s="567" t="str">
        <f>IF(E106="","",(IF(oop!J44+1&gt;LOOKUP(I106,schaal2011,regels2011),oop!J44,oop!J44+1)))</f>
        <v/>
      </c>
      <c r="K106" s="568" t="str">
        <f>IF(oop!K44="","",oop!K44)</f>
        <v/>
      </c>
      <c r="L106" s="569" t="str">
        <f>IF(oop!L44="","",oop!L44)</f>
        <v/>
      </c>
      <c r="M106" s="570" t="str">
        <f t="shared" si="17"/>
        <v/>
      </c>
      <c r="N106" s="551"/>
      <c r="O106" s="573" t="str">
        <f>IF(I106="","",VLOOKUP(I106,tab!$A$119:$W$159,J106+3,FALSE))</f>
        <v/>
      </c>
      <c r="P106" s="572">
        <f t="shared" si="11"/>
        <v>0</v>
      </c>
      <c r="Q106" s="589">
        <f t="shared" si="14"/>
        <v>0.6</v>
      </c>
      <c r="R106" s="573">
        <f t="shared" si="15"/>
        <v>0</v>
      </c>
      <c r="S106" s="332">
        <f>IF(L106="",0,(((O106*12)*L106)*(1+tab!$D$108)*IF(I106&gt;8,tab!$E$110,tab!$E$112)))</f>
        <v>0</v>
      </c>
      <c r="T106" s="580">
        <f t="shared" si="16"/>
        <v>0</v>
      </c>
      <c r="U106" s="243">
        <f t="shared" si="12"/>
        <v>0</v>
      </c>
      <c r="V106" s="332">
        <f t="shared" si="13"/>
        <v>0</v>
      </c>
      <c r="W106" s="624"/>
      <c r="X106" s="97"/>
      <c r="AA106" s="405"/>
      <c r="AJ106" s="405"/>
    </row>
    <row r="107" spans="2:36">
      <c r="B107" s="92"/>
      <c r="C107" s="131"/>
      <c r="D107" s="169" t="str">
        <f>IF(oop!D45=0,"",oop!D45)</f>
        <v/>
      </c>
      <c r="E107" s="169" t="str">
        <f>IF(oop!E45=0,"",oop!E45)</f>
        <v/>
      </c>
      <c r="F107" s="169" t="str">
        <f>IF(oop!F45=0,"",oop!F45)</f>
        <v/>
      </c>
      <c r="G107" s="169" t="str">
        <f>IF(oop!G45=0,"",oop!G45+1)</f>
        <v/>
      </c>
      <c r="H107" s="641" t="str">
        <f>IF(oop!H45="","",oop!H45)</f>
        <v/>
      </c>
      <c r="I107" s="170" t="str">
        <f>IF(oop!I45=0,"",oop!I45)</f>
        <v/>
      </c>
      <c r="J107" s="567" t="str">
        <f>IF(E107="","",(IF(oop!J45+1&gt;LOOKUP(I107,schaal2011,regels2011),oop!J45,oop!J45+1)))</f>
        <v/>
      </c>
      <c r="K107" s="568" t="str">
        <f>IF(oop!K45="","",oop!K45)</f>
        <v/>
      </c>
      <c r="L107" s="569" t="str">
        <f>IF(oop!L45="","",oop!L45)</f>
        <v/>
      </c>
      <c r="M107" s="570" t="str">
        <f t="shared" si="17"/>
        <v/>
      </c>
      <c r="N107" s="551"/>
      <c r="O107" s="573" t="str">
        <f>IF(I107="","",VLOOKUP(I107,tab!$A$119:$W$159,J107+3,FALSE))</f>
        <v/>
      </c>
      <c r="P107" s="572">
        <f t="shared" si="11"/>
        <v>0</v>
      </c>
      <c r="Q107" s="589">
        <f t="shared" si="14"/>
        <v>0.6</v>
      </c>
      <c r="R107" s="573">
        <f t="shared" si="15"/>
        <v>0</v>
      </c>
      <c r="S107" s="332">
        <f>IF(L107="",0,(((O107*12)*L107)*(1+tab!$D$108)*IF(I107&gt;8,tab!$E$110,tab!$E$112)))</f>
        <v>0</v>
      </c>
      <c r="T107" s="580">
        <f t="shared" si="16"/>
        <v>0</v>
      </c>
      <c r="U107" s="243">
        <f t="shared" si="12"/>
        <v>0</v>
      </c>
      <c r="V107" s="332">
        <f t="shared" si="13"/>
        <v>0</v>
      </c>
      <c r="W107" s="624"/>
      <c r="X107" s="97"/>
      <c r="AA107" s="405"/>
      <c r="AJ107" s="405"/>
    </row>
    <row r="108" spans="2:36">
      <c r="B108" s="92"/>
      <c r="C108" s="131"/>
      <c r="D108" s="169" t="str">
        <f>IF(oop!D46=0,"",oop!D46)</f>
        <v/>
      </c>
      <c r="E108" s="169" t="str">
        <f>IF(oop!E46=0,"",oop!E46)</f>
        <v/>
      </c>
      <c r="F108" s="169" t="str">
        <f>IF(oop!F46=0,"",oop!F46)</f>
        <v/>
      </c>
      <c r="G108" s="169" t="str">
        <f>IF(oop!G46=0,"",oop!G46+1)</f>
        <v/>
      </c>
      <c r="H108" s="641" t="str">
        <f>IF(oop!H46="","",oop!H46)</f>
        <v/>
      </c>
      <c r="I108" s="170" t="str">
        <f>IF(oop!I46=0,"",oop!I46)</f>
        <v/>
      </c>
      <c r="J108" s="567" t="str">
        <f>IF(E108="","",(IF(oop!J46+1&gt;LOOKUP(I108,schaal2011,regels2011),oop!J46,oop!J46+1)))</f>
        <v/>
      </c>
      <c r="K108" s="568" t="str">
        <f>IF(oop!K46="","",oop!K46)</f>
        <v/>
      </c>
      <c r="L108" s="569" t="str">
        <f>IF(oop!L46="","",oop!L46)</f>
        <v/>
      </c>
      <c r="M108" s="570" t="str">
        <f t="shared" si="17"/>
        <v/>
      </c>
      <c r="N108" s="551"/>
      <c r="O108" s="573" t="str">
        <f>IF(I108="","",VLOOKUP(I108,tab!$A$119:$W$159,J108+3,FALSE))</f>
        <v/>
      </c>
      <c r="P108" s="572">
        <f t="shared" si="11"/>
        <v>0</v>
      </c>
      <c r="Q108" s="589">
        <f t="shared" si="14"/>
        <v>0.6</v>
      </c>
      <c r="R108" s="573">
        <f t="shared" si="15"/>
        <v>0</v>
      </c>
      <c r="S108" s="332">
        <f>IF(L108="",0,(((O108*12)*L108)*(1+tab!$D$108)*IF(I108&gt;8,tab!$E$110,tab!$E$112)))</f>
        <v>0</v>
      </c>
      <c r="T108" s="580">
        <f t="shared" si="16"/>
        <v>0</v>
      </c>
      <c r="U108" s="243">
        <f t="shared" si="12"/>
        <v>0</v>
      </c>
      <c r="V108" s="332">
        <f t="shared" si="13"/>
        <v>0</v>
      </c>
      <c r="W108" s="624"/>
      <c r="X108" s="97"/>
      <c r="AA108" s="405"/>
      <c r="AJ108" s="405"/>
    </row>
    <row r="109" spans="2:36">
      <c r="B109" s="92"/>
      <c r="C109" s="131"/>
      <c r="D109" s="169" t="str">
        <f>IF(oop!D47=0,"",oop!D47)</f>
        <v/>
      </c>
      <c r="E109" s="169" t="str">
        <f>IF(oop!E47=0,"",oop!E47)</f>
        <v/>
      </c>
      <c r="F109" s="169" t="str">
        <f>IF(oop!F47=0,"",oop!F47)</f>
        <v/>
      </c>
      <c r="G109" s="169" t="str">
        <f>IF(oop!G47=0,"",oop!G47+1)</f>
        <v/>
      </c>
      <c r="H109" s="641" t="str">
        <f>IF(oop!H47="","",oop!H47)</f>
        <v/>
      </c>
      <c r="I109" s="170" t="str">
        <f>IF(oop!I47=0,"",oop!I47)</f>
        <v/>
      </c>
      <c r="J109" s="567" t="str">
        <f>IF(E109="","",(IF(oop!J47+1&gt;LOOKUP(I109,schaal2011,regels2011),oop!J47,oop!J47+1)))</f>
        <v/>
      </c>
      <c r="K109" s="568" t="str">
        <f>IF(oop!K47="","",oop!K47)</f>
        <v/>
      </c>
      <c r="L109" s="569" t="str">
        <f>IF(oop!L47="","",oop!L47)</f>
        <v/>
      </c>
      <c r="M109" s="570" t="str">
        <f t="shared" si="17"/>
        <v/>
      </c>
      <c r="N109" s="551"/>
      <c r="O109" s="573" t="str">
        <f>IF(I109="","",VLOOKUP(I109,tab!$A$119:$W$159,J109+3,FALSE))</f>
        <v/>
      </c>
      <c r="P109" s="572">
        <f t="shared" si="11"/>
        <v>0</v>
      </c>
      <c r="Q109" s="589">
        <f t="shared" si="14"/>
        <v>0.6</v>
      </c>
      <c r="R109" s="573">
        <f t="shared" si="15"/>
        <v>0</v>
      </c>
      <c r="S109" s="332">
        <f>IF(L109="",0,(((O109*12)*L109)*(1+tab!$D$108)*IF(I109&gt;8,tab!$E$110,tab!$E$112)))</f>
        <v>0</v>
      </c>
      <c r="T109" s="580">
        <f t="shared" si="16"/>
        <v>0</v>
      </c>
      <c r="U109" s="243">
        <f t="shared" si="12"/>
        <v>0</v>
      </c>
      <c r="V109" s="332">
        <f t="shared" si="13"/>
        <v>0</v>
      </c>
      <c r="W109" s="624"/>
      <c r="X109" s="97"/>
      <c r="AA109" s="405"/>
      <c r="AJ109" s="405"/>
    </row>
    <row r="110" spans="2:36">
      <c r="B110" s="92"/>
      <c r="C110" s="131"/>
      <c r="D110" s="169" t="str">
        <f>IF(oop!D48=0,"",oop!D48)</f>
        <v/>
      </c>
      <c r="E110" s="169" t="str">
        <f>IF(oop!E48=0,"",oop!E48)</f>
        <v/>
      </c>
      <c r="F110" s="169" t="str">
        <f>IF(oop!F48=0,"",oop!F48)</f>
        <v/>
      </c>
      <c r="G110" s="169" t="str">
        <f>IF(oop!G48=0,"",oop!G48+1)</f>
        <v/>
      </c>
      <c r="H110" s="641" t="str">
        <f>IF(oop!H48="","",oop!H48)</f>
        <v/>
      </c>
      <c r="I110" s="170" t="str">
        <f>IF(oop!I48=0,"",oop!I48)</f>
        <v/>
      </c>
      <c r="J110" s="567" t="str">
        <f>IF(E110="","",(IF(oop!J48+1&gt;LOOKUP(I110,schaal2011,regels2011),oop!J48,oop!J48+1)))</f>
        <v/>
      </c>
      <c r="K110" s="568" t="str">
        <f>IF(oop!K48="","",oop!K48)</f>
        <v/>
      </c>
      <c r="L110" s="569" t="str">
        <f>IF(oop!L48="","",oop!L48)</f>
        <v/>
      </c>
      <c r="M110" s="570" t="str">
        <f t="shared" si="17"/>
        <v/>
      </c>
      <c r="N110" s="551"/>
      <c r="O110" s="573" t="str">
        <f>IF(I110="","",VLOOKUP(I110,tab!$A$119:$W$159,J110+3,FALSE))</f>
        <v/>
      </c>
      <c r="P110" s="572">
        <f t="shared" ref="P110:P127" si="18">IF(E110="",0,(O110*M110*12))</f>
        <v>0</v>
      </c>
      <c r="Q110" s="589">
        <f t="shared" si="14"/>
        <v>0.6</v>
      </c>
      <c r="R110" s="573">
        <f t="shared" si="15"/>
        <v>0</v>
      </c>
      <c r="S110" s="332">
        <f>IF(L110="",0,(((O110*12)*L110)*(1+tab!$D$108)*IF(I110&gt;8,tab!$E$110,tab!$E$112)))</f>
        <v>0</v>
      </c>
      <c r="T110" s="580">
        <f t="shared" si="16"/>
        <v>0</v>
      </c>
      <c r="U110" s="243">
        <f t="shared" si="12"/>
        <v>0</v>
      </c>
      <c r="V110" s="332">
        <f t="shared" ref="V110:V127" si="19">IF(U110=25,(O110*1.08*(K110)/2),IF(U110=40,(O110*1.08*(K110)),IF(U110=0,0)))</f>
        <v>0</v>
      </c>
      <c r="W110" s="624"/>
      <c r="X110" s="97"/>
      <c r="AA110" s="405"/>
      <c r="AJ110" s="405"/>
    </row>
    <row r="111" spans="2:36">
      <c r="B111" s="92"/>
      <c r="C111" s="131"/>
      <c r="D111" s="169" t="str">
        <f>IF(oop!D49=0,"",oop!D49)</f>
        <v/>
      </c>
      <c r="E111" s="169" t="str">
        <f>IF(oop!E49=0,"",oop!E49)</f>
        <v/>
      </c>
      <c r="F111" s="169" t="str">
        <f>IF(oop!F49=0,"",oop!F49)</f>
        <v/>
      </c>
      <c r="G111" s="169" t="str">
        <f>IF(oop!G49=0,"",oop!G49+1)</f>
        <v/>
      </c>
      <c r="H111" s="641" t="str">
        <f>IF(oop!H49="","",oop!H49)</f>
        <v/>
      </c>
      <c r="I111" s="170" t="str">
        <f>IF(oop!I49=0,"",oop!I49)</f>
        <v/>
      </c>
      <c r="J111" s="567" t="str">
        <f>IF(E111="","",(IF(oop!J49+1&gt;LOOKUP(I111,schaal2011,regels2011),oop!J49,oop!J49+1)))</f>
        <v/>
      </c>
      <c r="K111" s="568" t="str">
        <f>IF(oop!K49="","",oop!K49)</f>
        <v/>
      </c>
      <c r="L111" s="569" t="str">
        <f>IF(oop!L49="","",oop!L49)</f>
        <v/>
      </c>
      <c r="M111" s="570" t="str">
        <f t="shared" si="17"/>
        <v/>
      </c>
      <c r="N111" s="551"/>
      <c r="O111" s="573" t="str">
        <f>IF(I111="","",VLOOKUP(I111,tab!$A$119:$W$159,J111+3,FALSE))</f>
        <v/>
      </c>
      <c r="P111" s="572">
        <f t="shared" si="18"/>
        <v>0</v>
      </c>
      <c r="Q111" s="589">
        <f t="shared" si="14"/>
        <v>0.6</v>
      </c>
      <c r="R111" s="573">
        <f t="shared" si="15"/>
        <v>0</v>
      </c>
      <c r="S111" s="332">
        <f>IF(L111="",0,(((O111*12)*L111)*(1+tab!$D$108)*IF(I111&gt;8,tab!$E$110,tab!$E$112)))</f>
        <v>0</v>
      </c>
      <c r="T111" s="580">
        <f t="shared" si="16"/>
        <v>0</v>
      </c>
      <c r="U111" s="243">
        <f t="shared" si="12"/>
        <v>0</v>
      </c>
      <c r="V111" s="332">
        <f t="shared" si="19"/>
        <v>0</v>
      </c>
      <c r="W111" s="624"/>
      <c r="X111" s="97"/>
      <c r="AA111" s="405"/>
      <c r="AJ111" s="405"/>
    </row>
    <row r="112" spans="2:36">
      <c r="B112" s="92"/>
      <c r="C112" s="131"/>
      <c r="D112" s="169" t="str">
        <f>IF(oop!D50=0,"",oop!D50)</f>
        <v/>
      </c>
      <c r="E112" s="169" t="str">
        <f>IF(oop!E50=0,"",oop!E50)</f>
        <v/>
      </c>
      <c r="F112" s="169" t="str">
        <f>IF(oop!F50=0,"",oop!F50)</f>
        <v/>
      </c>
      <c r="G112" s="169" t="str">
        <f>IF(oop!G50=0,"",oop!G50+1)</f>
        <v/>
      </c>
      <c r="H112" s="641" t="str">
        <f>IF(oop!H50="","",oop!H50)</f>
        <v/>
      </c>
      <c r="I112" s="170" t="str">
        <f>IF(oop!I50=0,"",oop!I50)</f>
        <v/>
      </c>
      <c r="J112" s="567" t="str">
        <f>IF(E112="","",(IF(oop!J50+1&gt;LOOKUP(I112,schaal2011,regels2011),oop!J50,oop!J50+1)))</f>
        <v/>
      </c>
      <c r="K112" s="568" t="str">
        <f>IF(oop!K50="","",oop!K50)</f>
        <v/>
      </c>
      <c r="L112" s="569" t="str">
        <f>IF(oop!L50="","",oop!L50)</f>
        <v/>
      </c>
      <c r="M112" s="570" t="str">
        <f t="shared" si="17"/>
        <v/>
      </c>
      <c r="N112" s="551"/>
      <c r="O112" s="573" t="str">
        <f>IF(I112="","",VLOOKUP(I112,tab!$A$119:$W$159,J112+3,FALSE))</f>
        <v/>
      </c>
      <c r="P112" s="572">
        <f t="shared" si="18"/>
        <v>0</v>
      </c>
      <c r="Q112" s="589">
        <f t="shared" si="14"/>
        <v>0.6</v>
      </c>
      <c r="R112" s="573">
        <f t="shared" si="15"/>
        <v>0</v>
      </c>
      <c r="S112" s="332">
        <f>IF(L112="",0,(((O112*12)*L112)*(1+tab!$D$108)*IF(I112&gt;8,tab!$E$110,tab!$E$112)))</f>
        <v>0</v>
      </c>
      <c r="T112" s="580">
        <f t="shared" si="16"/>
        <v>0</v>
      </c>
      <c r="U112" s="243">
        <f t="shared" si="12"/>
        <v>0</v>
      </c>
      <c r="V112" s="332">
        <f t="shared" si="19"/>
        <v>0</v>
      </c>
      <c r="W112" s="624"/>
      <c r="X112" s="97"/>
      <c r="AA112" s="405"/>
      <c r="AJ112" s="405"/>
    </row>
    <row r="113" spans="2:36">
      <c r="B113" s="92"/>
      <c r="C113" s="131"/>
      <c r="D113" s="169" t="str">
        <f>IF(oop!D51=0,"",oop!D51)</f>
        <v/>
      </c>
      <c r="E113" s="169" t="str">
        <f>IF(oop!E51=0,"",oop!E51)</f>
        <v/>
      </c>
      <c r="F113" s="169" t="str">
        <f>IF(oop!F51=0,"",oop!F51)</f>
        <v/>
      </c>
      <c r="G113" s="169" t="str">
        <f>IF(oop!G51=0,"",oop!G51+1)</f>
        <v/>
      </c>
      <c r="H113" s="641" t="str">
        <f>IF(oop!H51="","",oop!H51)</f>
        <v/>
      </c>
      <c r="I113" s="170" t="str">
        <f>IF(oop!I51=0,"",oop!I51)</f>
        <v/>
      </c>
      <c r="J113" s="567" t="str">
        <f>IF(E113="","",(IF(oop!J51+1&gt;LOOKUP(I113,schaal2011,regels2011),oop!J51,oop!J51+1)))</f>
        <v/>
      </c>
      <c r="K113" s="568" t="str">
        <f>IF(oop!K51="","",oop!K51)</f>
        <v/>
      </c>
      <c r="L113" s="569" t="str">
        <f>IF(oop!L51="","",oop!L51)</f>
        <v/>
      </c>
      <c r="M113" s="570" t="str">
        <f t="shared" si="17"/>
        <v/>
      </c>
      <c r="N113" s="551"/>
      <c r="O113" s="573" t="str">
        <f>IF(I113="","",VLOOKUP(I113,tab!$A$119:$W$159,J113+3,FALSE))</f>
        <v/>
      </c>
      <c r="P113" s="572">
        <f t="shared" si="18"/>
        <v>0</v>
      </c>
      <c r="Q113" s="589">
        <f t="shared" si="14"/>
        <v>0.6</v>
      </c>
      <c r="R113" s="573">
        <f t="shared" si="15"/>
        <v>0</v>
      </c>
      <c r="S113" s="332">
        <f>IF(L113="",0,(((O113*12)*L113)*(1+tab!$D$108)*IF(I113&gt;8,tab!$E$110,tab!$E$112)))</f>
        <v>0</v>
      </c>
      <c r="T113" s="580">
        <f t="shared" si="16"/>
        <v>0</v>
      </c>
      <c r="U113" s="243">
        <f t="shared" si="12"/>
        <v>0</v>
      </c>
      <c r="V113" s="332">
        <f t="shared" si="19"/>
        <v>0</v>
      </c>
      <c r="W113" s="624"/>
      <c r="X113" s="97"/>
      <c r="AA113" s="405"/>
      <c r="AJ113" s="405"/>
    </row>
    <row r="114" spans="2:36">
      <c r="B114" s="92"/>
      <c r="C114" s="131"/>
      <c r="D114" s="169" t="str">
        <f>IF(oop!D52=0,"",oop!D52)</f>
        <v/>
      </c>
      <c r="E114" s="169" t="str">
        <f>IF(oop!E52=0,"",oop!E52)</f>
        <v/>
      </c>
      <c r="F114" s="169" t="str">
        <f>IF(oop!F52=0,"",oop!F52)</f>
        <v/>
      </c>
      <c r="G114" s="169" t="str">
        <f>IF(oop!G52=0,"",oop!G52+1)</f>
        <v/>
      </c>
      <c r="H114" s="641" t="str">
        <f>IF(oop!H52="","",oop!H52)</f>
        <v/>
      </c>
      <c r="I114" s="170" t="str">
        <f>IF(oop!I52=0,"",oop!I52)</f>
        <v/>
      </c>
      <c r="J114" s="567" t="str">
        <f>IF(E114="","",(IF(oop!J52+1&gt;LOOKUP(I114,schaal2011,regels2011),oop!J52,oop!J52+1)))</f>
        <v/>
      </c>
      <c r="K114" s="568" t="str">
        <f>IF(oop!K52="","",oop!K52)</f>
        <v/>
      </c>
      <c r="L114" s="569" t="str">
        <f>IF(oop!L52="","",oop!L52)</f>
        <v/>
      </c>
      <c r="M114" s="570" t="str">
        <f t="shared" si="17"/>
        <v/>
      </c>
      <c r="N114" s="551"/>
      <c r="O114" s="573" t="str">
        <f>IF(I114="","",VLOOKUP(I114,tab!$A$119:$W$159,J114+3,FALSE))</f>
        <v/>
      </c>
      <c r="P114" s="572">
        <f t="shared" si="18"/>
        <v>0</v>
      </c>
      <c r="Q114" s="589">
        <f t="shared" si="14"/>
        <v>0.6</v>
      </c>
      <c r="R114" s="573">
        <f t="shared" si="15"/>
        <v>0</v>
      </c>
      <c r="S114" s="332">
        <f>IF(L114="",0,(((O114*12)*L114)*(1+tab!$D$108)*IF(I114&gt;8,tab!$E$110,tab!$E$112)))</f>
        <v>0</v>
      </c>
      <c r="T114" s="580">
        <f t="shared" si="16"/>
        <v>0</v>
      </c>
      <c r="U114" s="243">
        <f t="shared" si="12"/>
        <v>0</v>
      </c>
      <c r="V114" s="332">
        <f t="shared" si="19"/>
        <v>0</v>
      </c>
      <c r="W114" s="624"/>
      <c r="X114" s="97"/>
      <c r="AA114" s="405"/>
      <c r="AJ114" s="405"/>
    </row>
    <row r="115" spans="2:36">
      <c r="B115" s="92"/>
      <c r="C115" s="131"/>
      <c r="D115" s="169" t="str">
        <f>IF(oop!D53=0,"",oop!D53)</f>
        <v/>
      </c>
      <c r="E115" s="169" t="str">
        <f>IF(oop!E53=0,"",oop!E53)</f>
        <v/>
      </c>
      <c r="F115" s="169" t="str">
        <f>IF(oop!F53=0,"",oop!F53)</f>
        <v/>
      </c>
      <c r="G115" s="169" t="str">
        <f>IF(oop!G53=0,"",oop!G53+1)</f>
        <v/>
      </c>
      <c r="H115" s="641" t="str">
        <f>IF(oop!H53="","",oop!H53)</f>
        <v/>
      </c>
      <c r="I115" s="170" t="str">
        <f>IF(oop!I53=0,"",oop!I53)</f>
        <v/>
      </c>
      <c r="J115" s="567" t="str">
        <f>IF(E115="","",(IF(oop!J53+1&gt;LOOKUP(I115,schaal2011,regels2011),oop!J53,oop!J53+1)))</f>
        <v/>
      </c>
      <c r="K115" s="568" t="str">
        <f>IF(oop!K53="","",oop!K53)</f>
        <v/>
      </c>
      <c r="L115" s="569" t="str">
        <f>IF(oop!L53="","",oop!L53)</f>
        <v/>
      </c>
      <c r="M115" s="570" t="str">
        <f t="shared" si="17"/>
        <v/>
      </c>
      <c r="N115" s="551"/>
      <c r="O115" s="573" t="str">
        <f>IF(I115="","",VLOOKUP(I115,tab!$A$119:$W$159,J115+3,FALSE))</f>
        <v/>
      </c>
      <c r="P115" s="572">
        <f t="shared" si="18"/>
        <v>0</v>
      </c>
      <c r="Q115" s="589">
        <f t="shared" si="14"/>
        <v>0.6</v>
      </c>
      <c r="R115" s="573">
        <f t="shared" si="15"/>
        <v>0</v>
      </c>
      <c r="S115" s="332">
        <f>IF(L115="",0,(((O115*12)*L115)*(1+tab!$D$108)*IF(I115&gt;8,tab!$E$110,tab!$E$112)))</f>
        <v>0</v>
      </c>
      <c r="T115" s="580">
        <f t="shared" si="16"/>
        <v>0</v>
      </c>
      <c r="U115" s="243">
        <f t="shared" si="12"/>
        <v>0</v>
      </c>
      <c r="V115" s="332">
        <f t="shared" si="19"/>
        <v>0</v>
      </c>
      <c r="W115" s="624"/>
      <c r="X115" s="97"/>
      <c r="AA115" s="405"/>
      <c r="AJ115" s="405"/>
    </row>
    <row r="116" spans="2:36">
      <c r="B116" s="92"/>
      <c r="C116" s="131"/>
      <c r="D116" s="169" t="str">
        <f>IF(oop!D54=0,"",oop!D54)</f>
        <v/>
      </c>
      <c r="E116" s="169" t="str">
        <f>IF(oop!E54=0,"",oop!E54)</f>
        <v/>
      </c>
      <c r="F116" s="169" t="str">
        <f>IF(oop!F54=0,"",oop!F54)</f>
        <v/>
      </c>
      <c r="G116" s="169" t="str">
        <f>IF(oop!G54=0,"",oop!G54+1)</f>
        <v/>
      </c>
      <c r="H116" s="641" t="str">
        <f>IF(oop!H54="","",oop!H54)</f>
        <v/>
      </c>
      <c r="I116" s="170" t="str">
        <f>IF(oop!I54=0,"",oop!I54)</f>
        <v/>
      </c>
      <c r="J116" s="567" t="str">
        <f>IF(E116="","",(IF(oop!J54+1&gt;LOOKUP(I116,schaal2011,regels2011),oop!J54,oop!J54+1)))</f>
        <v/>
      </c>
      <c r="K116" s="568" t="str">
        <f>IF(oop!K54="","",oop!K54)</f>
        <v/>
      </c>
      <c r="L116" s="569" t="str">
        <f>IF(oop!L54="","",oop!L54)</f>
        <v/>
      </c>
      <c r="M116" s="570" t="str">
        <f t="shared" si="17"/>
        <v/>
      </c>
      <c r="N116" s="551"/>
      <c r="O116" s="573" t="str">
        <f>IF(I116="","",VLOOKUP(I116,tab!$A$119:$W$159,J116+3,FALSE))</f>
        <v/>
      </c>
      <c r="P116" s="572">
        <f t="shared" si="18"/>
        <v>0</v>
      </c>
      <c r="Q116" s="589">
        <f t="shared" si="14"/>
        <v>0.6</v>
      </c>
      <c r="R116" s="573">
        <f t="shared" si="15"/>
        <v>0</v>
      </c>
      <c r="S116" s="332">
        <f>IF(L116="",0,(((O116*12)*L116)*(1+tab!$D$108)*IF(I116&gt;8,tab!$E$110,tab!$E$112)))</f>
        <v>0</v>
      </c>
      <c r="T116" s="580">
        <f t="shared" si="16"/>
        <v>0</v>
      </c>
      <c r="U116" s="243">
        <f t="shared" si="12"/>
        <v>0</v>
      </c>
      <c r="V116" s="332">
        <f t="shared" si="19"/>
        <v>0</v>
      </c>
      <c r="W116" s="624"/>
      <c r="X116" s="97"/>
      <c r="AA116" s="405"/>
      <c r="AJ116" s="405"/>
    </row>
    <row r="117" spans="2:36">
      <c r="B117" s="92"/>
      <c r="C117" s="131"/>
      <c r="D117" s="169" t="str">
        <f>IF(oop!D55=0,"",oop!D55)</f>
        <v/>
      </c>
      <c r="E117" s="169" t="str">
        <f>IF(oop!E55=0,"",oop!E55)</f>
        <v/>
      </c>
      <c r="F117" s="169" t="str">
        <f>IF(oop!F55=0,"",oop!F55)</f>
        <v/>
      </c>
      <c r="G117" s="169" t="str">
        <f>IF(oop!G55=0,"",oop!G55+1)</f>
        <v/>
      </c>
      <c r="H117" s="641" t="str">
        <f>IF(oop!H55="","",oop!H55)</f>
        <v/>
      </c>
      <c r="I117" s="170" t="str">
        <f>IF(oop!I55=0,"",oop!I55)</f>
        <v/>
      </c>
      <c r="J117" s="567" t="str">
        <f>IF(E117="","",(IF(oop!J55+1&gt;LOOKUP(I117,schaal2011,regels2011),oop!J55,oop!J55+1)))</f>
        <v/>
      </c>
      <c r="K117" s="568" t="str">
        <f>IF(oop!K55="","",oop!K55)</f>
        <v/>
      </c>
      <c r="L117" s="569" t="str">
        <f>IF(oop!L55="","",oop!L55)</f>
        <v/>
      </c>
      <c r="M117" s="570" t="str">
        <f t="shared" si="17"/>
        <v/>
      </c>
      <c r="N117" s="551"/>
      <c r="O117" s="573" t="str">
        <f>IF(I117="","",VLOOKUP(I117,tab!$A$119:$W$159,J117+3,FALSE))</f>
        <v/>
      </c>
      <c r="P117" s="572">
        <f t="shared" si="18"/>
        <v>0</v>
      </c>
      <c r="Q117" s="589">
        <f t="shared" si="14"/>
        <v>0.6</v>
      </c>
      <c r="R117" s="573">
        <f t="shared" si="15"/>
        <v>0</v>
      </c>
      <c r="S117" s="332">
        <f>IF(L117="",0,(((O117*12)*L117)*(1+tab!$D$108)*IF(I117&gt;8,tab!$E$110,tab!$E$112)))</f>
        <v>0</v>
      </c>
      <c r="T117" s="580">
        <f t="shared" si="16"/>
        <v>0</v>
      </c>
      <c r="U117" s="243">
        <f t="shared" si="12"/>
        <v>0</v>
      </c>
      <c r="V117" s="332">
        <f t="shared" si="19"/>
        <v>0</v>
      </c>
      <c r="W117" s="624"/>
      <c r="X117" s="97"/>
      <c r="AA117" s="405"/>
      <c r="AJ117" s="405"/>
    </row>
    <row r="118" spans="2:36">
      <c r="B118" s="92"/>
      <c r="C118" s="131"/>
      <c r="D118" s="169" t="str">
        <f>IF(oop!D56=0,"",oop!D56)</f>
        <v/>
      </c>
      <c r="E118" s="169" t="str">
        <f>IF(oop!E56=0,"",oop!E56)</f>
        <v/>
      </c>
      <c r="F118" s="169" t="str">
        <f>IF(oop!F56=0,"",oop!F56)</f>
        <v/>
      </c>
      <c r="G118" s="169" t="str">
        <f>IF(oop!G56=0,"",oop!G56+1)</f>
        <v/>
      </c>
      <c r="H118" s="641" t="str">
        <f>IF(oop!H56="","",oop!H56)</f>
        <v/>
      </c>
      <c r="I118" s="170" t="str">
        <f>IF(oop!I56=0,"",oop!I56)</f>
        <v/>
      </c>
      <c r="J118" s="567" t="str">
        <f>IF(E118="","",(IF(oop!J56+1&gt;LOOKUP(I118,schaal2011,regels2011),oop!J56,oop!J56+1)))</f>
        <v/>
      </c>
      <c r="K118" s="568" t="str">
        <f>IF(oop!K56="","",oop!K56)</f>
        <v/>
      </c>
      <c r="L118" s="569" t="str">
        <f>IF(oop!L56="","",oop!L56)</f>
        <v/>
      </c>
      <c r="M118" s="570" t="str">
        <f t="shared" si="17"/>
        <v/>
      </c>
      <c r="N118" s="551"/>
      <c r="O118" s="573" t="str">
        <f>IF(I118="","",VLOOKUP(I118,tab!$A$119:$W$159,J118+3,FALSE))</f>
        <v/>
      </c>
      <c r="P118" s="572">
        <f t="shared" si="18"/>
        <v>0</v>
      </c>
      <c r="Q118" s="589">
        <f t="shared" si="14"/>
        <v>0.6</v>
      </c>
      <c r="R118" s="573">
        <f t="shared" si="15"/>
        <v>0</v>
      </c>
      <c r="S118" s="332">
        <f>IF(L118="",0,(((O118*12)*L118)*(1+tab!$D$108)*IF(I118&gt;8,tab!$E$110,tab!$E$112)))</f>
        <v>0</v>
      </c>
      <c r="T118" s="580">
        <f t="shared" si="16"/>
        <v>0</v>
      </c>
      <c r="U118" s="243">
        <f t="shared" si="12"/>
        <v>0</v>
      </c>
      <c r="V118" s="332">
        <f t="shared" si="19"/>
        <v>0</v>
      </c>
      <c r="W118" s="624"/>
      <c r="X118" s="97"/>
      <c r="AA118" s="405"/>
      <c r="AJ118" s="405"/>
    </row>
    <row r="119" spans="2:36">
      <c r="B119" s="92"/>
      <c r="C119" s="131"/>
      <c r="D119" s="169" t="str">
        <f>IF(oop!D57=0,"",oop!D57)</f>
        <v/>
      </c>
      <c r="E119" s="169" t="str">
        <f>IF(oop!E57=0,"",oop!E57)</f>
        <v/>
      </c>
      <c r="F119" s="169" t="str">
        <f>IF(oop!F57=0,"",oop!F57)</f>
        <v/>
      </c>
      <c r="G119" s="169" t="str">
        <f>IF(oop!G57=0,"",oop!G57+1)</f>
        <v/>
      </c>
      <c r="H119" s="641" t="str">
        <f>IF(oop!H57="","",oop!H57)</f>
        <v/>
      </c>
      <c r="I119" s="170" t="str">
        <f>IF(oop!I57=0,"",oop!I57)</f>
        <v/>
      </c>
      <c r="J119" s="567" t="str">
        <f>IF(E119="","",(IF(oop!J57+1&gt;LOOKUP(I119,schaal2011,regels2011),oop!J57,oop!J57+1)))</f>
        <v/>
      </c>
      <c r="K119" s="568" t="str">
        <f>IF(oop!K57="","",oop!K57)</f>
        <v/>
      </c>
      <c r="L119" s="569" t="str">
        <f>IF(oop!L57="","",oop!L57)</f>
        <v/>
      </c>
      <c r="M119" s="570" t="str">
        <f t="shared" si="17"/>
        <v/>
      </c>
      <c r="N119" s="551"/>
      <c r="O119" s="573" t="str">
        <f>IF(I119="","",VLOOKUP(I119,tab!$A$119:$W$159,J119+3,FALSE))</f>
        <v/>
      </c>
      <c r="P119" s="572">
        <f t="shared" si="18"/>
        <v>0</v>
      </c>
      <c r="Q119" s="589">
        <f t="shared" si="14"/>
        <v>0.6</v>
      </c>
      <c r="R119" s="573">
        <f t="shared" si="15"/>
        <v>0</v>
      </c>
      <c r="S119" s="332">
        <f>IF(L119="",0,(((O119*12)*L119)*(1+tab!$D$108)*IF(I119&gt;8,tab!$E$110,tab!$E$112)))</f>
        <v>0</v>
      </c>
      <c r="T119" s="580">
        <f t="shared" si="16"/>
        <v>0</v>
      </c>
      <c r="U119" s="243">
        <f t="shared" si="12"/>
        <v>0</v>
      </c>
      <c r="V119" s="332">
        <f t="shared" si="19"/>
        <v>0</v>
      </c>
      <c r="W119" s="624"/>
      <c r="X119" s="97"/>
      <c r="AA119" s="405"/>
      <c r="AJ119" s="405"/>
    </row>
    <row r="120" spans="2:36">
      <c r="B120" s="92"/>
      <c r="C120" s="131"/>
      <c r="D120" s="169" t="str">
        <f>IF(oop!D58=0,"",oop!D58)</f>
        <v/>
      </c>
      <c r="E120" s="169" t="str">
        <f>IF(oop!E58=0,"",oop!E58)</f>
        <v/>
      </c>
      <c r="F120" s="169" t="str">
        <f>IF(oop!F58=0,"",oop!F58)</f>
        <v/>
      </c>
      <c r="G120" s="169" t="str">
        <f>IF(oop!G58=0,"",oop!G58+1)</f>
        <v/>
      </c>
      <c r="H120" s="641" t="str">
        <f>IF(oop!H58="","",oop!H58)</f>
        <v/>
      </c>
      <c r="I120" s="170" t="str">
        <f>IF(oop!I58=0,"",oop!I58)</f>
        <v/>
      </c>
      <c r="J120" s="567" t="str">
        <f>IF(E120="","",(IF(oop!J58+1&gt;LOOKUP(I120,schaal2011,regels2011),oop!J58,oop!J58+1)))</f>
        <v/>
      </c>
      <c r="K120" s="568" t="str">
        <f>IF(oop!K58="","",oop!K58)</f>
        <v/>
      </c>
      <c r="L120" s="569" t="str">
        <f>IF(oop!L58="","",oop!L58)</f>
        <v/>
      </c>
      <c r="M120" s="570" t="str">
        <f t="shared" si="17"/>
        <v/>
      </c>
      <c r="N120" s="551"/>
      <c r="O120" s="573" t="str">
        <f>IF(I120="","",VLOOKUP(I120,tab!$A$119:$W$159,J120+3,FALSE))</f>
        <v/>
      </c>
      <c r="P120" s="572">
        <f t="shared" si="18"/>
        <v>0</v>
      </c>
      <c r="Q120" s="589">
        <f t="shared" si="14"/>
        <v>0.6</v>
      </c>
      <c r="R120" s="573">
        <f t="shared" si="15"/>
        <v>0</v>
      </c>
      <c r="S120" s="332">
        <f>IF(L120="",0,(((O120*12)*L120)*(1+tab!$D$108)*IF(I120&gt;8,tab!$E$110,tab!$E$112)))</f>
        <v>0</v>
      </c>
      <c r="T120" s="580">
        <f t="shared" si="16"/>
        <v>0</v>
      </c>
      <c r="U120" s="243">
        <f t="shared" si="12"/>
        <v>0</v>
      </c>
      <c r="V120" s="332">
        <f t="shared" si="19"/>
        <v>0</v>
      </c>
      <c r="W120" s="624"/>
      <c r="X120" s="97"/>
      <c r="AA120" s="405"/>
      <c r="AJ120" s="405"/>
    </row>
    <row r="121" spans="2:36">
      <c r="B121" s="92"/>
      <c r="C121" s="131"/>
      <c r="D121" s="169" t="str">
        <f>IF(oop!D59=0,"",oop!D59)</f>
        <v/>
      </c>
      <c r="E121" s="169" t="str">
        <f>IF(oop!E59=0,"",oop!E59)</f>
        <v/>
      </c>
      <c r="F121" s="169" t="str">
        <f>IF(oop!F59=0,"",oop!F59)</f>
        <v/>
      </c>
      <c r="G121" s="169" t="str">
        <f>IF(oop!G59=0,"",oop!G59+1)</f>
        <v/>
      </c>
      <c r="H121" s="641" t="str">
        <f>IF(oop!H59="","",oop!H59)</f>
        <v/>
      </c>
      <c r="I121" s="170" t="str">
        <f>IF(oop!I59=0,"",oop!I59)</f>
        <v/>
      </c>
      <c r="J121" s="567" t="str">
        <f>IF(E121="","",(IF(oop!J59+1&gt;LOOKUP(I121,schaal2011,regels2011),oop!J59,oop!J59+1)))</f>
        <v/>
      </c>
      <c r="K121" s="568" t="str">
        <f>IF(oop!K59="","",oop!K59)</f>
        <v/>
      </c>
      <c r="L121" s="569" t="str">
        <f>IF(oop!L59="","",oop!L59)</f>
        <v/>
      </c>
      <c r="M121" s="570" t="str">
        <f t="shared" si="17"/>
        <v/>
      </c>
      <c r="N121" s="551"/>
      <c r="O121" s="573" t="str">
        <f>IF(I121="","",VLOOKUP(I121,tab!$A$119:$W$159,J121+3,FALSE))</f>
        <v/>
      </c>
      <c r="P121" s="572">
        <f t="shared" si="18"/>
        <v>0</v>
      </c>
      <c r="Q121" s="589">
        <f t="shared" si="14"/>
        <v>0.6</v>
      </c>
      <c r="R121" s="573">
        <f t="shared" si="15"/>
        <v>0</v>
      </c>
      <c r="S121" s="332">
        <f>IF(L121="",0,(((O121*12)*L121)*(1+tab!$D$108)*IF(I121&gt;8,tab!$E$110,tab!$E$112)))</f>
        <v>0</v>
      </c>
      <c r="T121" s="580">
        <f t="shared" si="16"/>
        <v>0</v>
      </c>
      <c r="U121" s="243">
        <f t="shared" si="12"/>
        <v>0</v>
      </c>
      <c r="V121" s="332">
        <f t="shared" si="19"/>
        <v>0</v>
      </c>
      <c r="W121" s="624"/>
      <c r="X121" s="97"/>
      <c r="AA121" s="405"/>
      <c r="AJ121" s="405"/>
    </row>
    <row r="122" spans="2:36">
      <c r="B122" s="92"/>
      <c r="C122" s="131"/>
      <c r="D122" s="169" t="str">
        <f>IF(oop!D60=0,"",oop!D60)</f>
        <v/>
      </c>
      <c r="E122" s="169" t="str">
        <f>IF(oop!E60=0,"",oop!E60)</f>
        <v/>
      </c>
      <c r="F122" s="169" t="str">
        <f>IF(oop!F60=0,"",oop!F60)</f>
        <v/>
      </c>
      <c r="G122" s="169" t="str">
        <f>IF(oop!G60=0,"",oop!G60+1)</f>
        <v/>
      </c>
      <c r="H122" s="641" t="str">
        <f>IF(oop!H60="","",oop!H60)</f>
        <v/>
      </c>
      <c r="I122" s="170" t="str">
        <f>IF(oop!I60=0,"",oop!I60)</f>
        <v/>
      </c>
      <c r="J122" s="567" t="str">
        <f>IF(E122="","",(IF(oop!J60+1&gt;LOOKUP(I122,schaal2011,regels2011),oop!J60,oop!J60+1)))</f>
        <v/>
      </c>
      <c r="K122" s="568" t="str">
        <f>IF(oop!K60="","",oop!K60)</f>
        <v/>
      </c>
      <c r="L122" s="569" t="str">
        <f>IF(oop!L60="","",oop!L60)</f>
        <v/>
      </c>
      <c r="M122" s="570" t="str">
        <f t="shared" si="17"/>
        <v/>
      </c>
      <c r="N122" s="551"/>
      <c r="O122" s="573" t="str">
        <f>IF(I122="","",VLOOKUP(I122,tab!$A$119:$W$159,J122+3,FALSE))</f>
        <v/>
      </c>
      <c r="P122" s="572">
        <f t="shared" si="18"/>
        <v>0</v>
      </c>
      <c r="Q122" s="589">
        <f t="shared" si="14"/>
        <v>0.6</v>
      </c>
      <c r="R122" s="573">
        <f t="shared" si="15"/>
        <v>0</v>
      </c>
      <c r="S122" s="332">
        <f>IF(L122="",0,(((O122*12)*L122)*(1+tab!$D$108)*IF(I122&gt;8,tab!$E$110,tab!$E$112)))</f>
        <v>0</v>
      </c>
      <c r="T122" s="580">
        <f t="shared" si="16"/>
        <v>0</v>
      </c>
      <c r="U122" s="243">
        <f t="shared" si="12"/>
        <v>0</v>
      </c>
      <c r="V122" s="332">
        <f t="shared" si="19"/>
        <v>0</v>
      </c>
      <c r="W122" s="624"/>
      <c r="X122" s="97"/>
      <c r="AA122" s="405"/>
      <c r="AJ122" s="405"/>
    </row>
    <row r="123" spans="2:36">
      <c r="B123" s="92"/>
      <c r="C123" s="131"/>
      <c r="D123" s="169" t="str">
        <f>IF(oop!D61=0,"",oop!D61)</f>
        <v/>
      </c>
      <c r="E123" s="169" t="str">
        <f>IF(oop!E61=0,"",oop!E61)</f>
        <v/>
      </c>
      <c r="F123" s="169" t="str">
        <f>IF(oop!F61=0,"",oop!F61)</f>
        <v/>
      </c>
      <c r="G123" s="169" t="str">
        <f>IF(oop!G61=0,"",oop!G61+1)</f>
        <v/>
      </c>
      <c r="H123" s="641" t="str">
        <f>IF(oop!H61="","",oop!H61)</f>
        <v/>
      </c>
      <c r="I123" s="170" t="str">
        <f>IF(oop!I61=0,"",oop!I61)</f>
        <v/>
      </c>
      <c r="J123" s="567" t="str">
        <f>IF(E123="","",(IF(oop!J61+1&gt;LOOKUP(I123,schaal2011,regels2011),oop!J61,oop!J61+1)))</f>
        <v/>
      </c>
      <c r="K123" s="568" t="str">
        <f>IF(oop!K61="","",oop!K61)</f>
        <v/>
      </c>
      <c r="L123" s="569" t="str">
        <f>IF(oop!L61="","",oop!L61)</f>
        <v/>
      </c>
      <c r="M123" s="570" t="str">
        <f t="shared" si="17"/>
        <v/>
      </c>
      <c r="N123" s="551"/>
      <c r="O123" s="573" t="str">
        <f>IF(I123="","",VLOOKUP(I123,tab!$A$119:$W$159,J123+3,FALSE))</f>
        <v/>
      </c>
      <c r="P123" s="572">
        <f t="shared" si="18"/>
        <v>0</v>
      </c>
      <c r="Q123" s="589">
        <f t="shared" si="14"/>
        <v>0.6</v>
      </c>
      <c r="R123" s="573">
        <f t="shared" si="15"/>
        <v>0</v>
      </c>
      <c r="S123" s="332">
        <f>IF(L123="",0,(((O123*12)*L123)*(1+tab!$D$108)*IF(I123&gt;8,tab!$E$110,tab!$E$112)))</f>
        <v>0</v>
      </c>
      <c r="T123" s="580">
        <f t="shared" si="16"/>
        <v>0</v>
      </c>
      <c r="U123" s="243">
        <f t="shared" si="12"/>
        <v>0</v>
      </c>
      <c r="V123" s="332">
        <f t="shared" si="19"/>
        <v>0</v>
      </c>
      <c r="W123" s="624"/>
      <c r="X123" s="97"/>
      <c r="AA123" s="405"/>
      <c r="AJ123" s="405"/>
    </row>
    <row r="124" spans="2:36">
      <c r="B124" s="92"/>
      <c r="C124" s="131"/>
      <c r="D124" s="169" t="str">
        <f>IF(oop!D62=0,"",oop!D62)</f>
        <v/>
      </c>
      <c r="E124" s="169" t="str">
        <f>IF(oop!E62=0,"",oop!E62)</f>
        <v/>
      </c>
      <c r="F124" s="169" t="str">
        <f>IF(oop!F62=0,"",oop!F62)</f>
        <v/>
      </c>
      <c r="G124" s="169" t="str">
        <f>IF(oop!G62=0,"",oop!G62+1)</f>
        <v/>
      </c>
      <c r="H124" s="641" t="str">
        <f>IF(oop!H62="","",oop!H62)</f>
        <v/>
      </c>
      <c r="I124" s="170" t="str">
        <f>IF(oop!I62=0,"",oop!I62)</f>
        <v/>
      </c>
      <c r="J124" s="567" t="str">
        <f>IF(E124="","",(IF(oop!J62+1&gt;LOOKUP(I124,schaal2011,regels2011),oop!J62,oop!J62+1)))</f>
        <v/>
      </c>
      <c r="K124" s="568" t="str">
        <f>IF(oop!K62="","",oop!K62)</f>
        <v/>
      </c>
      <c r="L124" s="569" t="str">
        <f>IF(oop!L62="","",oop!L62)</f>
        <v/>
      </c>
      <c r="M124" s="570" t="str">
        <f t="shared" si="17"/>
        <v/>
      </c>
      <c r="N124" s="551"/>
      <c r="O124" s="573" t="str">
        <f>IF(I124="","",VLOOKUP(I124,tab!$A$119:$W$159,J124+3,FALSE))</f>
        <v/>
      </c>
      <c r="P124" s="572">
        <f t="shared" si="18"/>
        <v>0</v>
      </c>
      <c r="Q124" s="589">
        <f t="shared" si="14"/>
        <v>0.6</v>
      </c>
      <c r="R124" s="573">
        <f t="shared" si="15"/>
        <v>0</v>
      </c>
      <c r="S124" s="332">
        <f>IF(L124="",0,(((O124*12)*L124)*(1+tab!$D$108)*IF(I124&gt;8,tab!$E$110,tab!$E$112)))</f>
        <v>0</v>
      </c>
      <c r="T124" s="580">
        <f t="shared" si="16"/>
        <v>0</v>
      </c>
      <c r="U124" s="243">
        <f t="shared" si="12"/>
        <v>0</v>
      </c>
      <c r="V124" s="332">
        <f t="shared" si="19"/>
        <v>0</v>
      </c>
      <c r="W124" s="624"/>
      <c r="X124" s="97"/>
      <c r="AA124" s="405"/>
      <c r="AJ124" s="405"/>
    </row>
    <row r="125" spans="2:36">
      <c r="B125" s="92"/>
      <c r="C125" s="131"/>
      <c r="D125" s="169" t="str">
        <f>IF(oop!D63=0,"",oop!D63)</f>
        <v/>
      </c>
      <c r="E125" s="169" t="str">
        <f>IF(oop!E63=0,"",oop!E63)</f>
        <v/>
      </c>
      <c r="F125" s="169" t="str">
        <f>IF(oop!F63=0,"",oop!F63)</f>
        <v/>
      </c>
      <c r="G125" s="169" t="str">
        <f>IF(oop!G63=0,"",oop!G63+1)</f>
        <v/>
      </c>
      <c r="H125" s="641" t="str">
        <f>IF(oop!H63="","",oop!H63)</f>
        <v/>
      </c>
      <c r="I125" s="170" t="str">
        <f>IF(oop!I63=0,"",oop!I63)</f>
        <v/>
      </c>
      <c r="J125" s="567" t="str">
        <f>IF(E125="","",(IF(oop!J63+1&gt;LOOKUP(I125,schaal2011,regels2011),oop!J63,oop!J63+1)))</f>
        <v/>
      </c>
      <c r="K125" s="568" t="str">
        <f>IF(oop!K63="","",oop!K63)</f>
        <v/>
      </c>
      <c r="L125" s="569" t="str">
        <f>IF(oop!L63="","",oop!L63)</f>
        <v/>
      </c>
      <c r="M125" s="570" t="str">
        <f t="shared" si="17"/>
        <v/>
      </c>
      <c r="N125" s="551"/>
      <c r="O125" s="573" t="str">
        <f>IF(I125="","",VLOOKUP(I125,tab!$A$119:$W$159,J125+3,FALSE))</f>
        <v/>
      </c>
      <c r="P125" s="572">
        <f t="shared" si="18"/>
        <v>0</v>
      </c>
      <c r="Q125" s="589">
        <f t="shared" si="14"/>
        <v>0.6</v>
      </c>
      <c r="R125" s="573">
        <f t="shared" si="15"/>
        <v>0</v>
      </c>
      <c r="S125" s="332">
        <f>IF(L125="",0,(((O125*12)*L125)*(1+tab!$D$108)*IF(I125&gt;8,tab!$E$110,tab!$E$112)))</f>
        <v>0</v>
      </c>
      <c r="T125" s="580">
        <f t="shared" si="16"/>
        <v>0</v>
      </c>
      <c r="U125" s="243">
        <f t="shared" si="12"/>
        <v>0</v>
      </c>
      <c r="V125" s="332">
        <f t="shared" si="19"/>
        <v>0</v>
      </c>
      <c r="W125" s="624"/>
      <c r="X125" s="97"/>
      <c r="AA125" s="405"/>
      <c r="AJ125" s="405"/>
    </row>
    <row r="126" spans="2:36">
      <c r="B126" s="92"/>
      <c r="C126" s="131"/>
      <c r="D126" s="169" t="str">
        <f>IF(oop!D64=0,"",oop!D64)</f>
        <v/>
      </c>
      <c r="E126" s="169" t="str">
        <f>IF(oop!E64=0,"",oop!E64)</f>
        <v/>
      </c>
      <c r="F126" s="169" t="str">
        <f>IF(oop!F64=0,"",oop!F64)</f>
        <v/>
      </c>
      <c r="G126" s="169" t="str">
        <f>IF(oop!G64=0,"",oop!G64+1)</f>
        <v/>
      </c>
      <c r="H126" s="641" t="str">
        <f>IF(oop!H64="","",oop!H64)</f>
        <v/>
      </c>
      <c r="I126" s="170" t="str">
        <f>IF(oop!I64=0,"",oop!I64)</f>
        <v/>
      </c>
      <c r="J126" s="567" t="str">
        <f>IF(E126="","",(IF(oop!J64+1&gt;LOOKUP(I126,schaal2011,regels2011),oop!J64,oop!J64+1)))</f>
        <v/>
      </c>
      <c r="K126" s="568" t="str">
        <f>IF(oop!K64="","",oop!K64)</f>
        <v/>
      </c>
      <c r="L126" s="569" t="str">
        <f>IF(oop!L64="","",oop!L64)</f>
        <v/>
      </c>
      <c r="M126" s="570" t="str">
        <f t="shared" si="17"/>
        <v/>
      </c>
      <c r="N126" s="551"/>
      <c r="O126" s="573" t="str">
        <f>IF(I126="","",VLOOKUP(I126,tab!$A$119:$W$159,J126+3,FALSE))</f>
        <v/>
      </c>
      <c r="P126" s="572">
        <f t="shared" si="18"/>
        <v>0</v>
      </c>
      <c r="Q126" s="589">
        <f t="shared" si="14"/>
        <v>0.6</v>
      </c>
      <c r="R126" s="573">
        <f t="shared" si="15"/>
        <v>0</v>
      </c>
      <c r="S126" s="332">
        <f>IF(L126="",0,(((O126*12)*L126)*(1+tab!$D$108)*IF(I126&gt;8,tab!$E$110,tab!$E$112)))</f>
        <v>0</v>
      </c>
      <c r="T126" s="580">
        <f t="shared" si="16"/>
        <v>0</v>
      </c>
      <c r="U126" s="243">
        <f t="shared" si="12"/>
        <v>0</v>
      </c>
      <c r="V126" s="332">
        <f t="shared" si="19"/>
        <v>0</v>
      </c>
      <c r="W126" s="624"/>
      <c r="X126" s="97"/>
      <c r="AA126" s="405"/>
      <c r="AJ126" s="405"/>
    </row>
    <row r="127" spans="2:36">
      <c r="B127" s="92"/>
      <c r="C127" s="131"/>
      <c r="D127" s="169" t="str">
        <f>IF(oop!D65=0,"",oop!D65)</f>
        <v/>
      </c>
      <c r="E127" s="169" t="str">
        <f>IF(oop!E65=0,"",oop!E65)</f>
        <v/>
      </c>
      <c r="F127" s="169" t="str">
        <f>IF(oop!F65=0,"",oop!F65)</f>
        <v/>
      </c>
      <c r="G127" s="169" t="str">
        <f>IF(oop!G65=0,"",oop!G65+1)</f>
        <v/>
      </c>
      <c r="H127" s="641" t="str">
        <f>IF(oop!H65="","",oop!H65)</f>
        <v/>
      </c>
      <c r="I127" s="170" t="str">
        <f>IF(oop!I65=0,"",oop!I65)</f>
        <v/>
      </c>
      <c r="J127" s="567" t="str">
        <f>IF(E127="","",(IF(oop!J65+1&gt;LOOKUP(I127,schaal2011,regels2011),oop!J65,oop!J65+1)))</f>
        <v/>
      </c>
      <c r="K127" s="568" t="str">
        <f>IF(oop!K65="","",oop!K65)</f>
        <v/>
      </c>
      <c r="L127" s="569" t="str">
        <f>IF(oop!L65="","",oop!L65)</f>
        <v/>
      </c>
      <c r="M127" s="570" t="str">
        <f t="shared" si="17"/>
        <v/>
      </c>
      <c r="N127" s="551"/>
      <c r="O127" s="573" t="str">
        <f>IF(I127="","",VLOOKUP(I127,tab!$A$119:$W$159,J127+3,FALSE))</f>
        <v/>
      </c>
      <c r="P127" s="572">
        <f t="shared" si="18"/>
        <v>0</v>
      </c>
      <c r="Q127" s="589">
        <f t="shared" si="14"/>
        <v>0.6</v>
      </c>
      <c r="R127" s="573">
        <f t="shared" si="15"/>
        <v>0</v>
      </c>
      <c r="S127" s="332">
        <f>IF(L127="",0,(((O127*12)*L127)*(1+tab!$D$108)*IF(I127&gt;8,tab!$E$110,tab!$E$112)))</f>
        <v>0</v>
      </c>
      <c r="T127" s="580">
        <f t="shared" si="16"/>
        <v>0</v>
      </c>
      <c r="U127" s="243">
        <f t="shared" si="12"/>
        <v>0</v>
      </c>
      <c r="V127" s="332">
        <f t="shared" si="19"/>
        <v>0</v>
      </c>
      <c r="W127" s="624"/>
      <c r="X127" s="97"/>
      <c r="AA127" s="405"/>
      <c r="AJ127" s="405"/>
    </row>
    <row r="128" spans="2:36">
      <c r="B128" s="92"/>
      <c r="C128" s="131"/>
      <c r="D128" s="319"/>
      <c r="E128" s="319"/>
      <c r="F128" s="319"/>
      <c r="G128" s="319"/>
      <c r="H128" s="319"/>
      <c r="I128" s="139"/>
      <c r="J128" s="625"/>
      <c r="K128" s="575">
        <f>SUM(K78:K127)</f>
        <v>0</v>
      </c>
      <c r="L128" s="575">
        <f>SUM(L78:L127)</f>
        <v>0</v>
      </c>
      <c r="M128" s="575">
        <f>SUM(M78:M127)</f>
        <v>0</v>
      </c>
      <c r="N128" s="550"/>
      <c r="O128" s="309">
        <f>SUM(O78:O127)</f>
        <v>0</v>
      </c>
      <c r="P128" s="309">
        <f>SUM(P78:P127)</f>
        <v>0</v>
      </c>
      <c r="Q128" s="299"/>
      <c r="R128" s="344">
        <f>SUM(R78:R127)</f>
        <v>0</v>
      </c>
      <c r="S128" s="344">
        <f>SUM(S78:S127)</f>
        <v>0</v>
      </c>
      <c r="T128" s="309">
        <f>SUM(T78:T127)</f>
        <v>0</v>
      </c>
      <c r="U128" s="574">
        <f>SUM(U78:U127)</f>
        <v>0</v>
      </c>
      <c r="V128" s="344">
        <f>SUM(V78:V127)</f>
        <v>0</v>
      </c>
      <c r="W128" s="626"/>
      <c r="X128" s="97"/>
    </row>
    <row r="129" spans="1:41">
      <c r="B129" s="92"/>
      <c r="C129" s="141"/>
      <c r="D129" s="557"/>
      <c r="E129" s="557"/>
      <c r="F129" s="557"/>
      <c r="G129" s="557"/>
      <c r="H129" s="557"/>
      <c r="I129" s="146"/>
      <c r="J129" s="559"/>
      <c r="K129" s="560"/>
      <c r="L129" s="559"/>
      <c r="M129" s="560"/>
      <c r="N129" s="559"/>
      <c r="O129" s="559"/>
      <c r="P129" s="299"/>
      <c r="Q129" s="299"/>
      <c r="R129" s="299"/>
      <c r="S129" s="562"/>
      <c r="T129" s="299"/>
      <c r="U129" s="563"/>
      <c r="V129" s="562"/>
      <c r="W129" s="627"/>
      <c r="X129" s="97"/>
    </row>
    <row r="130" spans="1:41" ht="12.75" customHeight="1">
      <c r="B130" s="113"/>
      <c r="C130" s="114"/>
      <c r="D130" s="489"/>
      <c r="E130" s="489"/>
      <c r="F130" s="489"/>
      <c r="G130" s="489"/>
      <c r="H130" s="606"/>
      <c r="I130" s="118"/>
      <c r="J130" s="491"/>
      <c r="K130" s="492"/>
      <c r="L130" s="493"/>
      <c r="M130" s="493"/>
      <c r="N130" s="114"/>
      <c r="O130" s="496"/>
      <c r="P130" s="495"/>
      <c r="Q130" s="495"/>
      <c r="R130" s="495"/>
      <c r="S130" s="497"/>
      <c r="T130" s="498"/>
      <c r="U130" s="499"/>
      <c r="V130" s="497"/>
      <c r="W130" s="114"/>
      <c r="X130" s="120"/>
    </row>
    <row r="131" spans="1:41" ht="12.75" customHeight="1">
      <c r="H131" s="601"/>
      <c r="I131" s="67"/>
      <c r="K131" s="396"/>
      <c r="L131" s="349"/>
      <c r="O131" s="407"/>
      <c r="P131" s="395"/>
      <c r="Q131" s="395"/>
      <c r="R131" s="395"/>
      <c r="S131" s="224"/>
      <c r="T131" s="408"/>
      <c r="U131" s="84"/>
      <c r="V131" s="224"/>
    </row>
    <row r="132" spans="1:41" ht="12.75" customHeight="1">
      <c r="C132" s="68" t="s">
        <v>290</v>
      </c>
      <c r="E132" s="370" t="str">
        <f>dir!E63</f>
        <v>2014/15</v>
      </c>
      <c r="H132" s="601"/>
      <c r="I132" s="67"/>
      <c r="K132" s="396"/>
      <c r="L132" s="349"/>
      <c r="O132" s="407"/>
      <c r="P132" s="395"/>
      <c r="Q132" s="395"/>
      <c r="R132" s="395"/>
      <c r="S132" s="224"/>
      <c r="T132" s="408"/>
      <c r="U132" s="84"/>
      <c r="V132" s="224"/>
    </row>
    <row r="133" spans="1:41" ht="12.75" customHeight="1">
      <c r="C133" s="68" t="s">
        <v>291</v>
      </c>
      <c r="E133" s="370">
        <f>dir!E64</f>
        <v>41913</v>
      </c>
      <c r="H133" s="601"/>
      <c r="I133" s="67"/>
      <c r="K133" s="396"/>
      <c r="L133" s="349"/>
      <c r="O133" s="407"/>
      <c r="P133" s="395"/>
      <c r="Q133" s="395"/>
      <c r="R133" s="395"/>
      <c r="S133" s="224"/>
      <c r="T133" s="408"/>
      <c r="U133" s="84"/>
      <c r="V133" s="224"/>
    </row>
    <row r="134" spans="1:41" ht="12.75" customHeight="1">
      <c r="H134" s="601"/>
      <c r="I134" s="67"/>
      <c r="K134" s="396"/>
      <c r="L134" s="349"/>
      <c r="O134" s="407"/>
      <c r="P134" s="395"/>
      <c r="Q134" s="395"/>
      <c r="R134" s="395"/>
      <c r="S134" s="224"/>
      <c r="T134" s="408"/>
      <c r="U134" s="84"/>
      <c r="V134" s="224"/>
    </row>
    <row r="135" spans="1:41" ht="12.75" customHeight="1">
      <c r="C135" s="124"/>
      <c r="D135" s="628"/>
      <c r="E135" s="629"/>
      <c r="F135" s="630"/>
      <c r="G135" s="631"/>
      <c r="H135" s="632"/>
      <c r="I135" s="633"/>
      <c r="J135" s="633"/>
      <c r="K135" s="634"/>
      <c r="L135" s="633"/>
      <c r="M135" s="635"/>
      <c r="N135" s="636"/>
      <c r="O135" s="637"/>
      <c r="P135" s="636"/>
      <c r="Q135" s="636"/>
      <c r="R135" s="636"/>
      <c r="S135" s="638"/>
      <c r="T135" s="639"/>
      <c r="U135" s="640"/>
      <c r="V135" s="638"/>
      <c r="W135" s="130"/>
      <c r="AC135" s="596"/>
      <c r="AD135" s="597"/>
      <c r="AE135" s="596"/>
      <c r="AF135" s="596"/>
      <c r="AG135" s="596"/>
      <c r="AH135" s="348"/>
      <c r="AI135" s="598"/>
      <c r="AJ135" s="599"/>
      <c r="AK135" s="600"/>
      <c r="AL135" s="79"/>
      <c r="AM135" s="598"/>
    </row>
    <row r="136" spans="1:41" ht="12.75" customHeight="1">
      <c r="C136" s="620"/>
      <c r="D136" s="1176" t="s">
        <v>292</v>
      </c>
      <c r="E136" s="1177"/>
      <c r="F136" s="1177"/>
      <c r="G136" s="1177"/>
      <c r="H136" s="1177"/>
      <c r="I136" s="1178"/>
      <c r="J136" s="1178"/>
      <c r="K136" s="1178"/>
      <c r="L136" s="1178"/>
      <c r="M136" s="1178"/>
      <c r="N136" s="525"/>
      <c r="O136" s="1176" t="s">
        <v>293</v>
      </c>
      <c r="P136" s="1178"/>
      <c r="Q136" s="1178"/>
      <c r="R136" s="1178"/>
      <c r="S136" s="1178"/>
      <c r="T136" s="1178"/>
      <c r="U136" s="526"/>
      <c r="V136" s="242"/>
      <c r="W136" s="621"/>
      <c r="X136" s="393"/>
      <c r="Y136" s="393"/>
      <c r="Z136" s="349"/>
      <c r="AA136" s="85"/>
      <c r="AB136" s="349"/>
      <c r="AC136" s="68"/>
      <c r="AD136" s="68"/>
      <c r="AL136" s="68"/>
      <c r="AM136" s="68"/>
      <c r="AN136" s="393"/>
      <c r="AO136" s="393"/>
    </row>
    <row r="137" spans="1:41" ht="12.75" customHeight="1">
      <c r="C137" s="524"/>
      <c r="D137" s="528" t="s">
        <v>541</v>
      </c>
      <c r="E137" s="528" t="s">
        <v>294</v>
      </c>
      <c r="F137" s="528" t="s">
        <v>295</v>
      </c>
      <c r="G137" s="529" t="s">
        <v>296</v>
      </c>
      <c r="H137" s="530" t="s">
        <v>297</v>
      </c>
      <c r="I137" s="529" t="s">
        <v>302</v>
      </c>
      <c r="J137" s="529" t="s">
        <v>303</v>
      </c>
      <c r="K137" s="531" t="s">
        <v>305</v>
      </c>
      <c r="L137" s="532" t="s">
        <v>306</v>
      </c>
      <c r="M137" s="531" t="s">
        <v>307</v>
      </c>
      <c r="N137" s="528"/>
      <c r="O137" s="535" t="s">
        <v>304</v>
      </c>
      <c r="P137" s="535" t="s">
        <v>738</v>
      </c>
      <c r="Q137" s="587" t="s">
        <v>739</v>
      </c>
      <c r="R137" s="510"/>
      <c r="S137" s="536" t="s">
        <v>306</v>
      </c>
      <c r="T137" s="576" t="s">
        <v>308</v>
      </c>
      <c r="U137" s="537" t="s">
        <v>309</v>
      </c>
      <c r="V137" s="242" t="s">
        <v>740</v>
      </c>
      <c r="W137" s="538"/>
      <c r="X137" s="394"/>
      <c r="Y137" s="394"/>
      <c r="Z137" s="392"/>
      <c r="AA137" s="391"/>
      <c r="AB137" s="392"/>
      <c r="AC137" s="68"/>
      <c r="AD137" s="68"/>
      <c r="AL137" s="68"/>
      <c r="AM137" s="68"/>
      <c r="AN137" s="393"/>
      <c r="AO137" s="394"/>
    </row>
    <row r="138" spans="1:41" s="403" customFormat="1" ht="12.75" customHeight="1">
      <c r="A138" s="402"/>
      <c r="B138" s="402"/>
      <c r="C138" s="622"/>
      <c r="D138" s="540"/>
      <c r="E138" s="528"/>
      <c r="F138" s="532"/>
      <c r="G138" s="529" t="s">
        <v>312</v>
      </c>
      <c r="H138" s="530" t="s">
        <v>313</v>
      </c>
      <c r="I138" s="529"/>
      <c r="J138" s="529"/>
      <c r="K138" s="531" t="s">
        <v>316</v>
      </c>
      <c r="L138" s="532" t="s">
        <v>317</v>
      </c>
      <c r="M138" s="531" t="s">
        <v>318</v>
      </c>
      <c r="N138" s="528"/>
      <c r="O138" s="535" t="s">
        <v>315</v>
      </c>
      <c r="P138" s="535" t="s">
        <v>741</v>
      </c>
      <c r="Q138" s="577">
        <f>Q76</f>
        <v>0.6</v>
      </c>
      <c r="R138" s="510" t="s">
        <v>742</v>
      </c>
      <c r="S138" s="536" t="s">
        <v>310</v>
      </c>
      <c r="T138" s="576" t="s">
        <v>391</v>
      </c>
      <c r="U138" s="537"/>
      <c r="V138" s="536" t="s">
        <v>310</v>
      </c>
      <c r="W138" s="623"/>
      <c r="AO138" s="404"/>
    </row>
    <row r="139" spans="1:41" ht="12.75" customHeight="1">
      <c r="C139" s="131"/>
      <c r="D139" s="155"/>
      <c r="E139" s="155"/>
      <c r="F139" s="155"/>
      <c r="G139" s="155"/>
      <c r="H139" s="543"/>
      <c r="I139" s="544"/>
      <c r="J139" s="544"/>
      <c r="K139" s="545"/>
      <c r="L139" s="542"/>
      <c r="M139" s="545"/>
      <c r="N139" s="155"/>
      <c r="O139" s="546"/>
      <c r="P139" s="547"/>
      <c r="Q139" s="547"/>
      <c r="R139" s="547"/>
      <c r="S139" s="548"/>
      <c r="T139" s="547"/>
      <c r="U139" s="549"/>
      <c r="V139" s="548"/>
      <c r="W139" s="136"/>
      <c r="AC139" s="68"/>
      <c r="AD139" s="68"/>
      <c r="AL139" s="68"/>
      <c r="AM139" s="68"/>
      <c r="AO139" s="395"/>
    </row>
    <row r="140" spans="1:41" ht="12.75" customHeight="1">
      <c r="C140" s="131"/>
      <c r="D140" s="169" t="str">
        <f>IF(oop!D78="","",oop!D78)</f>
        <v/>
      </c>
      <c r="E140" s="169" t="str">
        <f>IF(oop!E78=0,"",oop!E78)</f>
        <v/>
      </c>
      <c r="F140" s="169" t="str">
        <f>IF(oop!F78=0,"",oop!F78)</f>
        <v/>
      </c>
      <c r="G140" s="170" t="str">
        <f>IF(oop!G78="","",oop!G78+1)</f>
        <v/>
      </c>
      <c r="H140" s="566" t="str">
        <f>IF(oop!H78="","",oop!H78)</f>
        <v/>
      </c>
      <c r="I140" s="170" t="str">
        <f>IF(oop!I78=0,"",oop!I78)</f>
        <v/>
      </c>
      <c r="J140" s="567" t="str">
        <f>IF(E140="","",(IF(oop!J78+1&gt;LOOKUP(I140,schaal2011,regels2011),oop!J78,oop!J78+1)))</f>
        <v/>
      </c>
      <c r="K140" s="568" t="str">
        <f>IF(oop!K78="","",oop!K78)</f>
        <v/>
      </c>
      <c r="L140" s="569" t="str">
        <f>IF(oop!L78="","",oop!L78)</f>
        <v/>
      </c>
      <c r="M140" s="570" t="str">
        <f t="shared" ref="M140:M164" si="20">(IF(L140="",(K140),(K140)-L140))</f>
        <v/>
      </c>
      <c r="N140" s="551"/>
      <c r="O140" s="573" t="str">
        <f>IF(I140="","",VLOOKUP(I140,tab!$A$119:$W$159,J140+3,FALSE))</f>
        <v/>
      </c>
      <c r="P140" s="572">
        <f t="shared" ref="P140:P171" si="21">IF(E140="",0,(O140*M140*12))</f>
        <v>0</v>
      </c>
      <c r="Q140" s="589">
        <f>$Q$138</f>
        <v>0.6</v>
      </c>
      <c r="R140" s="573">
        <f>IF(E140=0,"",(P140)*Q140)</f>
        <v>0</v>
      </c>
      <c r="S140" s="332">
        <f>IF(L140="",0,(((O140*12)*L140)*(1+tab!$D$108)*IF(I140&gt;8,tab!$E$110,tab!$E$112)))</f>
        <v>0</v>
      </c>
      <c r="T140" s="580">
        <f>IF(E140=0,0,(P140+R140+S140))</f>
        <v>0</v>
      </c>
      <c r="U140" s="243">
        <f t="shared" ref="U140:U189" si="22">IF(G140&lt;25,0,IF(G140=25,25,IF(G140&lt;40,0,IF(G140=40,40,IF(G140&gt;=40,0)))))</f>
        <v>0</v>
      </c>
      <c r="V140" s="332">
        <f t="shared" ref="V140:V171" si="23">IF(U140=25,(O140*1.08*(K140)/2),IF(U140=40,(O140*1.08*(K140)),IF(U140=0,0)))</f>
        <v>0</v>
      </c>
      <c r="W140" s="624"/>
      <c r="AA140" s="405"/>
      <c r="AJ140" s="405"/>
    </row>
    <row r="141" spans="1:41" ht="12.75" customHeight="1">
      <c r="C141" s="131"/>
      <c r="D141" s="169" t="str">
        <f>IF(oop!D79="","",oop!D79)</f>
        <v/>
      </c>
      <c r="E141" s="169" t="str">
        <f>IF(oop!E79=0,"",oop!E79)</f>
        <v/>
      </c>
      <c r="F141" s="169" t="str">
        <f>IF(oop!F79=0,"",oop!F79)</f>
        <v/>
      </c>
      <c r="G141" s="169" t="str">
        <f>IF(oop!G79="","",oop!G79+1)</f>
        <v/>
      </c>
      <c r="H141" s="641" t="str">
        <f>IF(oop!H79="","",oop!H79)</f>
        <v/>
      </c>
      <c r="I141" s="170" t="str">
        <f>IF(oop!I79=0,"",oop!I79)</f>
        <v/>
      </c>
      <c r="J141" s="567" t="str">
        <f>IF(E141="","",(IF(oop!J79+1&gt;LOOKUP(I141,schaal2011,regels2011),oop!J79,oop!J79+1)))</f>
        <v/>
      </c>
      <c r="K141" s="568" t="str">
        <f>IF(oop!K79="","",oop!K79)</f>
        <v/>
      </c>
      <c r="L141" s="569" t="str">
        <f>IF(oop!L79="","",oop!L79)</f>
        <v/>
      </c>
      <c r="M141" s="570" t="str">
        <f t="shared" si="20"/>
        <v/>
      </c>
      <c r="N141" s="551"/>
      <c r="O141" s="573" t="str">
        <f>IF(I141="","",VLOOKUP(I141,tab!$A$119:$W$159,J141+3,FALSE))</f>
        <v/>
      </c>
      <c r="P141" s="572">
        <f t="shared" si="21"/>
        <v>0</v>
      </c>
      <c r="Q141" s="589">
        <f t="shared" ref="Q141:Q189" si="24">$Q$138</f>
        <v>0.6</v>
      </c>
      <c r="R141" s="573">
        <f t="shared" ref="R141:R189" si="25">IF(E141=0,"",(P141)*Q141)</f>
        <v>0</v>
      </c>
      <c r="S141" s="332">
        <f>IF(L141="",0,(((O141*12)*L141)*(1+tab!$D$108)*IF(I141&gt;8,tab!$E$110,tab!$E$112)))</f>
        <v>0</v>
      </c>
      <c r="T141" s="580">
        <f t="shared" ref="T141:T189" si="26">IF(E141=0,0,(P141+R141+S141))</f>
        <v>0</v>
      </c>
      <c r="U141" s="243">
        <f t="shared" si="22"/>
        <v>0</v>
      </c>
      <c r="V141" s="332">
        <f t="shared" si="23"/>
        <v>0</v>
      </c>
      <c r="W141" s="624"/>
      <c r="AA141" s="405"/>
      <c r="AJ141" s="405"/>
    </row>
    <row r="142" spans="1:41" ht="12.75" customHeight="1">
      <c r="C142" s="131"/>
      <c r="D142" s="169" t="str">
        <f>IF(oop!D80="","",oop!D80)</f>
        <v/>
      </c>
      <c r="E142" s="169" t="str">
        <f>IF(oop!E80=0,"",oop!E80)</f>
        <v/>
      </c>
      <c r="F142" s="169" t="str">
        <f>IF(oop!F80=0,"",oop!F80)</f>
        <v/>
      </c>
      <c r="G142" s="169" t="str">
        <f>IF(oop!G80="","",oop!G80+1)</f>
        <v/>
      </c>
      <c r="H142" s="641" t="str">
        <f>IF(oop!H80="","",oop!H80)</f>
        <v/>
      </c>
      <c r="I142" s="170" t="str">
        <f>IF(oop!I80=0,"",oop!I80)</f>
        <v/>
      </c>
      <c r="J142" s="567" t="str">
        <f>IF(E142="","",(IF(oop!J80+1&gt;LOOKUP(I142,schaal2011,regels2011),oop!J80,oop!J80+1)))</f>
        <v/>
      </c>
      <c r="K142" s="568" t="str">
        <f>IF(oop!K80="","",oop!K80)</f>
        <v/>
      </c>
      <c r="L142" s="569" t="str">
        <f>IF(oop!L80="","",oop!L80)</f>
        <v/>
      </c>
      <c r="M142" s="570" t="str">
        <f t="shared" si="20"/>
        <v/>
      </c>
      <c r="N142" s="551"/>
      <c r="O142" s="573" t="str">
        <f>IF(I142="","",VLOOKUP(I142,tab!$A$119:$W$159,J142+3,FALSE))</f>
        <v/>
      </c>
      <c r="P142" s="572">
        <f t="shared" si="21"/>
        <v>0</v>
      </c>
      <c r="Q142" s="589">
        <f t="shared" si="24"/>
        <v>0.6</v>
      </c>
      <c r="R142" s="573">
        <f t="shared" si="25"/>
        <v>0</v>
      </c>
      <c r="S142" s="332">
        <f>IF(L142="",0,(((O142*12)*L142)*(1+tab!$D$108)*IF(I142&gt;8,tab!$E$110,tab!$E$112)))</f>
        <v>0</v>
      </c>
      <c r="T142" s="580">
        <f t="shared" si="26"/>
        <v>0</v>
      </c>
      <c r="U142" s="243">
        <f t="shared" si="22"/>
        <v>0</v>
      </c>
      <c r="V142" s="332">
        <f t="shared" si="23"/>
        <v>0</v>
      </c>
      <c r="W142" s="624"/>
      <c r="AA142" s="405"/>
      <c r="AJ142" s="405"/>
    </row>
    <row r="143" spans="1:41" ht="12.75" customHeight="1">
      <c r="C143" s="131"/>
      <c r="D143" s="169" t="str">
        <f>IF(oop!D81="","",oop!D81)</f>
        <v/>
      </c>
      <c r="E143" s="169" t="str">
        <f>IF(oop!E81=0,"",oop!E81)</f>
        <v/>
      </c>
      <c r="F143" s="169" t="str">
        <f>IF(oop!F81=0,"",oop!F81)</f>
        <v/>
      </c>
      <c r="G143" s="169" t="str">
        <f>IF(oop!G81="","",oop!G81+1)</f>
        <v/>
      </c>
      <c r="H143" s="641" t="str">
        <f>IF(oop!H81="","",oop!H81)</f>
        <v/>
      </c>
      <c r="I143" s="170" t="str">
        <f>IF(oop!I81=0,"",oop!I81)</f>
        <v/>
      </c>
      <c r="J143" s="567" t="str">
        <f>IF(E143="","",(IF(oop!J81+1&gt;LOOKUP(I143,schaal2011,regels2011),oop!J81,oop!J81+1)))</f>
        <v/>
      </c>
      <c r="K143" s="568" t="str">
        <f>IF(oop!K81="","",oop!K81)</f>
        <v/>
      </c>
      <c r="L143" s="569" t="str">
        <f>IF(oop!L81="","",oop!L81)</f>
        <v/>
      </c>
      <c r="M143" s="570" t="str">
        <f t="shared" si="20"/>
        <v/>
      </c>
      <c r="N143" s="551"/>
      <c r="O143" s="573" t="str">
        <f>IF(I143="","",VLOOKUP(I143,tab!$A$119:$W$159,J143+3,FALSE))</f>
        <v/>
      </c>
      <c r="P143" s="572">
        <f t="shared" si="21"/>
        <v>0</v>
      </c>
      <c r="Q143" s="589">
        <f t="shared" si="24"/>
        <v>0.6</v>
      </c>
      <c r="R143" s="573">
        <f t="shared" si="25"/>
        <v>0</v>
      </c>
      <c r="S143" s="332">
        <f>IF(L143="",0,(((O143*12)*L143)*(1+tab!$D$108)*IF(I143&gt;8,tab!$E$110,tab!$E$112)))</f>
        <v>0</v>
      </c>
      <c r="T143" s="580">
        <f t="shared" si="26"/>
        <v>0</v>
      </c>
      <c r="U143" s="243">
        <f t="shared" si="22"/>
        <v>0</v>
      </c>
      <c r="V143" s="332">
        <f t="shared" si="23"/>
        <v>0</v>
      </c>
      <c r="W143" s="624"/>
      <c r="AA143" s="405"/>
      <c r="AJ143" s="405"/>
    </row>
    <row r="144" spans="1:41" ht="12.75" customHeight="1">
      <c r="C144" s="131"/>
      <c r="D144" s="169" t="str">
        <f>IF(oop!D82="","",oop!D82)</f>
        <v/>
      </c>
      <c r="E144" s="169" t="str">
        <f>IF(oop!E82=0,"",oop!E82)</f>
        <v/>
      </c>
      <c r="F144" s="169" t="str">
        <f>IF(oop!F82=0,"",oop!F82)</f>
        <v/>
      </c>
      <c r="G144" s="169" t="str">
        <f>IF(oop!G82="","",oop!G82+1)</f>
        <v/>
      </c>
      <c r="H144" s="641" t="str">
        <f>IF(oop!H82="","",oop!H82)</f>
        <v/>
      </c>
      <c r="I144" s="170" t="str">
        <f>IF(oop!I82=0,"",oop!I82)</f>
        <v/>
      </c>
      <c r="J144" s="567" t="str">
        <f>IF(E144="","",(IF(oop!J82+1&gt;LOOKUP(I144,schaal2011,regels2011),oop!J82,oop!J82+1)))</f>
        <v/>
      </c>
      <c r="K144" s="568" t="str">
        <f>IF(oop!K82="","",oop!K82)</f>
        <v/>
      </c>
      <c r="L144" s="569" t="str">
        <f>IF(oop!L82="","",oop!L82)</f>
        <v/>
      </c>
      <c r="M144" s="570" t="str">
        <f t="shared" si="20"/>
        <v/>
      </c>
      <c r="N144" s="551"/>
      <c r="O144" s="573" t="str">
        <f>IF(I144="","",VLOOKUP(I144,tab!$A$119:$W$159,J144+3,FALSE))</f>
        <v/>
      </c>
      <c r="P144" s="572">
        <f t="shared" si="21"/>
        <v>0</v>
      </c>
      <c r="Q144" s="589">
        <f t="shared" si="24"/>
        <v>0.6</v>
      </c>
      <c r="R144" s="573">
        <f t="shared" si="25"/>
        <v>0</v>
      </c>
      <c r="S144" s="332">
        <f>IF(L144="",0,(((O144*12)*L144)*(1+tab!$D$108)*IF(I144&gt;8,tab!$E$110,tab!$E$112)))</f>
        <v>0</v>
      </c>
      <c r="T144" s="580">
        <f t="shared" si="26"/>
        <v>0</v>
      </c>
      <c r="U144" s="243">
        <f t="shared" si="22"/>
        <v>0</v>
      </c>
      <c r="V144" s="332">
        <f t="shared" si="23"/>
        <v>0</v>
      </c>
      <c r="W144" s="624"/>
      <c r="AA144" s="405"/>
      <c r="AJ144" s="405"/>
    </row>
    <row r="145" spans="3:36" ht="12.75" customHeight="1">
      <c r="C145" s="131"/>
      <c r="D145" s="169" t="str">
        <f>IF(oop!D83="","",oop!D83)</f>
        <v/>
      </c>
      <c r="E145" s="169" t="str">
        <f>IF(oop!E83=0,"",oop!E83)</f>
        <v/>
      </c>
      <c r="F145" s="169" t="str">
        <f>IF(oop!F83=0,"",oop!F83)</f>
        <v/>
      </c>
      <c r="G145" s="169" t="str">
        <f>IF(oop!G83="","",oop!G83+1)</f>
        <v/>
      </c>
      <c r="H145" s="641" t="str">
        <f>IF(oop!H83="","",oop!H83)</f>
        <v/>
      </c>
      <c r="I145" s="170" t="str">
        <f>IF(oop!I83=0,"",oop!I83)</f>
        <v/>
      </c>
      <c r="J145" s="567" t="str">
        <f>IF(E145="","",(IF(oop!J83+1&gt;LOOKUP(I145,schaal2011,regels2011),oop!J83,oop!J83+1)))</f>
        <v/>
      </c>
      <c r="K145" s="568" t="str">
        <f>IF(oop!K83="","",oop!K83)</f>
        <v/>
      </c>
      <c r="L145" s="569" t="str">
        <f>IF(oop!L83="","",oop!L83)</f>
        <v/>
      </c>
      <c r="M145" s="570" t="str">
        <f t="shared" si="20"/>
        <v/>
      </c>
      <c r="N145" s="551"/>
      <c r="O145" s="573" t="str">
        <f>IF(I145="","",VLOOKUP(I145,tab!$A$119:$W$159,J145+3,FALSE))</f>
        <v/>
      </c>
      <c r="P145" s="572">
        <f t="shared" si="21"/>
        <v>0</v>
      </c>
      <c r="Q145" s="589">
        <f t="shared" si="24"/>
        <v>0.6</v>
      </c>
      <c r="R145" s="573">
        <f t="shared" si="25"/>
        <v>0</v>
      </c>
      <c r="S145" s="332">
        <f>IF(L145="",0,(((O145*12)*L145)*(1+tab!$D$108)*IF(I145&gt;8,tab!$E$110,tab!$E$112)))</f>
        <v>0</v>
      </c>
      <c r="T145" s="580">
        <f t="shared" si="26"/>
        <v>0</v>
      </c>
      <c r="U145" s="243">
        <f t="shared" si="22"/>
        <v>0</v>
      </c>
      <c r="V145" s="332">
        <f t="shared" si="23"/>
        <v>0</v>
      </c>
      <c r="W145" s="624"/>
      <c r="AA145" s="405"/>
      <c r="AJ145" s="405"/>
    </row>
    <row r="146" spans="3:36" ht="12.75" customHeight="1">
      <c r="C146" s="131"/>
      <c r="D146" s="169" t="str">
        <f>IF(oop!D84="","",oop!D84)</f>
        <v/>
      </c>
      <c r="E146" s="169" t="str">
        <f>IF(oop!E84=0,"",oop!E84)</f>
        <v/>
      </c>
      <c r="F146" s="169" t="str">
        <f>IF(oop!F84=0,"",oop!F84)</f>
        <v/>
      </c>
      <c r="G146" s="169" t="str">
        <f>IF(oop!G84="","",oop!G84+1)</f>
        <v/>
      </c>
      <c r="H146" s="641" t="str">
        <f>IF(oop!H84="","",oop!H84)</f>
        <v/>
      </c>
      <c r="I146" s="170" t="str">
        <f>IF(oop!I84=0,"",oop!I84)</f>
        <v/>
      </c>
      <c r="J146" s="567" t="str">
        <f>IF(E146="","",(IF(oop!J84+1&gt;LOOKUP(I146,schaal2011,regels2011),oop!J84,oop!J84+1)))</f>
        <v/>
      </c>
      <c r="K146" s="568" t="str">
        <f>IF(oop!K84="","",oop!K84)</f>
        <v/>
      </c>
      <c r="L146" s="569" t="str">
        <f>IF(oop!L84="","",oop!L84)</f>
        <v/>
      </c>
      <c r="M146" s="570" t="str">
        <f t="shared" si="20"/>
        <v/>
      </c>
      <c r="N146" s="551"/>
      <c r="O146" s="573" t="str">
        <f>IF(I146="","",VLOOKUP(I146,tab!$A$119:$W$159,J146+3,FALSE))</f>
        <v/>
      </c>
      <c r="P146" s="572">
        <f t="shared" si="21"/>
        <v>0</v>
      </c>
      <c r="Q146" s="589">
        <f t="shared" si="24"/>
        <v>0.6</v>
      </c>
      <c r="R146" s="573">
        <f t="shared" si="25"/>
        <v>0</v>
      </c>
      <c r="S146" s="332">
        <f>IF(L146="",0,(((O146*12)*L146)*(1+tab!$D$108)*IF(I146&gt;8,tab!$E$110,tab!$E$112)))</f>
        <v>0</v>
      </c>
      <c r="T146" s="580">
        <f t="shared" si="26"/>
        <v>0</v>
      </c>
      <c r="U146" s="243">
        <f t="shared" si="22"/>
        <v>0</v>
      </c>
      <c r="V146" s="332">
        <f t="shared" si="23"/>
        <v>0</v>
      </c>
      <c r="W146" s="624"/>
      <c r="AA146" s="405"/>
      <c r="AJ146" s="405"/>
    </row>
    <row r="147" spans="3:36" ht="12.75" customHeight="1">
      <c r="C147" s="131"/>
      <c r="D147" s="169" t="str">
        <f>IF(oop!D85="","",oop!D85)</f>
        <v/>
      </c>
      <c r="E147" s="169" t="str">
        <f>IF(oop!E85=0,"",oop!E85)</f>
        <v/>
      </c>
      <c r="F147" s="169" t="str">
        <f>IF(oop!F85=0,"",oop!F85)</f>
        <v/>
      </c>
      <c r="G147" s="169" t="str">
        <f>IF(oop!G85="","",oop!G85+1)</f>
        <v/>
      </c>
      <c r="H147" s="641" t="str">
        <f>IF(oop!H85="","",oop!H85)</f>
        <v/>
      </c>
      <c r="I147" s="170" t="str">
        <f>IF(oop!I85=0,"",oop!I85)</f>
        <v/>
      </c>
      <c r="J147" s="567" t="str">
        <f>IF(E147="","",(IF(oop!J85+1&gt;LOOKUP(I147,schaal2011,regels2011),oop!J85,oop!J85+1)))</f>
        <v/>
      </c>
      <c r="K147" s="568" t="str">
        <f>IF(oop!K85="","",oop!K85)</f>
        <v/>
      </c>
      <c r="L147" s="569" t="str">
        <f>IF(oop!L85="","",oop!L85)</f>
        <v/>
      </c>
      <c r="M147" s="570" t="str">
        <f t="shared" si="20"/>
        <v/>
      </c>
      <c r="N147" s="551"/>
      <c r="O147" s="573" t="str">
        <f>IF(I147="","",VLOOKUP(I147,tab!$A$119:$W$159,J147+3,FALSE))</f>
        <v/>
      </c>
      <c r="P147" s="572">
        <f t="shared" si="21"/>
        <v>0</v>
      </c>
      <c r="Q147" s="589">
        <f t="shared" si="24"/>
        <v>0.6</v>
      </c>
      <c r="R147" s="573">
        <f t="shared" si="25"/>
        <v>0</v>
      </c>
      <c r="S147" s="332">
        <f>IF(L147="",0,(((O147*12)*L147)*(1+tab!$D$108)*IF(I147&gt;8,tab!$E$110,tab!$E$112)))</f>
        <v>0</v>
      </c>
      <c r="T147" s="580">
        <f t="shared" si="26"/>
        <v>0</v>
      </c>
      <c r="U147" s="243">
        <f t="shared" si="22"/>
        <v>0</v>
      </c>
      <c r="V147" s="332">
        <f t="shared" si="23"/>
        <v>0</v>
      </c>
      <c r="W147" s="624"/>
      <c r="AA147" s="405"/>
      <c r="AJ147" s="405"/>
    </row>
    <row r="148" spans="3:36" ht="12.75" customHeight="1">
      <c r="C148" s="131"/>
      <c r="D148" s="169" t="str">
        <f>IF(oop!D86="","",oop!D86)</f>
        <v/>
      </c>
      <c r="E148" s="169" t="str">
        <f>IF(oop!E86=0,"",oop!E86)</f>
        <v/>
      </c>
      <c r="F148" s="169" t="str">
        <f>IF(oop!F86=0,"",oop!F86)</f>
        <v/>
      </c>
      <c r="G148" s="169" t="str">
        <f>IF(oop!G86="","",oop!G86+1)</f>
        <v/>
      </c>
      <c r="H148" s="641" t="str">
        <f>IF(oop!H86="","",oop!H86)</f>
        <v/>
      </c>
      <c r="I148" s="170" t="str">
        <f>IF(oop!I86=0,"",oop!I86)</f>
        <v/>
      </c>
      <c r="J148" s="567" t="str">
        <f>IF(E148="","",(IF(oop!J86+1&gt;LOOKUP(I148,schaal2011,regels2011),oop!J86,oop!J86+1)))</f>
        <v/>
      </c>
      <c r="K148" s="568" t="str">
        <f>IF(oop!K86="","",oop!K86)</f>
        <v/>
      </c>
      <c r="L148" s="569" t="str">
        <f>IF(oop!L86="","",oop!L86)</f>
        <v/>
      </c>
      <c r="M148" s="570" t="str">
        <f t="shared" si="20"/>
        <v/>
      </c>
      <c r="N148" s="551"/>
      <c r="O148" s="573" t="str">
        <f>IF(I148="","",VLOOKUP(I148,tab!$A$119:$W$159,J148+3,FALSE))</f>
        <v/>
      </c>
      <c r="P148" s="572">
        <f t="shared" si="21"/>
        <v>0</v>
      </c>
      <c r="Q148" s="589">
        <f t="shared" si="24"/>
        <v>0.6</v>
      </c>
      <c r="R148" s="573">
        <f t="shared" si="25"/>
        <v>0</v>
      </c>
      <c r="S148" s="332">
        <f>IF(L148="",0,(((O148*12)*L148)*(1+tab!$D$108)*IF(I148&gt;8,tab!$E$110,tab!$E$112)))</f>
        <v>0</v>
      </c>
      <c r="T148" s="580">
        <f t="shared" si="26"/>
        <v>0</v>
      </c>
      <c r="U148" s="243">
        <f t="shared" si="22"/>
        <v>0</v>
      </c>
      <c r="V148" s="332">
        <f t="shared" si="23"/>
        <v>0</v>
      </c>
      <c r="W148" s="624"/>
      <c r="AA148" s="405"/>
      <c r="AJ148" s="405"/>
    </row>
    <row r="149" spans="3:36" ht="12.75" customHeight="1">
      <c r="C149" s="131"/>
      <c r="D149" s="169" t="str">
        <f>IF(oop!D87="","",oop!D87)</f>
        <v/>
      </c>
      <c r="E149" s="169" t="str">
        <f>IF(oop!E87=0,"",oop!E87)</f>
        <v/>
      </c>
      <c r="F149" s="169" t="str">
        <f>IF(oop!F87=0,"",oop!F87)</f>
        <v/>
      </c>
      <c r="G149" s="169" t="str">
        <f>IF(oop!G87="","",oop!G87+1)</f>
        <v/>
      </c>
      <c r="H149" s="641" t="str">
        <f>IF(oop!H87="","",oop!H87)</f>
        <v/>
      </c>
      <c r="I149" s="170" t="str">
        <f>IF(oop!I87=0,"",oop!I87)</f>
        <v/>
      </c>
      <c r="J149" s="567" t="str">
        <f>IF(E149="","",(IF(oop!J87+1&gt;LOOKUP(I149,schaal2011,regels2011),oop!J87,oop!J87+1)))</f>
        <v/>
      </c>
      <c r="K149" s="568" t="str">
        <f>IF(oop!K87="","",oop!K87)</f>
        <v/>
      </c>
      <c r="L149" s="569" t="str">
        <f>IF(oop!L87="","",oop!L87)</f>
        <v/>
      </c>
      <c r="M149" s="570" t="str">
        <f t="shared" si="20"/>
        <v/>
      </c>
      <c r="N149" s="551"/>
      <c r="O149" s="573" t="str">
        <f>IF(I149="","",VLOOKUP(I149,tab!$A$119:$W$159,J149+3,FALSE))</f>
        <v/>
      </c>
      <c r="P149" s="572">
        <f t="shared" si="21"/>
        <v>0</v>
      </c>
      <c r="Q149" s="589">
        <f t="shared" si="24"/>
        <v>0.6</v>
      </c>
      <c r="R149" s="573">
        <f t="shared" si="25"/>
        <v>0</v>
      </c>
      <c r="S149" s="332">
        <f>IF(L149="",0,(((O149*12)*L149)*(1+tab!$D$108)*IF(I149&gt;8,tab!$E$110,tab!$E$112)))</f>
        <v>0</v>
      </c>
      <c r="T149" s="580">
        <f t="shared" si="26"/>
        <v>0</v>
      </c>
      <c r="U149" s="243">
        <f t="shared" si="22"/>
        <v>0</v>
      </c>
      <c r="V149" s="332">
        <f t="shared" si="23"/>
        <v>0</v>
      </c>
      <c r="W149" s="624"/>
      <c r="AA149" s="405"/>
      <c r="AJ149" s="405"/>
    </row>
    <row r="150" spans="3:36" ht="12.75" customHeight="1">
      <c r="C150" s="131"/>
      <c r="D150" s="169" t="str">
        <f>IF(oop!D88="","",oop!D88)</f>
        <v/>
      </c>
      <c r="E150" s="169" t="str">
        <f>IF(oop!E88=0,"",oop!E88)</f>
        <v/>
      </c>
      <c r="F150" s="169" t="str">
        <f>IF(oop!F88=0,"",oop!F88)</f>
        <v/>
      </c>
      <c r="G150" s="169" t="str">
        <f>IF(oop!G88="","",oop!G88+1)</f>
        <v/>
      </c>
      <c r="H150" s="641" t="str">
        <f>IF(oop!H88="","",oop!H88)</f>
        <v/>
      </c>
      <c r="I150" s="170" t="str">
        <f>IF(oop!I88=0,"",oop!I88)</f>
        <v/>
      </c>
      <c r="J150" s="567" t="str">
        <f>IF(E150="","",(IF(oop!J88+1&gt;LOOKUP(I150,schaal2011,regels2011),oop!J88,oop!J88+1)))</f>
        <v/>
      </c>
      <c r="K150" s="568" t="str">
        <f>IF(oop!K88="","",oop!K88)</f>
        <v/>
      </c>
      <c r="L150" s="569" t="str">
        <f>IF(oop!L88="","",oop!L88)</f>
        <v/>
      </c>
      <c r="M150" s="570" t="str">
        <f t="shared" si="20"/>
        <v/>
      </c>
      <c r="N150" s="551"/>
      <c r="O150" s="573" t="str">
        <f>IF(I150="","",VLOOKUP(I150,tab!$A$119:$W$159,J150+3,FALSE))</f>
        <v/>
      </c>
      <c r="P150" s="572">
        <f t="shared" si="21"/>
        <v>0</v>
      </c>
      <c r="Q150" s="589">
        <f t="shared" si="24"/>
        <v>0.6</v>
      </c>
      <c r="R150" s="573">
        <f t="shared" si="25"/>
        <v>0</v>
      </c>
      <c r="S150" s="332">
        <f>IF(L150="",0,(((O150*12)*L150)*(1+tab!$D$108)*IF(I150&gt;8,tab!$E$110,tab!$E$112)))</f>
        <v>0</v>
      </c>
      <c r="T150" s="580">
        <f t="shared" si="26"/>
        <v>0</v>
      </c>
      <c r="U150" s="243">
        <f t="shared" si="22"/>
        <v>0</v>
      </c>
      <c r="V150" s="332">
        <f t="shared" si="23"/>
        <v>0</v>
      </c>
      <c r="W150" s="624"/>
      <c r="AA150" s="405"/>
      <c r="AJ150" s="405"/>
    </row>
    <row r="151" spans="3:36" ht="12.75" customHeight="1">
      <c r="C151" s="131"/>
      <c r="D151" s="169" t="str">
        <f>IF(oop!D89="","",oop!D89)</f>
        <v/>
      </c>
      <c r="E151" s="169" t="str">
        <f>IF(oop!E89=0,"",oop!E89)</f>
        <v/>
      </c>
      <c r="F151" s="169" t="str">
        <f>IF(oop!F89=0,"",oop!F89)</f>
        <v/>
      </c>
      <c r="G151" s="169" t="str">
        <f>IF(oop!G89="","",oop!G89+1)</f>
        <v/>
      </c>
      <c r="H151" s="641" t="str">
        <f>IF(oop!H89="","",oop!H89)</f>
        <v/>
      </c>
      <c r="I151" s="170" t="str">
        <f>IF(oop!I89=0,"",oop!I89)</f>
        <v/>
      </c>
      <c r="J151" s="567" t="str">
        <f>IF(E151="","",(IF(oop!J89+1&gt;LOOKUP(I151,schaal2011,regels2011),oop!J89,oop!J89+1)))</f>
        <v/>
      </c>
      <c r="K151" s="568" t="str">
        <f>IF(oop!K89="","",oop!K89)</f>
        <v/>
      </c>
      <c r="L151" s="569" t="str">
        <f>IF(oop!L89="","",oop!L89)</f>
        <v/>
      </c>
      <c r="M151" s="570" t="str">
        <f t="shared" si="20"/>
        <v/>
      </c>
      <c r="N151" s="551"/>
      <c r="O151" s="573" t="str">
        <f>IF(I151="","",VLOOKUP(I151,tab!$A$119:$W$159,J151+3,FALSE))</f>
        <v/>
      </c>
      <c r="P151" s="572">
        <f t="shared" si="21"/>
        <v>0</v>
      </c>
      <c r="Q151" s="589">
        <f t="shared" si="24"/>
        <v>0.6</v>
      </c>
      <c r="R151" s="573">
        <f t="shared" si="25"/>
        <v>0</v>
      </c>
      <c r="S151" s="332">
        <f>IF(L151="",0,(((O151*12)*L151)*(1+tab!$D$108)*IF(I151&gt;8,tab!$E$110,tab!$E$112)))</f>
        <v>0</v>
      </c>
      <c r="T151" s="580">
        <f t="shared" si="26"/>
        <v>0</v>
      </c>
      <c r="U151" s="243">
        <f t="shared" si="22"/>
        <v>0</v>
      </c>
      <c r="V151" s="332">
        <f t="shared" si="23"/>
        <v>0</v>
      </c>
      <c r="W151" s="624"/>
      <c r="AA151" s="405"/>
      <c r="AJ151" s="405"/>
    </row>
    <row r="152" spans="3:36" ht="12.75" customHeight="1">
      <c r="C152" s="131"/>
      <c r="D152" s="169" t="str">
        <f>IF(oop!D90="","",oop!D90)</f>
        <v/>
      </c>
      <c r="E152" s="169" t="str">
        <f>IF(oop!E90=0,"",oop!E90)</f>
        <v/>
      </c>
      <c r="F152" s="169" t="str">
        <f>IF(oop!F90=0,"",oop!F90)</f>
        <v/>
      </c>
      <c r="G152" s="169" t="str">
        <f>IF(oop!G90="","",oop!G90+1)</f>
        <v/>
      </c>
      <c r="H152" s="641" t="str">
        <f>IF(oop!H90="","",oop!H90)</f>
        <v/>
      </c>
      <c r="I152" s="170" t="str">
        <f>IF(oop!I90=0,"",oop!I90)</f>
        <v/>
      </c>
      <c r="J152" s="567" t="str">
        <f>IF(E152="","",(IF(oop!J90+1&gt;LOOKUP(I152,schaal2011,regels2011),oop!J90,oop!J90+1)))</f>
        <v/>
      </c>
      <c r="K152" s="568" t="str">
        <f>IF(oop!K90="","",oop!K90)</f>
        <v/>
      </c>
      <c r="L152" s="569" t="str">
        <f>IF(oop!L90="","",oop!L90)</f>
        <v/>
      </c>
      <c r="M152" s="570" t="str">
        <f t="shared" si="20"/>
        <v/>
      </c>
      <c r="N152" s="551"/>
      <c r="O152" s="573" t="str">
        <f>IF(I152="","",VLOOKUP(I152,tab!$A$119:$W$159,J152+3,FALSE))</f>
        <v/>
      </c>
      <c r="P152" s="572">
        <f t="shared" si="21"/>
        <v>0</v>
      </c>
      <c r="Q152" s="589">
        <f t="shared" si="24"/>
        <v>0.6</v>
      </c>
      <c r="R152" s="573">
        <f t="shared" si="25"/>
        <v>0</v>
      </c>
      <c r="S152" s="332">
        <f>IF(L152="",0,(((O152*12)*L152)*(1+tab!$D$108)*IF(I152&gt;8,tab!$E$110,tab!$E$112)))</f>
        <v>0</v>
      </c>
      <c r="T152" s="580">
        <f t="shared" si="26"/>
        <v>0</v>
      </c>
      <c r="U152" s="243">
        <f t="shared" si="22"/>
        <v>0</v>
      </c>
      <c r="V152" s="332">
        <f t="shared" si="23"/>
        <v>0</v>
      </c>
      <c r="W152" s="624"/>
      <c r="AA152" s="405"/>
      <c r="AJ152" s="405"/>
    </row>
    <row r="153" spans="3:36" ht="12.75" customHeight="1">
      <c r="C153" s="131"/>
      <c r="D153" s="169" t="str">
        <f>IF(oop!D91="","",oop!D91)</f>
        <v/>
      </c>
      <c r="E153" s="169" t="str">
        <f>IF(oop!E91=0,"",oop!E91)</f>
        <v/>
      </c>
      <c r="F153" s="169" t="str">
        <f>IF(oop!F91=0,"",oop!F91)</f>
        <v/>
      </c>
      <c r="G153" s="169" t="str">
        <f>IF(oop!G91="","",oop!G91+1)</f>
        <v/>
      </c>
      <c r="H153" s="641" t="str">
        <f>IF(oop!H91="","",oop!H91)</f>
        <v/>
      </c>
      <c r="I153" s="170" t="str">
        <f>IF(oop!I91=0,"",oop!I91)</f>
        <v/>
      </c>
      <c r="J153" s="567" t="str">
        <f>IF(E153="","",(IF(oop!J91+1&gt;LOOKUP(I153,schaal2011,regels2011),oop!J91,oop!J91+1)))</f>
        <v/>
      </c>
      <c r="K153" s="568" t="str">
        <f>IF(oop!K91="","",oop!K91)</f>
        <v/>
      </c>
      <c r="L153" s="569" t="str">
        <f>IF(oop!L91="","",oop!L91)</f>
        <v/>
      </c>
      <c r="M153" s="570" t="str">
        <f t="shared" si="20"/>
        <v/>
      </c>
      <c r="N153" s="551"/>
      <c r="O153" s="573" t="str">
        <f>IF(I153="","",VLOOKUP(I153,tab!$A$119:$W$159,J153+3,FALSE))</f>
        <v/>
      </c>
      <c r="P153" s="572">
        <f t="shared" si="21"/>
        <v>0</v>
      </c>
      <c r="Q153" s="589">
        <f t="shared" si="24"/>
        <v>0.6</v>
      </c>
      <c r="R153" s="573">
        <f t="shared" si="25"/>
        <v>0</v>
      </c>
      <c r="S153" s="332">
        <f>IF(L153="",0,(((O153*12)*L153)*(1+tab!$D$108)*IF(I153&gt;8,tab!$E$110,tab!$E$112)))</f>
        <v>0</v>
      </c>
      <c r="T153" s="580">
        <f t="shared" si="26"/>
        <v>0</v>
      </c>
      <c r="U153" s="243">
        <f t="shared" si="22"/>
        <v>0</v>
      </c>
      <c r="V153" s="332">
        <f t="shared" si="23"/>
        <v>0</v>
      </c>
      <c r="W153" s="624"/>
      <c r="AA153" s="405"/>
      <c r="AJ153" s="405"/>
    </row>
    <row r="154" spans="3:36" ht="12.75" customHeight="1">
      <c r="C154" s="131"/>
      <c r="D154" s="169" t="str">
        <f>IF(oop!D92="","",oop!D92)</f>
        <v/>
      </c>
      <c r="E154" s="169" t="str">
        <f>IF(oop!E92=0,"",oop!E92)</f>
        <v/>
      </c>
      <c r="F154" s="169" t="str">
        <f>IF(oop!F92=0,"",oop!F92)</f>
        <v/>
      </c>
      <c r="G154" s="169" t="str">
        <f>IF(oop!G92="","",oop!G92+1)</f>
        <v/>
      </c>
      <c r="H154" s="641" t="str">
        <f>IF(oop!H92="","",oop!H92)</f>
        <v/>
      </c>
      <c r="I154" s="170" t="str">
        <f>IF(oop!I92=0,"",oop!I92)</f>
        <v/>
      </c>
      <c r="J154" s="567" t="str">
        <f>IF(E154="","",(IF(oop!J92+1&gt;LOOKUP(I154,schaal2011,regels2011),oop!J92,oop!J92+1)))</f>
        <v/>
      </c>
      <c r="K154" s="568" t="str">
        <f>IF(oop!K92="","",oop!K92)</f>
        <v/>
      </c>
      <c r="L154" s="569" t="str">
        <f>IF(oop!L92="","",oop!L92)</f>
        <v/>
      </c>
      <c r="M154" s="570" t="str">
        <f t="shared" si="20"/>
        <v/>
      </c>
      <c r="N154" s="551"/>
      <c r="O154" s="573" t="str">
        <f>IF(I154="","",VLOOKUP(I154,tab!$A$119:$W$159,J154+3,FALSE))</f>
        <v/>
      </c>
      <c r="P154" s="572">
        <f t="shared" si="21"/>
        <v>0</v>
      </c>
      <c r="Q154" s="589">
        <f t="shared" si="24"/>
        <v>0.6</v>
      </c>
      <c r="R154" s="573">
        <f t="shared" si="25"/>
        <v>0</v>
      </c>
      <c r="S154" s="332">
        <f>IF(L154="",0,(((O154*12)*L154)*(1+tab!$D$108)*IF(I154&gt;8,tab!$E$110,tab!$E$112)))</f>
        <v>0</v>
      </c>
      <c r="T154" s="580">
        <f t="shared" si="26"/>
        <v>0</v>
      </c>
      <c r="U154" s="243">
        <f t="shared" si="22"/>
        <v>0</v>
      </c>
      <c r="V154" s="332">
        <f t="shared" si="23"/>
        <v>0</v>
      </c>
      <c r="W154" s="624"/>
      <c r="AA154" s="405"/>
      <c r="AJ154" s="405"/>
    </row>
    <row r="155" spans="3:36" ht="12.75" customHeight="1">
      <c r="C155" s="131"/>
      <c r="D155" s="169" t="str">
        <f>IF(oop!D93="","",oop!D93)</f>
        <v/>
      </c>
      <c r="E155" s="169" t="str">
        <f>IF(oop!E93=0,"",oop!E93)</f>
        <v/>
      </c>
      <c r="F155" s="169" t="str">
        <f>IF(oop!F93=0,"",oop!F93)</f>
        <v/>
      </c>
      <c r="G155" s="169" t="str">
        <f>IF(oop!G93="","",oop!G93+1)</f>
        <v/>
      </c>
      <c r="H155" s="641" t="str">
        <f>IF(oop!H93="","",oop!H93)</f>
        <v/>
      </c>
      <c r="I155" s="170" t="str">
        <f>IF(oop!I93=0,"",oop!I93)</f>
        <v/>
      </c>
      <c r="J155" s="567" t="str">
        <f>IF(E155="","",(IF(oop!J93+1&gt;LOOKUP(I155,schaal2011,regels2011),oop!J93,oop!J93+1)))</f>
        <v/>
      </c>
      <c r="K155" s="568" t="str">
        <f>IF(oop!K93="","",oop!K93)</f>
        <v/>
      </c>
      <c r="L155" s="569" t="str">
        <f>IF(oop!L93="","",oop!L93)</f>
        <v/>
      </c>
      <c r="M155" s="570" t="str">
        <f t="shared" si="20"/>
        <v/>
      </c>
      <c r="N155" s="551"/>
      <c r="O155" s="573" t="str">
        <f>IF(I155="","",VLOOKUP(I155,tab!$A$119:$W$159,J155+3,FALSE))</f>
        <v/>
      </c>
      <c r="P155" s="572">
        <f t="shared" si="21"/>
        <v>0</v>
      </c>
      <c r="Q155" s="589">
        <f t="shared" si="24"/>
        <v>0.6</v>
      </c>
      <c r="R155" s="573">
        <f t="shared" si="25"/>
        <v>0</v>
      </c>
      <c r="S155" s="332">
        <f>IF(L155="",0,(((O155*12)*L155)*(1+tab!$D$108)*IF(I155&gt;8,tab!$E$110,tab!$E$112)))</f>
        <v>0</v>
      </c>
      <c r="T155" s="580">
        <f t="shared" si="26"/>
        <v>0</v>
      </c>
      <c r="U155" s="243">
        <f t="shared" si="22"/>
        <v>0</v>
      </c>
      <c r="V155" s="332">
        <f t="shared" si="23"/>
        <v>0</v>
      </c>
      <c r="W155" s="624"/>
      <c r="AA155" s="405"/>
      <c r="AJ155" s="405"/>
    </row>
    <row r="156" spans="3:36" ht="12.75" customHeight="1">
      <c r="C156" s="131"/>
      <c r="D156" s="169" t="str">
        <f>IF(oop!D94="","",oop!D94)</f>
        <v/>
      </c>
      <c r="E156" s="169" t="str">
        <f>IF(oop!E94=0,"",oop!E94)</f>
        <v/>
      </c>
      <c r="F156" s="169" t="str">
        <f>IF(oop!F94=0,"",oop!F94)</f>
        <v/>
      </c>
      <c r="G156" s="169" t="str">
        <f>IF(oop!G94="","",oop!G94+1)</f>
        <v/>
      </c>
      <c r="H156" s="641" t="str">
        <f>IF(oop!H94="","",oop!H94)</f>
        <v/>
      </c>
      <c r="I156" s="170" t="str">
        <f>IF(oop!I94=0,"",oop!I94)</f>
        <v/>
      </c>
      <c r="J156" s="567" t="str">
        <f>IF(E156="","",(IF(oop!J94+1&gt;LOOKUP(I156,schaal2011,regels2011),oop!J94,oop!J94+1)))</f>
        <v/>
      </c>
      <c r="K156" s="568" t="str">
        <f>IF(oop!K94="","",oop!K94)</f>
        <v/>
      </c>
      <c r="L156" s="569" t="str">
        <f>IF(oop!L94="","",oop!L94)</f>
        <v/>
      </c>
      <c r="M156" s="570" t="str">
        <f t="shared" si="20"/>
        <v/>
      </c>
      <c r="N156" s="551"/>
      <c r="O156" s="573" t="str">
        <f>IF(I156="","",VLOOKUP(I156,tab!$A$119:$W$159,J156+3,FALSE))</f>
        <v/>
      </c>
      <c r="P156" s="572">
        <f t="shared" si="21"/>
        <v>0</v>
      </c>
      <c r="Q156" s="589">
        <f t="shared" si="24"/>
        <v>0.6</v>
      </c>
      <c r="R156" s="573">
        <f t="shared" si="25"/>
        <v>0</v>
      </c>
      <c r="S156" s="332">
        <f>IF(L156="",0,(((O156*12)*L156)*(1+tab!$D$108)*IF(I156&gt;8,tab!$E$110,tab!$E$112)))</f>
        <v>0</v>
      </c>
      <c r="T156" s="580">
        <f t="shared" si="26"/>
        <v>0</v>
      </c>
      <c r="U156" s="243">
        <f t="shared" si="22"/>
        <v>0</v>
      </c>
      <c r="V156" s="332">
        <f t="shared" si="23"/>
        <v>0</v>
      </c>
      <c r="W156" s="624"/>
      <c r="AA156" s="405"/>
      <c r="AJ156" s="405"/>
    </row>
    <row r="157" spans="3:36" ht="12.75" customHeight="1">
      <c r="C157" s="131"/>
      <c r="D157" s="169" t="str">
        <f>IF(oop!D95="","",oop!D95)</f>
        <v/>
      </c>
      <c r="E157" s="169" t="str">
        <f>IF(oop!E95=0,"",oop!E95)</f>
        <v/>
      </c>
      <c r="F157" s="169" t="str">
        <f>IF(oop!F95=0,"",oop!F95)</f>
        <v/>
      </c>
      <c r="G157" s="169" t="str">
        <f>IF(oop!G95="","",oop!G95+1)</f>
        <v/>
      </c>
      <c r="H157" s="641" t="str">
        <f>IF(oop!H95="","",oop!H95)</f>
        <v/>
      </c>
      <c r="I157" s="170" t="str">
        <f>IF(oop!I95=0,"",oop!I95)</f>
        <v/>
      </c>
      <c r="J157" s="567" t="str">
        <f>IF(E157="","",(IF(oop!J95+1&gt;LOOKUP(I157,schaal2011,regels2011),oop!J95,oop!J95+1)))</f>
        <v/>
      </c>
      <c r="K157" s="568" t="str">
        <f>IF(oop!K95="","",oop!K95)</f>
        <v/>
      </c>
      <c r="L157" s="569" t="str">
        <f>IF(oop!L95="","",oop!L95)</f>
        <v/>
      </c>
      <c r="M157" s="570" t="str">
        <f t="shared" si="20"/>
        <v/>
      </c>
      <c r="N157" s="551"/>
      <c r="O157" s="573" t="str">
        <f>IF(I157="","",VLOOKUP(I157,tab!$A$119:$W$159,J157+3,FALSE))</f>
        <v/>
      </c>
      <c r="P157" s="572">
        <f t="shared" si="21"/>
        <v>0</v>
      </c>
      <c r="Q157" s="589">
        <f t="shared" si="24"/>
        <v>0.6</v>
      </c>
      <c r="R157" s="573">
        <f t="shared" si="25"/>
        <v>0</v>
      </c>
      <c r="S157" s="332">
        <f>IF(L157="",0,(((O157*12)*L157)*(1+tab!$D$108)*IF(I157&gt;8,tab!$E$110,tab!$E$112)))</f>
        <v>0</v>
      </c>
      <c r="T157" s="580">
        <f t="shared" si="26"/>
        <v>0</v>
      </c>
      <c r="U157" s="243">
        <f t="shared" si="22"/>
        <v>0</v>
      </c>
      <c r="V157" s="332">
        <f t="shared" si="23"/>
        <v>0</v>
      </c>
      <c r="W157" s="624"/>
      <c r="AA157" s="405"/>
      <c r="AJ157" s="405"/>
    </row>
    <row r="158" spans="3:36" ht="12.75" customHeight="1">
      <c r="C158" s="131"/>
      <c r="D158" s="169" t="str">
        <f>IF(oop!D96="","",oop!D96)</f>
        <v/>
      </c>
      <c r="E158" s="169" t="str">
        <f>IF(oop!E96=0,"",oop!E96)</f>
        <v/>
      </c>
      <c r="F158" s="169" t="str">
        <f>IF(oop!F96=0,"",oop!F96)</f>
        <v/>
      </c>
      <c r="G158" s="169" t="str">
        <f>IF(oop!G96="","",oop!G96+1)</f>
        <v/>
      </c>
      <c r="H158" s="641" t="str">
        <f>IF(oop!H96="","",oop!H96)</f>
        <v/>
      </c>
      <c r="I158" s="170" t="str">
        <f>IF(oop!I96=0,"",oop!I96)</f>
        <v/>
      </c>
      <c r="J158" s="567" t="str">
        <f>IF(E158="","",(IF(oop!J96+1&gt;LOOKUP(I158,schaal2011,regels2011),oop!J96,oop!J96+1)))</f>
        <v/>
      </c>
      <c r="K158" s="568" t="str">
        <f>IF(oop!K96="","",oop!K96)</f>
        <v/>
      </c>
      <c r="L158" s="569" t="str">
        <f>IF(oop!L96="","",oop!L96)</f>
        <v/>
      </c>
      <c r="M158" s="570" t="str">
        <f t="shared" si="20"/>
        <v/>
      </c>
      <c r="N158" s="551"/>
      <c r="O158" s="573" t="str">
        <f>IF(I158="","",VLOOKUP(I158,tab!$A$119:$W$159,J158+3,FALSE))</f>
        <v/>
      </c>
      <c r="P158" s="572">
        <f t="shared" si="21"/>
        <v>0</v>
      </c>
      <c r="Q158" s="589">
        <f t="shared" si="24"/>
        <v>0.6</v>
      </c>
      <c r="R158" s="573">
        <f t="shared" si="25"/>
        <v>0</v>
      </c>
      <c r="S158" s="332">
        <f>IF(L158="",0,(((O158*12)*L158)*(1+tab!$D$108)*IF(I158&gt;8,tab!$E$110,tab!$E$112)))</f>
        <v>0</v>
      </c>
      <c r="T158" s="580">
        <f t="shared" si="26"/>
        <v>0</v>
      </c>
      <c r="U158" s="243">
        <f t="shared" si="22"/>
        <v>0</v>
      </c>
      <c r="V158" s="332">
        <f t="shared" si="23"/>
        <v>0</v>
      </c>
      <c r="W158" s="624"/>
      <c r="AA158" s="405"/>
      <c r="AJ158" s="405"/>
    </row>
    <row r="159" spans="3:36" ht="12.75" customHeight="1">
      <c r="C159" s="131"/>
      <c r="D159" s="169" t="str">
        <f>IF(oop!D97="","",oop!D97)</f>
        <v/>
      </c>
      <c r="E159" s="169" t="str">
        <f>IF(oop!E97=0,"",oop!E97)</f>
        <v/>
      </c>
      <c r="F159" s="169" t="str">
        <f>IF(oop!F97=0,"",oop!F97)</f>
        <v/>
      </c>
      <c r="G159" s="169" t="str">
        <f>IF(oop!G97="","",oop!G97+1)</f>
        <v/>
      </c>
      <c r="H159" s="641" t="str">
        <f>IF(oop!H97="","",oop!H97)</f>
        <v/>
      </c>
      <c r="I159" s="170" t="str">
        <f>IF(oop!I97=0,"",oop!I97)</f>
        <v/>
      </c>
      <c r="J159" s="567" t="str">
        <f>IF(E159="","",(IF(oop!J97+1&gt;LOOKUP(I159,schaal2011,regels2011),oop!J97,oop!J97+1)))</f>
        <v/>
      </c>
      <c r="K159" s="568" t="str">
        <f>IF(oop!K97="","",oop!K97)</f>
        <v/>
      </c>
      <c r="L159" s="569" t="str">
        <f>IF(oop!L97="","",oop!L97)</f>
        <v/>
      </c>
      <c r="M159" s="570" t="str">
        <f t="shared" si="20"/>
        <v/>
      </c>
      <c r="N159" s="551"/>
      <c r="O159" s="573" t="str">
        <f>IF(I159="","",VLOOKUP(I159,tab!$A$119:$W$159,J159+3,FALSE))</f>
        <v/>
      </c>
      <c r="P159" s="572">
        <f t="shared" si="21"/>
        <v>0</v>
      </c>
      <c r="Q159" s="589">
        <f t="shared" si="24"/>
        <v>0.6</v>
      </c>
      <c r="R159" s="573">
        <f t="shared" si="25"/>
        <v>0</v>
      </c>
      <c r="S159" s="332">
        <f>IF(L159="",0,(((O159*12)*L159)*(1+tab!$D$108)*IF(I159&gt;8,tab!$E$110,tab!$E$112)))</f>
        <v>0</v>
      </c>
      <c r="T159" s="580">
        <f t="shared" si="26"/>
        <v>0</v>
      </c>
      <c r="U159" s="243">
        <f t="shared" si="22"/>
        <v>0</v>
      </c>
      <c r="V159" s="332">
        <f t="shared" si="23"/>
        <v>0</v>
      </c>
      <c r="W159" s="624"/>
      <c r="AA159" s="405"/>
      <c r="AJ159" s="405"/>
    </row>
    <row r="160" spans="3:36" ht="12.75" customHeight="1">
      <c r="C160" s="131"/>
      <c r="D160" s="169" t="str">
        <f>IF(oop!D98="","",oop!D98)</f>
        <v/>
      </c>
      <c r="E160" s="169" t="str">
        <f>IF(oop!E98=0,"",oop!E98)</f>
        <v/>
      </c>
      <c r="F160" s="169" t="str">
        <f>IF(oop!F98=0,"",oop!F98)</f>
        <v/>
      </c>
      <c r="G160" s="169" t="str">
        <f>IF(oop!G98="","",oop!G98+1)</f>
        <v/>
      </c>
      <c r="H160" s="641" t="str">
        <f>IF(oop!H98="","",oop!H98)</f>
        <v/>
      </c>
      <c r="I160" s="170" t="str">
        <f>IF(oop!I98=0,"",oop!I98)</f>
        <v/>
      </c>
      <c r="J160" s="567" t="str">
        <f>IF(E160="","",(IF(oop!J98+1&gt;LOOKUP(I160,schaal2011,regels2011),oop!J98,oop!J98+1)))</f>
        <v/>
      </c>
      <c r="K160" s="568" t="str">
        <f>IF(oop!K98="","",oop!K98)</f>
        <v/>
      </c>
      <c r="L160" s="569" t="str">
        <f>IF(oop!L98="","",oop!L98)</f>
        <v/>
      </c>
      <c r="M160" s="570" t="str">
        <f t="shared" si="20"/>
        <v/>
      </c>
      <c r="N160" s="551"/>
      <c r="O160" s="573" t="str">
        <f>IF(I160="","",VLOOKUP(I160,tab!$A$119:$W$159,J160+3,FALSE))</f>
        <v/>
      </c>
      <c r="P160" s="572">
        <f t="shared" si="21"/>
        <v>0</v>
      </c>
      <c r="Q160" s="589">
        <f t="shared" si="24"/>
        <v>0.6</v>
      </c>
      <c r="R160" s="573">
        <f t="shared" si="25"/>
        <v>0</v>
      </c>
      <c r="S160" s="332">
        <f>IF(L160="",0,(((O160*12)*L160)*(1+tab!$D$108)*IF(I160&gt;8,tab!$E$110,tab!$E$112)))</f>
        <v>0</v>
      </c>
      <c r="T160" s="580">
        <f t="shared" si="26"/>
        <v>0</v>
      </c>
      <c r="U160" s="243">
        <f t="shared" si="22"/>
        <v>0</v>
      </c>
      <c r="V160" s="332">
        <f t="shared" si="23"/>
        <v>0</v>
      </c>
      <c r="W160" s="624"/>
      <c r="AA160" s="405"/>
      <c r="AJ160" s="405"/>
    </row>
    <row r="161" spans="3:36" ht="12.75" customHeight="1">
      <c r="C161" s="131"/>
      <c r="D161" s="169" t="str">
        <f>IF(oop!D99="","",oop!D99)</f>
        <v/>
      </c>
      <c r="E161" s="169" t="str">
        <f>IF(oop!E99=0,"",oop!E99)</f>
        <v/>
      </c>
      <c r="F161" s="169" t="str">
        <f>IF(oop!F99=0,"",oop!F99)</f>
        <v/>
      </c>
      <c r="G161" s="169" t="str">
        <f>IF(oop!G99="","",oop!G99+1)</f>
        <v/>
      </c>
      <c r="H161" s="641" t="str">
        <f>IF(oop!H99="","",oop!H99)</f>
        <v/>
      </c>
      <c r="I161" s="170" t="str">
        <f>IF(oop!I99=0,"",oop!I99)</f>
        <v/>
      </c>
      <c r="J161" s="567" t="str">
        <f>IF(E161="","",(IF(oop!J99+1&gt;LOOKUP(I161,schaal2011,regels2011),oop!J99,oop!J99+1)))</f>
        <v/>
      </c>
      <c r="K161" s="568" t="str">
        <f>IF(oop!K99="","",oop!K99)</f>
        <v/>
      </c>
      <c r="L161" s="569" t="str">
        <f>IF(oop!L99="","",oop!L99)</f>
        <v/>
      </c>
      <c r="M161" s="570" t="str">
        <f t="shared" si="20"/>
        <v/>
      </c>
      <c r="N161" s="551"/>
      <c r="O161" s="573" t="str">
        <f>IF(I161="","",VLOOKUP(I161,tab!$A$119:$W$159,J161+3,FALSE))</f>
        <v/>
      </c>
      <c r="P161" s="572">
        <f t="shared" si="21"/>
        <v>0</v>
      </c>
      <c r="Q161" s="589">
        <f t="shared" si="24"/>
        <v>0.6</v>
      </c>
      <c r="R161" s="573">
        <f t="shared" si="25"/>
        <v>0</v>
      </c>
      <c r="S161" s="332">
        <f>IF(L161="",0,(((O161*12)*L161)*(1+tab!$D$108)*IF(I161&gt;8,tab!$E$110,tab!$E$112)))</f>
        <v>0</v>
      </c>
      <c r="T161" s="580">
        <f t="shared" si="26"/>
        <v>0</v>
      </c>
      <c r="U161" s="243">
        <f t="shared" si="22"/>
        <v>0</v>
      </c>
      <c r="V161" s="332">
        <f t="shared" si="23"/>
        <v>0</v>
      </c>
      <c r="W161" s="624"/>
      <c r="AA161" s="405"/>
      <c r="AJ161" s="405"/>
    </row>
    <row r="162" spans="3:36" ht="12.75" customHeight="1">
      <c r="C162" s="131"/>
      <c r="D162" s="169" t="str">
        <f>IF(oop!D100="","",oop!D100)</f>
        <v/>
      </c>
      <c r="E162" s="169" t="str">
        <f>IF(oop!E100=0,"",oop!E100)</f>
        <v/>
      </c>
      <c r="F162" s="169" t="str">
        <f>IF(oop!F100=0,"",oop!F100)</f>
        <v/>
      </c>
      <c r="G162" s="169" t="str">
        <f>IF(oop!G100="","",oop!G100+1)</f>
        <v/>
      </c>
      <c r="H162" s="641" t="str">
        <f>IF(oop!H100="","",oop!H100)</f>
        <v/>
      </c>
      <c r="I162" s="170" t="str">
        <f>IF(oop!I100=0,"",oop!I100)</f>
        <v/>
      </c>
      <c r="J162" s="567" t="str">
        <f>IF(E162="","",(IF(oop!J100+1&gt;LOOKUP(I162,schaal2011,regels2011),oop!J100,oop!J100+1)))</f>
        <v/>
      </c>
      <c r="K162" s="568" t="str">
        <f>IF(oop!K100="","",oop!K100)</f>
        <v/>
      </c>
      <c r="L162" s="569" t="str">
        <f>IF(oop!L100="","",oop!L100)</f>
        <v/>
      </c>
      <c r="M162" s="570" t="str">
        <f t="shared" si="20"/>
        <v/>
      </c>
      <c r="N162" s="551"/>
      <c r="O162" s="573" t="str">
        <f>IF(I162="","",VLOOKUP(I162,tab!$A$119:$W$159,J162+3,FALSE))</f>
        <v/>
      </c>
      <c r="P162" s="572">
        <f t="shared" si="21"/>
        <v>0</v>
      </c>
      <c r="Q162" s="589">
        <f t="shared" si="24"/>
        <v>0.6</v>
      </c>
      <c r="R162" s="573">
        <f t="shared" si="25"/>
        <v>0</v>
      </c>
      <c r="S162" s="332">
        <f>IF(L162="",0,(((O162*12)*L162)*(1+tab!$D$108)*IF(I162&gt;8,tab!$E$110,tab!$E$112)))</f>
        <v>0</v>
      </c>
      <c r="T162" s="580">
        <f t="shared" si="26"/>
        <v>0</v>
      </c>
      <c r="U162" s="243">
        <f t="shared" si="22"/>
        <v>0</v>
      </c>
      <c r="V162" s="332">
        <f t="shared" si="23"/>
        <v>0</v>
      </c>
      <c r="W162" s="624"/>
      <c r="AA162" s="405"/>
      <c r="AJ162" s="405"/>
    </row>
    <row r="163" spans="3:36" ht="12.75" customHeight="1">
      <c r="C163" s="131"/>
      <c r="D163" s="169" t="str">
        <f>IF(oop!D101="","",oop!D101)</f>
        <v/>
      </c>
      <c r="E163" s="169" t="str">
        <f>IF(oop!E101=0,"",oop!E101)</f>
        <v/>
      </c>
      <c r="F163" s="169" t="str">
        <f>IF(oop!F101=0,"",oop!F101)</f>
        <v/>
      </c>
      <c r="G163" s="169" t="str">
        <f>IF(oop!G101="","",oop!G101+1)</f>
        <v/>
      </c>
      <c r="H163" s="641" t="str">
        <f>IF(oop!H101="","",oop!H101)</f>
        <v/>
      </c>
      <c r="I163" s="170" t="str">
        <f>IF(oop!I101=0,"",oop!I101)</f>
        <v/>
      </c>
      <c r="J163" s="567" t="str">
        <f>IF(E163="","",(IF(oop!J101+1&gt;LOOKUP(I163,schaal2011,regels2011),oop!J101,oop!J101+1)))</f>
        <v/>
      </c>
      <c r="K163" s="568" t="str">
        <f>IF(oop!K101="","",oop!K101)</f>
        <v/>
      </c>
      <c r="L163" s="569" t="str">
        <f>IF(oop!L101="","",oop!L101)</f>
        <v/>
      </c>
      <c r="M163" s="570" t="str">
        <f t="shared" si="20"/>
        <v/>
      </c>
      <c r="N163" s="551"/>
      <c r="O163" s="573" t="str">
        <f>IF(I163="","",VLOOKUP(I163,tab!$A$119:$W$159,J163+3,FALSE))</f>
        <v/>
      </c>
      <c r="P163" s="572">
        <f t="shared" si="21"/>
        <v>0</v>
      </c>
      <c r="Q163" s="589">
        <f t="shared" si="24"/>
        <v>0.6</v>
      </c>
      <c r="R163" s="573">
        <f t="shared" si="25"/>
        <v>0</v>
      </c>
      <c r="S163" s="332">
        <f>IF(L163="",0,(((O163*12)*L163)*(1+tab!$D$108)*IF(I163&gt;8,tab!$E$110,tab!$E$112)))</f>
        <v>0</v>
      </c>
      <c r="T163" s="580">
        <f t="shared" si="26"/>
        <v>0</v>
      </c>
      <c r="U163" s="243">
        <f t="shared" si="22"/>
        <v>0</v>
      </c>
      <c r="V163" s="332">
        <f t="shared" si="23"/>
        <v>0</v>
      </c>
      <c r="W163" s="624"/>
      <c r="AA163" s="405"/>
      <c r="AJ163" s="405"/>
    </row>
    <row r="164" spans="3:36" ht="12.75" customHeight="1">
      <c r="C164" s="131"/>
      <c r="D164" s="169" t="str">
        <f>IF(oop!D102="","",oop!D102)</f>
        <v/>
      </c>
      <c r="E164" s="169" t="str">
        <f>IF(oop!E102=0,"",oop!E102)</f>
        <v/>
      </c>
      <c r="F164" s="169" t="str">
        <f>IF(oop!F102=0,"",oop!F102)</f>
        <v/>
      </c>
      <c r="G164" s="169" t="str">
        <f>IF(oop!G102="","",oop!G102+1)</f>
        <v/>
      </c>
      <c r="H164" s="641" t="str">
        <f>IF(oop!H102="","",oop!H102)</f>
        <v/>
      </c>
      <c r="I164" s="170" t="str">
        <f>IF(oop!I102=0,"",oop!I102)</f>
        <v/>
      </c>
      <c r="J164" s="567" t="str">
        <f>IF(E164="","",(IF(oop!J102+1&gt;LOOKUP(I164,schaal2011,regels2011),oop!J102,oop!J102+1)))</f>
        <v/>
      </c>
      <c r="K164" s="568" t="str">
        <f>IF(oop!K102="","",oop!K102)</f>
        <v/>
      </c>
      <c r="L164" s="569" t="str">
        <f>IF(oop!L102="","",oop!L102)</f>
        <v/>
      </c>
      <c r="M164" s="570" t="str">
        <f t="shared" si="20"/>
        <v/>
      </c>
      <c r="N164" s="551"/>
      <c r="O164" s="573" t="str">
        <f>IF(I164="","",VLOOKUP(I164,tab!$A$119:$W$159,J164+3,FALSE))</f>
        <v/>
      </c>
      <c r="P164" s="572">
        <f t="shared" si="21"/>
        <v>0</v>
      </c>
      <c r="Q164" s="589">
        <f t="shared" si="24"/>
        <v>0.6</v>
      </c>
      <c r="R164" s="573">
        <f t="shared" si="25"/>
        <v>0</v>
      </c>
      <c r="S164" s="332">
        <f>IF(L164="",0,(((O164*12)*L164)*(1+tab!$D$108)*IF(I164&gt;8,tab!$E$110,tab!$E$112)))</f>
        <v>0</v>
      </c>
      <c r="T164" s="580">
        <f t="shared" si="26"/>
        <v>0</v>
      </c>
      <c r="U164" s="243">
        <f t="shared" si="22"/>
        <v>0</v>
      </c>
      <c r="V164" s="332">
        <f t="shared" si="23"/>
        <v>0</v>
      </c>
      <c r="W164" s="624"/>
      <c r="AA164" s="405"/>
      <c r="AJ164" s="405"/>
    </row>
    <row r="165" spans="3:36" ht="12.75" customHeight="1">
      <c r="C165" s="131"/>
      <c r="D165" s="169" t="str">
        <f>IF(oop!D103="","",oop!D103)</f>
        <v/>
      </c>
      <c r="E165" s="169" t="str">
        <f>IF(oop!E103=0,"",oop!E103)</f>
        <v/>
      </c>
      <c r="F165" s="169" t="str">
        <f>IF(oop!F103=0,"",oop!F103)</f>
        <v/>
      </c>
      <c r="G165" s="169" t="str">
        <f>IF(oop!G103="","",oop!G103+1)</f>
        <v/>
      </c>
      <c r="H165" s="641" t="str">
        <f>IF(oop!H103="","",oop!H103)</f>
        <v/>
      </c>
      <c r="I165" s="170" t="str">
        <f>IF(oop!I103=0,"",oop!I103)</f>
        <v/>
      </c>
      <c r="J165" s="567" t="str">
        <f>IF(E165="","",(IF(oop!J103+1&gt;LOOKUP(I165,schaal2011,regels2011),oop!J103,oop!J103+1)))</f>
        <v/>
      </c>
      <c r="K165" s="568" t="str">
        <f>IF(oop!K103="","",oop!K103)</f>
        <v/>
      </c>
      <c r="L165" s="569" t="str">
        <f>IF(oop!L103="","",oop!L103)</f>
        <v/>
      </c>
      <c r="M165" s="570" t="str">
        <f t="shared" ref="M165:M189" si="27">(IF(L165="",(K165),(K165)-L165))</f>
        <v/>
      </c>
      <c r="N165" s="551"/>
      <c r="O165" s="573" t="str">
        <f>IF(I165="","",VLOOKUP(I165,tab!$A$119:$W$159,J165+3,FALSE))</f>
        <v/>
      </c>
      <c r="P165" s="572">
        <f t="shared" si="21"/>
        <v>0</v>
      </c>
      <c r="Q165" s="589">
        <f t="shared" si="24"/>
        <v>0.6</v>
      </c>
      <c r="R165" s="573">
        <f t="shared" si="25"/>
        <v>0</v>
      </c>
      <c r="S165" s="332">
        <f>IF(L165="",0,(((O165*12)*L165)*(1+tab!$D$108)*IF(I165&gt;8,tab!$E$110,tab!$E$112)))</f>
        <v>0</v>
      </c>
      <c r="T165" s="580">
        <f t="shared" si="26"/>
        <v>0</v>
      </c>
      <c r="U165" s="243">
        <f t="shared" si="22"/>
        <v>0</v>
      </c>
      <c r="V165" s="332">
        <f t="shared" si="23"/>
        <v>0</v>
      </c>
      <c r="W165" s="624"/>
      <c r="AA165" s="405"/>
      <c r="AJ165" s="405"/>
    </row>
    <row r="166" spans="3:36" ht="12.75" customHeight="1">
      <c r="C166" s="131"/>
      <c r="D166" s="169" t="str">
        <f>IF(oop!D104="","",oop!D104)</f>
        <v/>
      </c>
      <c r="E166" s="169" t="str">
        <f>IF(oop!E104=0,"",oop!E104)</f>
        <v/>
      </c>
      <c r="F166" s="169" t="str">
        <f>IF(oop!F104=0,"",oop!F104)</f>
        <v/>
      </c>
      <c r="G166" s="169" t="str">
        <f>IF(oop!G104="","",oop!G104+1)</f>
        <v/>
      </c>
      <c r="H166" s="641" t="str">
        <f>IF(oop!H104="","",oop!H104)</f>
        <v/>
      </c>
      <c r="I166" s="170" t="str">
        <f>IF(oop!I104=0,"",oop!I104)</f>
        <v/>
      </c>
      <c r="J166" s="567" t="str">
        <f>IF(E166="","",(IF(oop!J104+1&gt;LOOKUP(I166,schaal2011,regels2011),oop!J104,oop!J104+1)))</f>
        <v/>
      </c>
      <c r="K166" s="568" t="str">
        <f>IF(oop!K104="","",oop!K104)</f>
        <v/>
      </c>
      <c r="L166" s="569" t="str">
        <f>IF(oop!L104="","",oop!L104)</f>
        <v/>
      </c>
      <c r="M166" s="570" t="str">
        <f t="shared" si="27"/>
        <v/>
      </c>
      <c r="N166" s="551"/>
      <c r="O166" s="573" t="str">
        <f>IF(I166="","",VLOOKUP(I166,tab!$A$119:$W$159,J166+3,FALSE))</f>
        <v/>
      </c>
      <c r="P166" s="572">
        <f t="shared" si="21"/>
        <v>0</v>
      </c>
      <c r="Q166" s="589">
        <f t="shared" si="24"/>
        <v>0.6</v>
      </c>
      <c r="R166" s="573">
        <f t="shared" si="25"/>
        <v>0</v>
      </c>
      <c r="S166" s="332">
        <f>IF(L166="",0,(((O166*12)*L166)*(1+tab!$D$108)*IF(I166&gt;8,tab!$E$110,tab!$E$112)))</f>
        <v>0</v>
      </c>
      <c r="T166" s="580">
        <f t="shared" si="26"/>
        <v>0</v>
      </c>
      <c r="U166" s="243">
        <f t="shared" si="22"/>
        <v>0</v>
      </c>
      <c r="V166" s="332">
        <f t="shared" si="23"/>
        <v>0</v>
      </c>
      <c r="W166" s="624"/>
      <c r="AA166" s="405"/>
      <c r="AJ166" s="405"/>
    </row>
    <row r="167" spans="3:36" ht="12.75" customHeight="1">
      <c r="C167" s="131"/>
      <c r="D167" s="169" t="str">
        <f>IF(oop!D105="","",oop!D105)</f>
        <v/>
      </c>
      <c r="E167" s="169" t="str">
        <f>IF(oop!E105=0,"",oop!E105)</f>
        <v/>
      </c>
      <c r="F167" s="169" t="str">
        <f>IF(oop!F105=0,"",oop!F105)</f>
        <v/>
      </c>
      <c r="G167" s="169" t="str">
        <f>IF(oop!G105="","",oop!G105+1)</f>
        <v/>
      </c>
      <c r="H167" s="641" t="str">
        <f>IF(oop!H105="","",oop!H105)</f>
        <v/>
      </c>
      <c r="I167" s="170" t="str">
        <f>IF(oop!I105=0,"",oop!I105)</f>
        <v/>
      </c>
      <c r="J167" s="567" t="str">
        <f>IF(E167="","",(IF(oop!J105+1&gt;LOOKUP(I167,schaal2011,regels2011),oop!J105,oop!J105+1)))</f>
        <v/>
      </c>
      <c r="K167" s="568" t="str">
        <f>IF(oop!K105="","",oop!K105)</f>
        <v/>
      </c>
      <c r="L167" s="569" t="str">
        <f>IF(oop!L105="","",oop!L105)</f>
        <v/>
      </c>
      <c r="M167" s="570" t="str">
        <f t="shared" si="27"/>
        <v/>
      </c>
      <c r="N167" s="551"/>
      <c r="O167" s="573" t="str">
        <f>IF(I167="","",VLOOKUP(I167,tab!$A$119:$W$159,J167+3,FALSE))</f>
        <v/>
      </c>
      <c r="P167" s="572">
        <f t="shared" si="21"/>
        <v>0</v>
      </c>
      <c r="Q167" s="589">
        <f t="shared" si="24"/>
        <v>0.6</v>
      </c>
      <c r="R167" s="573">
        <f t="shared" si="25"/>
        <v>0</v>
      </c>
      <c r="S167" s="332">
        <f>IF(L167="",0,(((O167*12)*L167)*(1+tab!$D$108)*IF(I167&gt;8,tab!$E$110,tab!$E$112)))</f>
        <v>0</v>
      </c>
      <c r="T167" s="580">
        <f t="shared" si="26"/>
        <v>0</v>
      </c>
      <c r="U167" s="243">
        <f t="shared" si="22"/>
        <v>0</v>
      </c>
      <c r="V167" s="332">
        <f t="shared" si="23"/>
        <v>0</v>
      </c>
      <c r="W167" s="624"/>
      <c r="AA167" s="405"/>
      <c r="AJ167" s="405"/>
    </row>
    <row r="168" spans="3:36" ht="12.75" customHeight="1">
      <c r="C168" s="131"/>
      <c r="D168" s="169" t="str">
        <f>IF(oop!D106="","",oop!D106)</f>
        <v/>
      </c>
      <c r="E168" s="169" t="str">
        <f>IF(oop!E106=0,"",oop!E106)</f>
        <v/>
      </c>
      <c r="F168" s="169" t="str">
        <f>IF(oop!F106=0,"",oop!F106)</f>
        <v/>
      </c>
      <c r="G168" s="169" t="str">
        <f>IF(oop!G106="","",oop!G106+1)</f>
        <v/>
      </c>
      <c r="H168" s="641" t="str">
        <f>IF(oop!H106="","",oop!H106)</f>
        <v/>
      </c>
      <c r="I168" s="170" t="str">
        <f>IF(oop!I106=0,"",oop!I106)</f>
        <v/>
      </c>
      <c r="J168" s="567" t="str">
        <f>IF(E168="","",(IF(oop!J106+1&gt;LOOKUP(I168,schaal2011,regels2011),oop!J106,oop!J106+1)))</f>
        <v/>
      </c>
      <c r="K168" s="568" t="str">
        <f>IF(oop!K106="","",oop!K106)</f>
        <v/>
      </c>
      <c r="L168" s="569" t="str">
        <f>IF(oop!L106="","",oop!L106)</f>
        <v/>
      </c>
      <c r="M168" s="570" t="str">
        <f t="shared" si="27"/>
        <v/>
      </c>
      <c r="N168" s="551"/>
      <c r="O168" s="573" t="str">
        <f>IF(I168="","",VLOOKUP(I168,tab!$A$119:$W$159,J168+3,FALSE))</f>
        <v/>
      </c>
      <c r="P168" s="572">
        <f t="shared" si="21"/>
        <v>0</v>
      </c>
      <c r="Q168" s="589">
        <f t="shared" si="24"/>
        <v>0.6</v>
      </c>
      <c r="R168" s="573">
        <f t="shared" si="25"/>
        <v>0</v>
      </c>
      <c r="S168" s="332">
        <f>IF(L168="",0,(((O168*12)*L168)*(1+tab!$D$108)*IF(I168&gt;8,tab!$E$110,tab!$E$112)))</f>
        <v>0</v>
      </c>
      <c r="T168" s="580">
        <f t="shared" si="26"/>
        <v>0</v>
      </c>
      <c r="U168" s="243">
        <f t="shared" si="22"/>
        <v>0</v>
      </c>
      <c r="V168" s="332">
        <f t="shared" si="23"/>
        <v>0</v>
      </c>
      <c r="W168" s="624"/>
      <c r="AA168" s="405"/>
      <c r="AJ168" s="405"/>
    </row>
    <row r="169" spans="3:36" ht="12.75" customHeight="1">
      <c r="C169" s="131"/>
      <c r="D169" s="169" t="str">
        <f>IF(oop!D107="","",oop!D107)</f>
        <v/>
      </c>
      <c r="E169" s="169" t="str">
        <f>IF(oop!E107=0,"",oop!E107)</f>
        <v/>
      </c>
      <c r="F169" s="169" t="str">
        <f>IF(oop!F107=0,"",oop!F107)</f>
        <v/>
      </c>
      <c r="G169" s="169" t="str">
        <f>IF(oop!G107="","",oop!G107+1)</f>
        <v/>
      </c>
      <c r="H169" s="641" t="str">
        <f>IF(oop!H107="","",oop!H107)</f>
        <v/>
      </c>
      <c r="I169" s="170" t="str">
        <f>IF(oop!I107=0,"",oop!I107)</f>
        <v/>
      </c>
      <c r="J169" s="567" t="str">
        <f>IF(E169="","",(IF(oop!J107+1&gt;LOOKUP(I169,schaal2011,regels2011),oop!J107,oop!J107+1)))</f>
        <v/>
      </c>
      <c r="K169" s="568" t="str">
        <f>IF(oop!K107="","",oop!K107)</f>
        <v/>
      </c>
      <c r="L169" s="569" t="str">
        <f>IF(oop!L107="","",oop!L107)</f>
        <v/>
      </c>
      <c r="M169" s="570" t="str">
        <f t="shared" si="27"/>
        <v/>
      </c>
      <c r="N169" s="551"/>
      <c r="O169" s="573" t="str">
        <f>IF(I169="","",VLOOKUP(I169,tab!$A$119:$W$159,J169+3,FALSE))</f>
        <v/>
      </c>
      <c r="P169" s="572">
        <f t="shared" si="21"/>
        <v>0</v>
      </c>
      <c r="Q169" s="589">
        <f t="shared" si="24"/>
        <v>0.6</v>
      </c>
      <c r="R169" s="573">
        <f t="shared" si="25"/>
        <v>0</v>
      </c>
      <c r="S169" s="332">
        <f>IF(L169="",0,(((O169*12)*L169)*(1+tab!$D$108)*IF(I169&gt;8,tab!$E$110,tab!$E$112)))</f>
        <v>0</v>
      </c>
      <c r="T169" s="580">
        <f t="shared" si="26"/>
        <v>0</v>
      </c>
      <c r="U169" s="243">
        <f t="shared" si="22"/>
        <v>0</v>
      </c>
      <c r="V169" s="332">
        <f t="shared" si="23"/>
        <v>0</v>
      </c>
      <c r="W169" s="624"/>
      <c r="AA169" s="405"/>
      <c r="AJ169" s="405"/>
    </row>
    <row r="170" spans="3:36" ht="12.75" customHeight="1">
      <c r="C170" s="131"/>
      <c r="D170" s="169" t="str">
        <f>IF(oop!D108="","",oop!D108)</f>
        <v/>
      </c>
      <c r="E170" s="169" t="str">
        <f>IF(oop!E108=0,"",oop!E108)</f>
        <v/>
      </c>
      <c r="F170" s="169" t="str">
        <f>IF(oop!F108=0,"",oop!F108)</f>
        <v/>
      </c>
      <c r="G170" s="169" t="str">
        <f>IF(oop!G108="","",oop!G108+1)</f>
        <v/>
      </c>
      <c r="H170" s="641" t="str">
        <f>IF(oop!H108="","",oop!H108)</f>
        <v/>
      </c>
      <c r="I170" s="170" t="str">
        <f>IF(oop!I108=0,"",oop!I108)</f>
        <v/>
      </c>
      <c r="J170" s="567" t="str">
        <f>IF(E170="","",(IF(oop!J108+1&gt;LOOKUP(I170,schaal2011,regels2011),oop!J108,oop!J108+1)))</f>
        <v/>
      </c>
      <c r="K170" s="568" t="str">
        <f>IF(oop!K108="","",oop!K108)</f>
        <v/>
      </c>
      <c r="L170" s="569" t="str">
        <f>IF(oop!L108="","",oop!L108)</f>
        <v/>
      </c>
      <c r="M170" s="570" t="str">
        <f t="shared" si="27"/>
        <v/>
      </c>
      <c r="N170" s="551"/>
      <c r="O170" s="573" t="str">
        <f>IF(I170="","",VLOOKUP(I170,tab!$A$119:$W$159,J170+3,FALSE))</f>
        <v/>
      </c>
      <c r="P170" s="572">
        <f t="shared" si="21"/>
        <v>0</v>
      </c>
      <c r="Q170" s="589">
        <f t="shared" si="24"/>
        <v>0.6</v>
      </c>
      <c r="R170" s="573">
        <f t="shared" si="25"/>
        <v>0</v>
      </c>
      <c r="S170" s="332">
        <f>IF(L170="",0,(((O170*12)*L170)*(1+tab!$D$108)*IF(I170&gt;8,tab!$E$110,tab!$E$112)))</f>
        <v>0</v>
      </c>
      <c r="T170" s="580">
        <f t="shared" si="26"/>
        <v>0</v>
      </c>
      <c r="U170" s="243">
        <f t="shared" si="22"/>
        <v>0</v>
      </c>
      <c r="V170" s="332">
        <f t="shared" si="23"/>
        <v>0</v>
      </c>
      <c r="W170" s="624"/>
      <c r="AA170" s="405"/>
      <c r="AJ170" s="405"/>
    </row>
    <row r="171" spans="3:36" ht="12.75" customHeight="1">
      <c r="C171" s="131"/>
      <c r="D171" s="169" t="str">
        <f>IF(oop!D109="","",oop!D109)</f>
        <v/>
      </c>
      <c r="E171" s="169" t="str">
        <f>IF(oop!E109=0,"",oop!E109)</f>
        <v/>
      </c>
      <c r="F171" s="169" t="str">
        <f>IF(oop!F109=0,"",oop!F109)</f>
        <v/>
      </c>
      <c r="G171" s="169" t="str">
        <f>IF(oop!G109="","",oop!G109+1)</f>
        <v/>
      </c>
      <c r="H171" s="641" t="str">
        <f>IF(oop!H109="","",oop!H109)</f>
        <v/>
      </c>
      <c r="I171" s="170" t="str">
        <f>IF(oop!I109=0,"",oop!I109)</f>
        <v/>
      </c>
      <c r="J171" s="567" t="str">
        <f>IF(E171="","",(IF(oop!J109+1&gt;LOOKUP(I171,schaal2011,regels2011),oop!J109,oop!J109+1)))</f>
        <v/>
      </c>
      <c r="K171" s="568" t="str">
        <f>IF(oop!K109="","",oop!K109)</f>
        <v/>
      </c>
      <c r="L171" s="569" t="str">
        <f>IF(oop!L109="","",oop!L109)</f>
        <v/>
      </c>
      <c r="M171" s="570" t="str">
        <f t="shared" si="27"/>
        <v/>
      </c>
      <c r="N171" s="551"/>
      <c r="O171" s="573" t="str">
        <f>IF(I171="","",VLOOKUP(I171,tab!$A$119:$W$159,J171+3,FALSE))</f>
        <v/>
      </c>
      <c r="P171" s="572">
        <f t="shared" si="21"/>
        <v>0</v>
      </c>
      <c r="Q171" s="589">
        <f t="shared" si="24"/>
        <v>0.6</v>
      </c>
      <c r="R171" s="573">
        <f t="shared" si="25"/>
        <v>0</v>
      </c>
      <c r="S171" s="332">
        <f>IF(L171="",0,(((O171*12)*L171)*(1+tab!$D$108)*IF(I171&gt;8,tab!$E$110,tab!$E$112)))</f>
        <v>0</v>
      </c>
      <c r="T171" s="580">
        <f t="shared" si="26"/>
        <v>0</v>
      </c>
      <c r="U171" s="243">
        <f t="shared" si="22"/>
        <v>0</v>
      </c>
      <c r="V171" s="332">
        <f t="shared" si="23"/>
        <v>0</v>
      </c>
      <c r="W171" s="624"/>
      <c r="AA171" s="405"/>
      <c r="AJ171" s="405"/>
    </row>
    <row r="172" spans="3:36" ht="12.75" customHeight="1">
      <c r="C172" s="131"/>
      <c r="D172" s="169" t="str">
        <f>IF(oop!D110="","",oop!D110)</f>
        <v/>
      </c>
      <c r="E172" s="169" t="str">
        <f>IF(oop!E110=0,"",oop!E110)</f>
        <v/>
      </c>
      <c r="F172" s="169" t="str">
        <f>IF(oop!F110=0,"",oop!F110)</f>
        <v/>
      </c>
      <c r="G172" s="169" t="str">
        <f>IF(oop!G110="","",oop!G110+1)</f>
        <v/>
      </c>
      <c r="H172" s="641" t="str">
        <f>IF(oop!H110="","",oop!H110)</f>
        <v/>
      </c>
      <c r="I172" s="170" t="str">
        <f>IF(oop!I110=0,"",oop!I110)</f>
        <v/>
      </c>
      <c r="J172" s="567" t="str">
        <f>IF(E172="","",(IF(oop!J110+1&gt;LOOKUP(I172,schaal2011,regels2011),oop!J110,oop!J110+1)))</f>
        <v/>
      </c>
      <c r="K172" s="568" t="str">
        <f>IF(oop!K110="","",oop!K110)</f>
        <v/>
      </c>
      <c r="L172" s="569" t="str">
        <f>IF(oop!L110="","",oop!L110)</f>
        <v/>
      </c>
      <c r="M172" s="570" t="str">
        <f t="shared" si="27"/>
        <v/>
      </c>
      <c r="N172" s="551"/>
      <c r="O172" s="573" t="str">
        <f>IF(I172="","",VLOOKUP(I172,tab!$A$119:$W$159,J172+3,FALSE))</f>
        <v/>
      </c>
      <c r="P172" s="572">
        <f t="shared" ref="P172:P189" si="28">IF(E172="",0,(O172*M172*12))</f>
        <v>0</v>
      </c>
      <c r="Q172" s="589">
        <f t="shared" si="24"/>
        <v>0.6</v>
      </c>
      <c r="R172" s="573">
        <f t="shared" si="25"/>
        <v>0</v>
      </c>
      <c r="S172" s="332">
        <f>IF(L172="",0,(((O172*12)*L172)*(1+tab!$D$108)*IF(I172&gt;8,tab!$E$110,tab!$E$112)))</f>
        <v>0</v>
      </c>
      <c r="T172" s="580">
        <f t="shared" si="26"/>
        <v>0</v>
      </c>
      <c r="U172" s="243">
        <f t="shared" si="22"/>
        <v>0</v>
      </c>
      <c r="V172" s="332">
        <f t="shared" ref="V172:V189" si="29">IF(U172=25,(O172*1.08*(K172)/2),IF(U172=40,(O172*1.08*(K172)),IF(U172=0,0)))</f>
        <v>0</v>
      </c>
      <c r="W172" s="624"/>
      <c r="AA172" s="405"/>
      <c r="AJ172" s="405"/>
    </row>
    <row r="173" spans="3:36" ht="12.75" customHeight="1">
      <c r="C173" s="131"/>
      <c r="D173" s="169" t="str">
        <f>IF(oop!D111="","",oop!D111)</f>
        <v/>
      </c>
      <c r="E173" s="169" t="str">
        <f>IF(oop!E111=0,"",oop!E111)</f>
        <v/>
      </c>
      <c r="F173" s="169" t="str">
        <f>IF(oop!F111=0,"",oop!F111)</f>
        <v/>
      </c>
      <c r="G173" s="169" t="str">
        <f>IF(oop!G111="","",oop!G111+1)</f>
        <v/>
      </c>
      <c r="H173" s="641" t="str">
        <f>IF(oop!H111="","",oop!H111)</f>
        <v/>
      </c>
      <c r="I173" s="170" t="str">
        <f>IF(oop!I111=0,"",oop!I111)</f>
        <v/>
      </c>
      <c r="J173" s="567" t="str">
        <f>IF(E173="","",(IF(oop!J111+1&gt;LOOKUP(I173,schaal2011,regels2011),oop!J111,oop!J111+1)))</f>
        <v/>
      </c>
      <c r="K173" s="568" t="str">
        <f>IF(oop!K111="","",oop!K111)</f>
        <v/>
      </c>
      <c r="L173" s="569" t="str">
        <f>IF(oop!L111="","",oop!L111)</f>
        <v/>
      </c>
      <c r="M173" s="570" t="str">
        <f t="shared" si="27"/>
        <v/>
      </c>
      <c r="N173" s="551"/>
      <c r="O173" s="573" t="str">
        <f>IF(I173="","",VLOOKUP(I173,tab!$A$119:$W$159,J173+3,FALSE))</f>
        <v/>
      </c>
      <c r="P173" s="572">
        <f t="shared" si="28"/>
        <v>0</v>
      </c>
      <c r="Q173" s="589">
        <f t="shared" si="24"/>
        <v>0.6</v>
      </c>
      <c r="R173" s="573">
        <f t="shared" si="25"/>
        <v>0</v>
      </c>
      <c r="S173" s="332">
        <f>IF(L173="",0,(((O173*12)*L173)*(1+tab!$D$108)*IF(I173&gt;8,tab!$E$110,tab!$E$112)))</f>
        <v>0</v>
      </c>
      <c r="T173" s="580">
        <f t="shared" si="26"/>
        <v>0</v>
      </c>
      <c r="U173" s="243">
        <f t="shared" si="22"/>
        <v>0</v>
      </c>
      <c r="V173" s="332">
        <f t="shared" si="29"/>
        <v>0</v>
      </c>
      <c r="W173" s="624"/>
      <c r="AA173" s="405"/>
      <c r="AJ173" s="405"/>
    </row>
    <row r="174" spans="3:36" ht="12.75" customHeight="1">
      <c r="C174" s="131"/>
      <c r="D174" s="169" t="str">
        <f>IF(oop!D112="","",oop!D112)</f>
        <v/>
      </c>
      <c r="E174" s="169" t="str">
        <f>IF(oop!E112=0,"",oop!E112)</f>
        <v/>
      </c>
      <c r="F174" s="169" t="str">
        <f>IF(oop!F112=0,"",oop!F112)</f>
        <v/>
      </c>
      <c r="G174" s="169" t="str">
        <f>IF(oop!G112="","",oop!G112+1)</f>
        <v/>
      </c>
      <c r="H174" s="641" t="str">
        <f>IF(oop!H112="","",oop!H112)</f>
        <v/>
      </c>
      <c r="I174" s="170" t="str">
        <f>IF(oop!I112=0,"",oop!I112)</f>
        <v/>
      </c>
      <c r="J174" s="567" t="str">
        <f>IF(E174="","",(IF(oop!J112+1&gt;LOOKUP(I174,schaal2011,regels2011),oop!J112,oop!J112+1)))</f>
        <v/>
      </c>
      <c r="K174" s="568" t="str">
        <f>IF(oop!K112="","",oop!K112)</f>
        <v/>
      </c>
      <c r="L174" s="569" t="str">
        <f>IF(oop!L112="","",oop!L112)</f>
        <v/>
      </c>
      <c r="M174" s="570" t="str">
        <f t="shared" si="27"/>
        <v/>
      </c>
      <c r="N174" s="551"/>
      <c r="O174" s="573" t="str">
        <f>IF(I174="","",VLOOKUP(I174,tab!$A$119:$W$159,J174+3,FALSE))</f>
        <v/>
      </c>
      <c r="P174" s="572">
        <f t="shared" si="28"/>
        <v>0</v>
      </c>
      <c r="Q174" s="589">
        <f t="shared" si="24"/>
        <v>0.6</v>
      </c>
      <c r="R174" s="573">
        <f t="shared" si="25"/>
        <v>0</v>
      </c>
      <c r="S174" s="332">
        <f>IF(L174="",0,(((O174*12)*L174)*(1+tab!$D$108)*IF(I174&gt;8,tab!$E$110,tab!$E$112)))</f>
        <v>0</v>
      </c>
      <c r="T174" s="580">
        <f t="shared" si="26"/>
        <v>0</v>
      </c>
      <c r="U174" s="243">
        <f t="shared" si="22"/>
        <v>0</v>
      </c>
      <c r="V174" s="332">
        <f t="shared" si="29"/>
        <v>0</v>
      </c>
      <c r="W174" s="624"/>
      <c r="AA174" s="405"/>
      <c r="AJ174" s="405"/>
    </row>
    <row r="175" spans="3:36" ht="12.75" customHeight="1">
      <c r="C175" s="131"/>
      <c r="D175" s="169" t="str">
        <f>IF(oop!D113="","",oop!D113)</f>
        <v/>
      </c>
      <c r="E175" s="169" t="str">
        <f>IF(oop!E113=0,"",oop!E113)</f>
        <v/>
      </c>
      <c r="F175" s="169" t="str">
        <f>IF(oop!F113=0,"",oop!F113)</f>
        <v/>
      </c>
      <c r="G175" s="169" t="str">
        <f>IF(oop!G113="","",oop!G113+1)</f>
        <v/>
      </c>
      <c r="H175" s="641" t="str">
        <f>IF(oop!H113="","",oop!H113)</f>
        <v/>
      </c>
      <c r="I175" s="170" t="str">
        <f>IF(oop!I113=0,"",oop!I113)</f>
        <v/>
      </c>
      <c r="J175" s="567" t="str">
        <f>IF(E175="","",(IF(oop!J113+1&gt;LOOKUP(I175,schaal2011,regels2011),oop!J113,oop!J113+1)))</f>
        <v/>
      </c>
      <c r="K175" s="568" t="str">
        <f>IF(oop!K113="","",oop!K113)</f>
        <v/>
      </c>
      <c r="L175" s="569" t="str">
        <f>IF(oop!L113="","",oop!L113)</f>
        <v/>
      </c>
      <c r="M175" s="570" t="str">
        <f t="shared" si="27"/>
        <v/>
      </c>
      <c r="N175" s="551"/>
      <c r="O175" s="573" t="str">
        <f>IF(I175="","",VLOOKUP(I175,tab!$A$119:$W$159,J175+3,FALSE))</f>
        <v/>
      </c>
      <c r="P175" s="572">
        <f t="shared" si="28"/>
        <v>0</v>
      </c>
      <c r="Q175" s="589">
        <f t="shared" si="24"/>
        <v>0.6</v>
      </c>
      <c r="R175" s="573">
        <f t="shared" si="25"/>
        <v>0</v>
      </c>
      <c r="S175" s="332">
        <f>IF(L175="",0,(((O175*12)*L175)*(1+tab!$D$108)*IF(I175&gt;8,tab!$E$110,tab!$E$112)))</f>
        <v>0</v>
      </c>
      <c r="T175" s="580">
        <f t="shared" si="26"/>
        <v>0</v>
      </c>
      <c r="U175" s="243">
        <f t="shared" si="22"/>
        <v>0</v>
      </c>
      <c r="V175" s="332">
        <f t="shared" si="29"/>
        <v>0</v>
      </c>
      <c r="W175" s="624"/>
      <c r="AA175" s="405"/>
      <c r="AJ175" s="405"/>
    </row>
    <row r="176" spans="3:36" ht="12.75" customHeight="1">
      <c r="C176" s="131"/>
      <c r="D176" s="169" t="str">
        <f>IF(oop!D114="","",oop!D114)</f>
        <v/>
      </c>
      <c r="E176" s="169" t="str">
        <f>IF(oop!E114=0,"",oop!E114)</f>
        <v/>
      </c>
      <c r="F176" s="169" t="str">
        <f>IF(oop!F114=0,"",oop!F114)</f>
        <v/>
      </c>
      <c r="G176" s="169" t="str">
        <f>IF(oop!G114="","",oop!G114+1)</f>
        <v/>
      </c>
      <c r="H176" s="641" t="str">
        <f>IF(oop!H114="","",oop!H114)</f>
        <v/>
      </c>
      <c r="I176" s="170" t="str">
        <f>IF(oop!I114=0,"",oop!I114)</f>
        <v/>
      </c>
      <c r="J176" s="567" t="str">
        <f>IF(E176="","",(IF(oop!J114+1&gt;LOOKUP(I176,schaal2011,regels2011),oop!J114,oop!J114+1)))</f>
        <v/>
      </c>
      <c r="K176" s="568" t="str">
        <f>IF(oop!K114="","",oop!K114)</f>
        <v/>
      </c>
      <c r="L176" s="569" t="str">
        <f>IF(oop!L114="","",oop!L114)</f>
        <v/>
      </c>
      <c r="M176" s="570" t="str">
        <f t="shared" si="27"/>
        <v/>
      </c>
      <c r="N176" s="551"/>
      <c r="O176" s="573" t="str">
        <f>IF(I176="","",VLOOKUP(I176,tab!$A$119:$W$159,J176+3,FALSE))</f>
        <v/>
      </c>
      <c r="P176" s="572">
        <f t="shared" si="28"/>
        <v>0</v>
      </c>
      <c r="Q176" s="589">
        <f t="shared" si="24"/>
        <v>0.6</v>
      </c>
      <c r="R176" s="573">
        <f t="shared" si="25"/>
        <v>0</v>
      </c>
      <c r="S176" s="332">
        <f>IF(L176="",0,(((O176*12)*L176)*(1+tab!$D$108)*IF(I176&gt;8,tab!$E$110,tab!$E$112)))</f>
        <v>0</v>
      </c>
      <c r="T176" s="580">
        <f t="shared" si="26"/>
        <v>0</v>
      </c>
      <c r="U176" s="243">
        <f t="shared" si="22"/>
        <v>0</v>
      </c>
      <c r="V176" s="332">
        <f t="shared" si="29"/>
        <v>0</v>
      </c>
      <c r="W176" s="624"/>
      <c r="AA176" s="405"/>
      <c r="AJ176" s="405"/>
    </row>
    <row r="177" spans="3:36" ht="12.75" customHeight="1">
      <c r="C177" s="131"/>
      <c r="D177" s="169" t="str">
        <f>IF(oop!D115="","",oop!D115)</f>
        <v/>
      </c>
      <c r="E177" s="169" t="str">
        <f>IF(oop!E115=0,"",oop!E115)</f>
        <v/>
      </c>
      <c r="F177" s="169" t="str">
        <f>IF(oop!F115=0,"",oop!F115)</f>
        <v/>
      </c>
      <c r="G177" s="169" t="str">
        <f>IF(oop!G115="","",oop!G115+1)</f>
        <v/>
      </c>
      <c r="H177" s="641" t="str">
        <f>IF(oop!H115="","",oop!H115)</f>
        <v/>
      </c>
      <c r="I177" s="170" t="str">
        <f>IF(oop!I115=0,"",oop!I115)</f>
        <v/>
      </c>
      <c r="J177" s="567" t="str">
        <f>IF(E177="","",(IF(oop!J115+1&gt;LOOKUP(I177,schaal2011,regels2011),oop!J115,oop!J115+1)))</f>
        <v/>
      </c>
      <c r="K177" s="568" t="str">
        <f>IF(oop!K115="","",oop!K115)</f>
        <v/>
      </c>
      <c r="L177" s="569" t="str">
        <f>IF(oop!L115="","",oop!L115)</f>
        <v/>
      </c>
      <c r="M177" s="570" t="str">
        <f t="shared" si="27"/>
        <v/>
      </c>
      <c r="N177" s="551"/>
      <c r="O177" s="573" t="str">
        <f>IF(I177="","",VLOOKUP(I177,tab!$A$119:$W$159,J177+3,FALSE))</f>
        <v/>
      </c>
      <c r="P177" s="572">
        <f t="shared" si="28"/>
        <v>0</v>
      </c>
      <c r="Q177" s="589">
        <f t="shared" si="24"/>
        <v>0.6</v>
      </c>
      <c r="R177" s="573">
        <f t="shared" si="25"/>
        <v>0</v>
      </c>
      <c r="S177" s="332">
        <f>IF(L177="",0,(((O177*12)*L177)*(1+tab!$D$108)*IF(I177&gt;8,tab!$E$110,tab!$E$112)))</f>
        <v>0</v>
      </c>
      <c r="T177" s="580">
        <f t="shared" si="26"/>
        <v>0</v>
      </c>
      <c r="U177" s="243">
        <f t="shared" si="22"/>
        <v>0</v>
      </c>
      <c r="V177" s="332">
        <f t="shared" si="29"/>
        <v>0</v>
      </c>
      <c r="W177" s="624"/>
      <c r="AA177" s="405"/>
      <c r="AJ177" s="405"/>
    </row>
    <row r="178" spans="3:36" ht="12.75" customHeight="1">
      <c r="C178" s="131"/>
      <c r="D178" s="169" t="str">
        <f>IF(oop!D116="","",oop!D116)</f>
        <v/>
      </c>
      <c r="E178" s="169" t="str">
        <f>IF(oop!E116=0,"",oop!E116)</f>
        <v/>
      </c>
      <c r="F178" s="169" t="str">
        <f>IF(oop!F116=0,"",oop!F116)</f>
        <v/>
      </c>
      <c r="G178" s="169" t="str">
        <f>IF(oop!G116="","",oop!G116+1)</f>
        <v/>
      </c>
      <c r="H178" s="641" t="str">
        <f>IF(oop!H116="","",oop!H116)</f>
        <v/>
      </c>
      <c r="I178" s="170" t="str">
        <f>IF(oop!I116=0,"",oop!I116)</f>
        <v/>
      </c>
      <c r="J178" s="567" t="str">
        <f>IF(E178="","",(IF(oop!J116+1&gt;LOOKUP(I178,schaal2011,regels2011),oop!J116,oop!J116+1)))</f>
        <v/>
      </c>
      <c r="K178" s="568" t="str">
        <f>IF(oop!K116="","",oop!K116)</f>
        <v/>
      </c>
      <c r="L178" s="569" t="str">
        <f>IF(oop!L116="","",oop!L116)</f>
        <v/>
      </c>
      <c r="M178" s="570" t="str">
        <f t="shared" si="27"/>
        <v/>
      </c>
      <c r="N178" s="551"/>
      <c r="O178" s="573" t="str">
        <f>IF(I178="","",VLOOKUP(I178,tab!$A$119:$W$159,J178+3,FALSE))</f>
        <v/>
      </c>
      <c r="P178" s="572">
        <f t="shared" si="28"/>
        <v>0</v>
      </c>
      <c r="Q178" s="589">
        <f t="shared" si="24"/>
        <v>0.6</v>
      </c>
      <c r="R178" s="573">
        <f t="shared" si="25"/>
        <v>0</v>
      </c>
      <c r="S178" s="332">
        <f>IF(L178="",0,(((O178*12)*L178)*(1+tab!$D$108)*IF(I178&gt;8,tab!$E$110,tab!$E$112)))</f>
        <v>0</v>
      </c>
      <c r="T178" s="580">
        <f t="shared" si="26"/>
        <v>0</v>
      </c>
      <c r="U178" s="243">
        <f t="shared" si="22"/>
        <v>0</v>
      </c>
      <c r="V178" s="332">
        <f t="shared" si="29"/>
        <v>0</v>
      </c>
      <c r="W178" s="624"/>
      <c r="AA178" s="405"/>
      <c r="AJ178" s="405"/>
    </row>
    <row r="179" spans="3:36" ht="12.75" customHeight="1">
      <c r="C179" s="131"/>
      <c r="D179" s="169" t="str">
        <f>IF(oop!D117="","",oop!D117)</f>
        <v/>
      </c>
      <c r="E179" s="169" t="str">
        <f>IF(oop!E117=0,"",oop!E117)</f>
        <v/>
      </c>
      <c r="F179" s="169" t="str">
        <f>IF(oop!F117=0,"",oop!F117)</f>
        <v/>
      </c>
      <c r="G179" s="169" t="str">
        <f>IF(oop!G117="","",oop!G117+1)</f>
        <v/>
      </c>
      <c r="H179" s="641" t="str">
        <f>IF(oop!H117="","",oop!H117)</f>
        <v/>
      </c>
      <c r="I179" s="170" t="str">
        <f>IF(oop!I117=0,"",oop!I117)</f>
        <v/>
      </c>
      <c r="J179" s="567" t="str">
        <f>IF(E179="","",(IF(oop!J117+1&gt;LOOKUP(I179,schaal2011,regels2011),oop!J117,oop!J117+1)))</f>
        <v/>
      </c>
      <c r="K179" s="568" t="str">
        <f>IF(oop!K117="","",oop!K117)</f>
        <v/>
      </c>
      <c r="L179" s="569" t="str">
        <f>IF(oop!L117="","",oop!L117)</f>
        <v/>
      </c>
      <c r="M179" s="570" t="str">
        <f t="shared" si="27"/>
        <v/>
      </c>
      <c r="N179" s="551"/>
      <c r="O179" s="573" t="str">
        <f>IF(I179="","",VLOOKUP(I179,tab!$A$119:$W$159,J179+3,FALSE))</f>
        <v/>
      </c>
      <c r="P179" s="572">
        <f t="shared" si="28"/>
        <v>0</v>
      </c>
      <c r="Q179" s="589">
        <f t="shared" si="24"/>
        <v>0.6</v>
      </c>
      <c r="R179" s="573">
        <f t="shared" si="25"/>
        <v>0</v>
      </c>
      <c r="S179" s="332">
        <f>IF(L179="",0,(((O179*12)*L179)*(1+tab!$D$108)*IF(I179&gt;8,tab!$E$110,tab!$E$112)))</f>
        <v>0</v>
      </c>
      <c r="T179" s="580">
        <f t="shared" si="26"/>
        <v>0</v>
      </c>
      <c r="U179" s="243">
        <f t="shared" si="22"/>
        <v>0</v>
      </c>
      <c r="V179" s="332">
        <f t="shared" si="29"/>
        <v>0</v>
      </c>
      <c r="W179" s="624"/>
      <c r="AA179" s="405"/>
      <c r="AJ179" s="405"/>
    </row>
    <row r="180" spans="3:36" ht="12.75" customHeight="1">
      <c r="C180" s="131"/>
      <c r="D180" s="169" t="str">
        <f>IF(oop!D118="","",oop!D118)</f>
        <v/>
      </c>
      <c r="E180" s="169" t="str">
        <f>IF(oop!E118=0,"",oop!E118)</f>
        <v/>
      </c>
      <c r="F180" s="169" t="str">
        <f>IF(oop!F118=0,"",oop!F118)</f>
        <v/>
      </c>
      <c r="G180" s="169" t="str">
        <f>IF(oop!G118="","",oop!G118+1)</f>
        <v/>
      </c>
      <c r="H180" s="641" t="str">
        <f>IF(oop!H118="","",oop!H118)</f>
        <v/>
      </c>
      <c r="I180" s="170" t="str">
        <f>IF(oop!I118=0,"",oop!I118)</f>
        <v/>
      </c>
      <c r="J180" s="567" t="str">
        <f>IF(E180="","",(IF(oop!J118+1&gt;LOOKUP(I180,schaal2011,regels2011),oop!J118,oop!J118+1)))</f>
        <v/>
      </c>
      <c r="K180" s="568" t="str">
        <f>IF(oop!K118="","",oop!K118)</f>
        <v/>
      </c>
      <c r="L180" s="569" t="str">
        <f>IF(oop!L118="","",oop!L118)</f>
        <v/>
      </c>
      <c r="M180" s="570" t="str">
        <f t="shared" si="27"/>
        <v/>
      </c>
      <c r="N180" s="551"/>
      <c r="O180" s="573" t="str">
        <f>IF(I180="","",VLOOKUP(I180,tab!$A$119:$W$159,J180+3,FALSE))</f>
        <v/>
      </c>
      <c r="P180" s="572">
        <f t="shared" si="28"/>
        <v>0</v>
      </c>
      <c r="Q180" s="589">
        <f t="shared" si="24"/>
        <v>0.6</v>
      </c>
      <c r="R180" s="573">
        <f t="shared" si="25"/>
        <v>0</v>
      </c>
      <c r="S180" s="332">
        <f>IF(L180="",0,(((O180*12)*L180)*(1+tab!$D$108)*IF(I180&gt;8,tab!$E$110,tab!$E$112)))</f>
        <v>0</v>
      </c>
      <c r="T180" s="580">
        <f t="shared" si="26"/>
        <v>0</v>
      </c>
      <c r="U180" s="243">
        <f t="shared" si="22"/>
        <v>0</v>
      </c>
      <c r="V180" s="332">
        <f t="shared" si="29"/>
        <v>0</v>
      </c>
      <c r="W180" s="624"/>
      <c r="AA180" s="405"/>
      <c r="AJ180" s="405"/>
    </row>
    <row r="181" spans="3:36" ht="12.75" customHeight="1">
      <c r="C181" s="131"/>
      <c r="D181" s="169" t="str">
        <f>IF(oop!D119="","",oop!D119)</f>
        <v/>
      </c>
      <c r="E181" s="169" t="str">
        <f>IF(oop!E119=0,"",oop!E119)</f>
        <v/>
      </c>
      <c r="F181" s="169" t="str">
        <f>IF(oop!F119=0,"",oop!F119)</f>
        <v/>
      </c>
      <c r="G181" s="169" t="str">
        <f>IF(oop!G119="","",oop!G119+1)</f>
        <v/>
      </c>
      <c r="H181" s="641" t="str">
        <f>IF(oop!H119="","",oop!H119)</f>
        <v/>
      </c>
      <c r="I181" s="170" t="str">
        <f>IF(oop!I119=0,"",oop!I119)</f>
        <v/>
      </c>
      <c r="J181" s="567" t="str">
        <f>IF(E181="","",(IF(oop!J119+1&gt;LOOKUP(I181,schaal2011,regels2011),oop!J119,oop!J119+1)))</f>
        <v/>
      </c>
      <c r="K181" s="568" t="str">
        <f>IF(oop!K119="","",oop!K119)</f>
        <v/>
      </c>
      <c r="L181" s="569" t="str">
        <f>IF(oop!L119="","",oop!L119)</f>
        <v/>
      </c>
      <c r="M181" s="570" t="str">
        <f t="shared" si="27"/>
        <v/>
      </c>
      <c r="N181" s="551"/>
      <c r="O181" s="573" t="str">
        <f>IF(I181="","",VLOOKUP(I181,tab!$A$119:$W$159,J181+3,FALSE))</f>
        <v/>
      </c>
      <c r="P181" s="572">
        <f t="shared" si="28"/>
        <v>0</v>
      </c>
      <c r="Q181" s="589">
        <f t="shared" si="24"/>
        <v>0.6</v>
      </c>
      <c r="R181" s="573">
        <f t="shared" si="25"/>
        <v>0</v>
      </c>
      <c r="S181" s="332">
        <f>IF(L181="",0,(((O181*12)*L181)*(1+tab!$D$108)*IF(I181&gt;8,tab!$E$110,tab!$E$112)))</f>
        <v>0</v>
      </c>
      <c r="T181" s="580">
        <f t="shared" si="26"/>
        <v>0</v>
      </c>
      <c r="U181" s="243">
        <f t="shared" si="22"/>
        <v>0</v>
      </c>
      <c r="V181" s="332">
        <f t="shared" si="29"/>
        <v>0</v>
      </c>
      <c r="W181" s="624"/>
      <c r="AA181" s="405"/>
      <c r="AJ181" s="405"/>
    </row>
    <row r="182" spans="3:36" ht="12.75" customHeight="1">
      <c r="C182" s="131"/>
      <c r="D182" s="169" t="str">
        <f>IF(oop!D120="","",oop!D120)</f>
        <v/>
      </c>
      <c r="E182" s="169" t="str">
        <f>IF(oop!E120=0,"",oop!E120)</f>
        <v/>
      </c>
      <c r="F182" s="169" t="str">
        <f>IF(oop!F120=0,"",oop!F120)</f>
        <v/>
      </c>
      <c r="G182" s="169" t="str">
        <f>IF(oop!G120="","",oop!G120+1)</f>
        <v/>
      </c>
      <c r="H182" s="641" t="str">
        <f>IF(oop!H120="","",oop!H120)</f>
        <v/>
      </c>
      <c r="I182" s="170" t="str">
        <f>IF(oop!I120=0,"",oop!I120)</f>
        <v/>
      </c>
      <c r="J182" s="567" t="str">
        <f>IF(E182="","",(IF(oop!J120+1&gt;LOOKUP(I182,schaal2011,regels2011),oop!J120,oop!J120+1)))</f>
        <v/>
      </c>
      <c r="K182" s="568" t="str">
        <f>IF(oop!K120="","",oop!K120)</f>
        <v/>
      </c>
      <c r="L182" s="569" t="str">
        <f>IF(oop!L120="","",oop!L120)</f>
        <v/>
      </c>
      <c r="M182" s="570" t="str">
        <f t="shared" si="27"/>
        <v/>
      </c>
      <c r="N182" s="551"/>
      <c r="O182" s="573" t="str">
        <f>IF(I182="","",VLOOKUP(I182,tab!$A$119:$W$159,J182+3,FALSE))</f>
        <v/>
      </c>
      <c r="P182" s="572">
        <f t="shared" si="28"/>
        <v>0</v>
      </c>
      <c r="Q182" s="589">
        <f t="shared" si="24"/>
        <v>0.6</v>
      </c>
      <c r="R182" s="573">
        <f t="shared" si="25"/>
        <v>0</v>
      </c>
      <c r="S182" s="332">
        <f>IF(L182="",0,(((O182*12)*L182)*(1+tab!$D$108)*IF(I182&gt;8,tab!$E$110,tab!$E$112)))</f>
        <v>0</v>
      </c>
      <c r="T182" s="580">
        <f t="shared" si="26"/>
        <v>0</v>
      </c>
      <c r="U182" s="243">
        <f t="shared" si="22"/>
        <v>0</v>
      </c>
      <c r="V182" s="332">
        <f t="shared" si="29"/>
        <v>0</v>
      </c>
      <c r="W182" s="624"/>
      <c r="AA182" s="405"/>
      <c r="AJ182" s="405"/>
    </row>
    <row r="183" spans="3:36" ht="12.75" customHeight="1">
      <c r="C183" s="131"/>
      <c r="D183" s="169" t="str">
        <f>IF(oop!D121="","",oop!D121)</f>
        <v/>
      </c>
      <c r="E183" s="169" t="str">
        <f>IF(oop!E121=0,"",oop!E121)</f>
        <v/>
      </c>
      <c r="F183" s="169" t="str">
        <f>IF(oop!F121=0,"",oop!F121)</f>
        <v/>
      </c>
      <c r="G183" s="169" t="str">
        <f>IF(oop!G121="","",oop!G121+1)</f>
        <v/>
      </c>
      <c r="H183" s="641" t="str">
        <f>IF(oop!H121="","",oop!H121)</f>
        <v/>
      </c>
      <c r="I183" s="170" t="str">
        <f>IF(oop!I121=0,"",oop!I121)</f>
        <v/>
      </c>
      <c r="J183" s="567" t="str">
        <f>IF(E183="","",(IF(oop!J121+1&gt;LOOKUP(I183,schaal2011,regels2011),oop!J121,oop!J121+1)))</f>
        <v/>
      </c>
      <c r="K183" s="568" t="str">
        <f>IF(oop!K121="","",oop!K121)</f>
        <v/>
      </c>
      <c r="L183" s="569" t="str">
        <f>IF(oop!L121="","",oop!L121)</f>
        <v/>
      </c>
      <c r="M183" s="570" t="str">
        <f t="shared" si="27"/>
        <v/>
      </c>
      <c r="N183" s="551"/>
      <c r="O183" s="573" t="str">
        <f>IF(I183="","",VLOOKUP(I183,tab!$A$119:$W$159,J183+3,FALSE))</f>
        <v/>
      </c>
      <c r="P183" s="572">
        <f t="shared" si="28"/>
        <v>0</v>
      </c>
      <c r="Q183" s="589">
        <f t="shared" si="24"/>
        <v>0.6</v>
      </c>
      <c r="R183" s="573">
        <f t="shared" si="25"/>
        <v>0</v>
      </c>
      <c r="S183" s="332">
        <f>IF(L183="",0,(((O183*12)*L183)*(1+tab!$D$108)*IF(I183&gt;8,tab!$E$110,tab!$E$112)))</f>
        <v>0</v>
      </c>
      <c r="T183" s="580">
        <f t="shared" si="26"/>
        <v>0</v>
      </c>
      <c r="U183" s="243">
        <f t="shared" si="22"/>
        <v>0</v>
      </c>
      <c r="V183" s="332">
        <f t="shared" si="29"/>
        <v>0</v>
      </c>
      <c r="W183" s="624"/>
      <c r="AA183" s="405"/>
      <c r="AJ183" s="405"/>
    </row>
    <row r="184" spans="3:36" ht="12.75" customHeight="1">
      <c r="C184" s="131"/>
      <c r="D184" s="169" t="str">
        <f>IF(oop!D122="","",oop!D122)</f>
        <v/>
      </c>
      <c r="E184" s="169" t="str">
        <f>IF(oop!E122=0,"",oop!E122)</f>
        <v/>
      </c>
      <c r="F184" s="169" t="str">
        <f>IF(oop!F122=0,"",oop!F122)</f>
        <v/>
      </c>
      <c r="G184" s="169" t="str">
        <f>IF(oop!G122="","",oop!G122+1)</f>
        <v/>
      </c>
      <c r="H184" s="641" t="str">
        <f>IF(oop!H122="","",oop!H122)</f>
        <v/>
      </c>
      <c r="I184" s="170" t="str">
        <f>IF(oop!I122=0,"",oop!I122)</f>
        <v/>
      </c>
      <c r="J184" s="567" t="str">
        <f>IF(E184="","",(IF(oop!J122+1&gt;LOOKUP(I184,schaal2011,regels2011),oop!J122,oop!J122+1)))</f>
        <v/>
      </c>
      <c r="K184" s="568" t="str">
        <f>IF(oop!K122="","",oop!K122)</f>
        <v/>
      </c>
      <c r="L184" s="569" t="str">
        <f>IF(oop!L122="","",oop!L122)</f>
        <v/>
      </c>
      <c r="M184" s="570" t="str">
        <f t="shared" si="27"/>
        <v/>
      </c>
      <c r="N184" s="551"/>
      <c r="O184" s="573" t="str">
        <f>IF(I184="","",VLOOKUP(I184,tab!$A$119:$W$159,J184+3,FALSE))</f>
        <v/>
      </c>
      <c r="P184" s="572">
        <f t="shared" si="28"/>
        <v>0</v>
      </c>
      <c r="Q184" s="589">
        <f t="shared" si="24"/>
        <v>0.6</v>
      </c>
      <c r="R184" s="573">
        <f t="shared" si="25"/>
        <v>0</v>
      </c>
      <c r="S184" s="332">
        <f>IF(L184="",0,(((O184*12)*L184)*(1+tab!$D$108)*IF(I184&gt;8,tab!$E$110,tab!$E$112)))</f>
        <v>0</v>
      </c>
      <c r="T184" s="580">
        <f t="shared" si="26"/>
        <v>0</v>
      </c>
      <c r="U184" s="243">
        <f t="shared" si="22"/>
        <v>0</v>
      </c>
      <c r="V184" s="332">
        <f t="shared" si="29"/>
        <v>0</v>
      </c>
      <c r="W184" s="624"/>
      <c r="AA184" s="405"/>
      <c r="AJ184" s="405"/>
    </row>
    <row r="185" spans="3:36" ht="12.75" customHeight="1">
      <c r="C185" s="131"/>
      <c r="D185" s="169" t="str">
        <f>IF(oop!D123="","",oop!D123)</f>
        <v/>
      </c>
      <c r="E185" s="169" t="str">
        <f>IF(oop!E123=0,"",oop!E123)</f>
        <v/>
      </c>
      <c r="F185" s="169" t="str">
        <f>IF(oop!F123=0,"",oop!F123)</f>
        <v/>
      </c>
      <c r="G185" s="169" t="str">
        <f>IF(oop!G123="","",oop!G123+1)</f>
        <v/>
      </c>
      <c r="H185" s="641" t="str">
        <f>IF(oop!H123="","",oop!H123)</f>
        <v/>
      </c>
      <c r="I185" s="170" t="str">
        <f>IF(oop!I123=0,"",oop!I123)</f>
        <v/>
      </c>
      <c r="J185" s="567" t="str">
        <f>IF(E185="","",(IF(oop!J123+1&gt;LOOKUP(I185,schaal2011,regels2011),oop!J123,oop!J123+1)))</f>
        <v/>
      </c>
      <c r="K185" s="568" t="str">
        <f>IF(oop!K123="","",oop!K123)</f>
        <v/>
      </c>
      <c r="L185" s="569" t="str">
        <f>IF(oop!L123="","",oop!L123)</f>
        <v/>
      </c>
      <c r="M185" s="570" t="str">
        <f t="shared" si="27"/>
        <v/>
      </c>
      <c r="N185" s="551"/>
      <c r="O185" s="573" t="str">
        <f>IF(I185="","",VLOOKUP(I185,tab!$A$119:$W$159,J185+3,FALSE))</f>
        <v/>
      </c>
      <c r="P185" s="572">
        <f t="shared" si="28"/>
        <v>0</v>
      </c>
      <c r="Q185" s="589">
        <f t="shared" si="24"/>
        <v>0.6</v>
      </c>
      <c r="R185" s="573">
        <f t="shared" si="25"/>
        <v>0</v>
      </c>
      <c r="S185" s="332">
        <f>IF(L185="",0,(((O185*12)*L185)*(1+tab!$D$108)*IF(I185&gt;8,tab!$E$110,tab!$E$112)))</f>
        <v>0</v>
      </c>
      <c r="T185" s="580">
        <f t="shared" si="26"/>
        <v>0</v>
      </c>
      <c r="U185" s="243">
        <f t="shared" si="22"/>
        <v>0</v>
      </c>
      <c r="V185" s="332">
        <f t="shared" si="29"/>
        <v>0</v>
      </c>
      <c r="W185" s="624"/>
      <c r="AA185" s="405"/>
      <c r="AJ185" s="405"/>
    </row>
    <row r="186" spans="3:36" ht="12.75" customHeight="1">
      <c r="C186" s="131"/>
      <c r="D186" s="169" t="str">
        <f>IF(oop!D124="","",oop!D124)</f>
        <v/>
      </c>
      <c r="E186" s="169" t="str">
        <f>IF(oop!E124=0,"",oop!E124)</f>
        <v/>
      </c>
      <c r="F186" s="169" t="str">
        <f>IF(oop!F124=0,"",oop!F124)</f>
        <v/>
      </c>
      <c r="G186" s="169" t="str">
        <f>IF(oop!G124="","",oop!G124+1)</f>
        <v/>
      </c>
      <c r="H186" s="641" t="str">
        <f>IF(oop!H124="","",oop!H124)</f>
        <v/>
      </c>
      <c r="I186" s="170" t="str">
        <f>IF(oop!I124=0,"",oop!I124)</f>
        <v/>
      </c>
      <c r="J186" s="567" t="str">
        <f>IF(E186="","",(IF(oop!J124+1&gt;LOOKUP(I186,schaal2011,regels2011),oop!J124,oop!J124+1)))</f>
        <v/>
      </c>
      <c r="K186" s="568" t="str">
        <f>IF(oop!K124="","",oop!K124)</f>
        <v/>
      </c>
      <c r="L186" s="569" t="str">
        <f>IF(oop!L124="","",oop!L124)</f>
        <v/>
      </c>
      <c r="M186" s="570" t="str">
        <f t="shared" si="27"/>
        <v/>
      </c>
      <c r="N186" s="551"/>
      <c r="O186" s="573" t="str">
        <f>IF(I186="","",VLOOKUP(I186,tab!$A$119:$W$159,J186+3,FALSE))</f>
        <v/>
      </c>
      <c r="P186" s="572">
        <f t="shared" si="28"/>
        <v>0</v>
      </c>
      <c r="Q186" s="589">
        <f t="shared" si="24"/>
        <v>0.6</v>
      </c>
      <c r="R186" s="573">
        <f t="shared" si="25"/>
        <v>0</v>
      </c>
      <c r="S186" s="332">
        <f>IF(L186="",0,(((O186*12)*L186)*(1+tab!$D$108)*IF(I186&gt;8,tab!$E$110,tab!$E$112)))</f>
        <v>0</v>
      </c>
      <c r="T186" s="580">
        <f t="shared" si="26"/>
        <v>0</v>
      </c>
      <c r="U186" s="243">
        <f t="shared" si="22"/>
        <v>0</v>
      </c>
      <c r="V186" s="332">
        <f t="shared" si="29"/>
        <v>0</v>
      </c>
      <c r="W186" s="624"/>
      <c r="AA186" s="405"/>
      <c r="AJ186" s="405"/>
    </row>
    <row r="187" spans="3:36" ht="12.75" customHeight="1">
      <c r="C187" s="131"/>
      <c r="D187" s="169" t="str">
        <f>IF(oop!D125="","",oop!D125)</f>
        <v/>
      </c>
      <c r="E187" s="169" t="str">
        <f>IF(oop!E125=0,"",oop!E125)</f>
        <v/>
      </c>
      <c r="F187" s="169" t="str">
        <f>IF(oop!F125=0,"",oop!F125)</f>
        <v/>
      </c>
      <c r="G187" s="169" t="str">
        <f>IF(oop!G125="","",oop!G125+1)</f>
        <v/>
      </c>
      <c r="H187" s="641" t="str">
        <f>IF(oop!H125="","",oop!H125)</f>
        <v/>
      </c>
      <c r="I187" s="170" t="str">
        <f>IF(oop!I125=0,"",oop!I125)</f>
        <v/>
      </c>
      <c r="J187" s="567" t="str">
        <f>IF(E187="","",(IF(oop!J125+1&gt;LOOKUP(I187,schaal2011,regels2011),oop!J125,oop!J125+1)))</f>
        <v/>
      </c>
      <c r="K187" s="568" t="str">
        <f>IF(oop!K125="","",oop!K125)</f>
        <v/>
      </c>
      <c r="L187" s="569" t="str">
        <f>IF(oop!L125="","",oop!L125)</f>
        <v/>
      </c>
      <c r="M187" s="570" t="str">
        <f t="shared" si="27"/>
        <v/>
      </c>
      <c r="N187" s="551"/>
      <c r="O187" s="573" t="str">
        <f>IF(I187="","",VLOOKUP(I187,tab!$A$119:$W$159,J187+3,FALSE))</f>
        <v/>
      </c>
      <c r="P187" s="572">
        <f t="shared" si="28"/>
        <v>0</v>
      </c>
      <c r="Q187" s="589">
        <f t="shared" si="24"/>
        <v>0.6</v>
      </c>
      <c r="R187" s="573">
        <f t="shared" si="25"/>
        <v>0</v>
      </c>
      <c r="S187" s="332">
        <f>IF(L187="",0,(((O187*12)*L187)*(1+tab!$D$108)*IF(I187&gt;8,tab!$E$110,tab!$E$112)))</f>
        <v>0</v>
      </c>
      <c r="T187" s="580">
        <f t="shared" si="26"/>
        <v>0</v>
      </c>
      <c r="U187" s="243">
        <f t="shared" si="22"/>
        <v>0</v>
      </c>
      <c r="V187" s="332">
        <f t="shared" si="29"/>
        <v>0</v>
      </c>
      <c r="W187" s="624"/>
      <c r="AA187" s="405"/>
      <c r="AJ187" s="405"/>
    </row>
    <row r="188" spans="3:36" ht="12.75" customHeight="1">
      <c r="C188" s="131"/>
      <c r="D188" s="169" t="str">
        <f>IF(oop!D126="","",oop!D126)</f>
        <v/>
      </c>
      <c r="E188" s="169" t="str">
        <f>IF(oop!E126=0,"",oop!E126)</f>
        <v/>
      </c>
      <c r="F188" s="169" t="str">
        <f>IF(oop!F126=0,"",oop!F126)</f>
        <v/>
      </c>
      <c r="G188" s="169" t="str">
        <f>IF(oop!G126="","",oop!G126+1)</f>
        <v/>
      </c>
      <c r="H188" s="641" t="str">
        <f>IF(oop!H126="","",oop!H126)</f>
        <v/>
      </c>
      <c r="I188" s="170" t="str">
        <f>IF(oop!I126=0,"",oop!I126)</f>
        <v/>
      </c>
      <c r="J188" s="567" t="str">
        <f>IF(E188="","",(IF(oop!J126+1&gt;LOOKUP(I188,schaal2011,regels2011),oop!J126,oop!J126+1)))</f>
        <v/>
      </c>
      <c r="K188" s="568" t="str">
        <f>IF(oop!K126="","",oop!K126)</f>
        <v/>
      </c>
      <c r="L188" s="569" t="str">
        <f>IF(oop!L126="","",oop!L126)</f>
        <v/>
      </c>
      <c r="M188" s="570" t="str">
        <f t="shared" si="27"/>
        <v/>
      </c>
      <c r="N188" s="551"/>
      <c r="O188" s="573" t="str">
        <f>IF(I188="","",VLOOKUP(I188,tab!$A$119:$W$159,J188+3,FALSE))</f>
        <v/>
      </c>
      <c r="P188" s="572">
        <f t="shared" si="28"/>
        <v>0</v>
      </c>
      <c r="Q188" s="589">
        <f t="shared" si="24"/>
        <v>0.6</v>
      </c>
      <c r="R188" s="573">
        <f t="shared" si="25"/>
        <v>0</v>
      </c>
      <c r="S188" s="332">
        <f>IF(L188="",0,(((O188*12)*L188)*(1+tab!$D$108)*IF(I188&gt;8,tab!$E$110,tab!$E$112)))</f>
        <v>0</v>
      </c>
      <c r="T188" s="580">
        <f t="shared" si="26"/>
        <v>0</v>
      </c>
      <c r="U188" s="243">
        <f t="shared" si="22"/>
        <v>0</v>
      </c>
      <c r="V188" s="332">
        <f t="shared" si="29"/>
        <v>0</v>
      </c>
      <c r="W188" s="624"/>
      <c r="AA188" s="405"/>
      <c r="AJ188" s="405"/>
    </row>
    <row r="189" spans="3:36" ht="12.75" customHeight="1">
      <c r="C189" s="131"/>
      <c r="D189" s="169" t="str">
        <f>IF(oop!D127="","",oop!D127)</f>
        <v/>
      </c>
      <c r="E189" s="169" t="str">
        <f>IF(oop!E127=0,"",oop!E127)</f>
        <v/>
      </c>
      <c r="F189" s="169" t="str">
        <f>IF(oop!F127=0,"",oop!F127)</f>
        <v/>
      </c>
      <c r="G189" s="169" t="str">
        <f>IF(oop!G127="","",oop!G127+1)</f>
        <v/>
      </c>
      <c r="H189" s="641" t="str">
        <f>IF(oop!H127="","",oop!H127)</f>
        <v/>
      </c>
      <c r="I189" s="170" t="str">
        <f>IF(oop!I127=0,"",oop!I127)</f>
        <v/>
      </c>
      <c r="J189" s="567" t="str">
        <f>IF(E189="","",(IF(oop!J127+1&gt;LOOKUP(I189,schaal2011,regels2011),oop!J127,oop!J127+1)))</f>
        <v/>
      </c>
      <c r="K189" s="568" t="str">
        <f>IF(oop!K127="","",oop!K127)</f>
        <v/>
      </c>
      <c r="L189" s="569" t="str">
        <f>IF(oop!L127="","",oop!L127)</f>
        <v/>
      </c>
      <c r="M189" s="570" t="str">
        <f t="shared" si="27"/>
        <v/>
      </c>
      <c r="N189" s="551"/>
      <c r="O189" s="573" t="str">
        <f>IF(I189="","",VLOOKUP(I189,tab!$A$119:$W$159,J189+3,FALSE))</f>
        <v/>
      </c>
      <c r="P189" s="572">
        <f t="shared" si="28"/>
        <v>0</v>
      </c>
      <c r="Q189" s="589">
        <f t="shared" si="24"/>
        <v>0.6</v>
      </c>
      <c r="R189" s="573">
        <f t="shared" si="25"/>
        <v>0</v>
      </c>
      <c r="S189" s="332">
        <f>IF(L189="",0,(((O189*12)*L189)*(1+tab!$D$108)*IF(I189&gt;8,tab!$E$110,tab!$E$112)))</f>
        <v>0</v>
      </c>
      <c r="T189" s="580">
        <f t="shared" si="26"/>
        <v>0</v>
      </c>
      <c r="U189" s="243">
        <f t="shared" si="22"/>
        <v>0</v>
      </c>
      <c r="V189" s="332">
        <f t="shared" si="29"/>
        <v>0</v>
      </c>
      <c r="W189" s="624"/>
      <c r="AA189" s="405"/>
      <c r="AJ189" s="405"/>
    </row>
    <row r="190" spans="3:36">
      <c r="C190" s="131"/>
      <c r="D190" s="319"/>
      <c r="E190" s="319"/>
      <c r="F190" s="319"/>
      <c r="G190" s="319"/>
      <c r="H190" s="319"/>
      <c r="I190" s="139"/>
      <c r="J190" s="625"/>
      <c r="K190" s="575">
        <f>SUM(K140:K189)</f>
        <v>0</v>
      </c>
      <c r="L190" s="575">
        <f>SUM(L140:L189)</f>
        <v>0</v>
      </c>
      <c r="M190" s="575">
        <f>SUM(M140:M189)</f>
        <v>0</v>
      </c>
      <c r="N190" s="550"/>
      <c r="O190" s="309">
        <f>SUM(O140:O189)</f>
        <v>0</v>
      </c>
      <c r="P190" s="309">
        <f>SUM(P140:P189)</f>
        <v>0</v>
      </c>
      <c r="Q190" s="299"/>
      <c r="R190" s="344">
        <f>SUM(R140:R189)</f>
        <v>0</v>
      </c>
      <c r="S190" s="344">
        <f>SUM(S140:S189)</f>
        <v>0</v>
      </c>
      <c r="T190" s="309">
        <f>SUM(T140:T189)</f>
        <v>0</v>
      </c>
      <c r="U190" s="574">
        <f>SUM(U140:U189)</f>
        <v>0</v>
      </c>
      <c r="V190" s="344">
        <f>SUM(V140:V189)</f>
        <v>0</v>
      </c>
      <c r="W190" s="626"/>
    </row>
    <row r="191" spans="3:36">
      <c r="C191" s="141"/>
      <c r="D191" s="557"/>
      <c r="E191" s="557"/>
      <c r="F191" s="557"/>
      <c r="G191" s="557"/>
      <c r="H191" s="557"/>
      <c r="I191" s="146"/>
      <c r="J191" s="559"/>
      <c r="K191" s="560"/>
      <c r="L191" s="559"/>
      <c r="M191" s="560"/>
      <c r="N191" s="559"/>
      <c r="O191" s="559"/>
      <c r="P191" s="299"/>
      <c r="Q191" s="299"/>
      <c r="R191" s="299"/>
      <c r="S191" s="562"/>
      <c r="T191" s="299"/>
      <c r="U191" s="563"/>
      <c r="V191" s="562"/>
      <c r="W191" s="627"/>
    </row>
    <row r="192" spans="3:36" ht="12.75" customHeight="1">
      <c r="H192" s="601"/>
      <c r="I192" s="67"/>
      <c r="K192" s="396"/>
      <c r="O192" s="407"/>
      <c r="P192" s="395"/>
      <c r="Q192" s="395"/>
      <c r="R192" s="395"/>
      <c r="S192" s="224"/>
      <c r="T192" s="408"/>
      <c r="U192" s="84"/>
      <c r="V192" s="224"/>
    </row>
    <row r="193" spans="1:41" ht="12.75" customHeight="1">
      <c r="H193" s="601"/>
      <c r="I193" s="67"/>
      <c r="K193" s="396"/>
      <c r="O193" s="407"/>
      <c r="P193" s="395"/>
      <c r="Q193" s="395"/>
      <c r="R193" s="395"/>
      <c r="S193" s="224"/>
      <c r="T193" s="408"/>
      <c r="U193" s="84"/>
      <c r="V193" s="224"/>
    </row>
    <row r="194" spans="1:41" ht="12.75" customHeight="1">
      <c r="C194" s="68" t="s">
        <v>290</v>
      </c>
      <c r="E194" s="370" t="str">
        <f>dir!E90</f>
        <v>2015/16</v>
      </c>
      <c r="H194" s="601"/>
      <c r="I194" s="67"/>
      <c r="K194" s="396"/>
      <c r="O194" s="407"/>
      <c r="P194" s="395"/>
      <c r="Q194" s="395"/>
      <c r="R194" s="395"/>
      <c r="S194" s="224"/>
      <c r="T194" s="408"/>
      <c r="U194" s="84"/>
      <c r="V194" s="224"/>
    </row>
    <row r="195" spans="1:41" ht="12.75" customHeight="1">
      <c r="C195" s="68" t="s">
        <v>291</v>
      </c>
      <c r="E195" s="370">
        <f>dir!E91</f>
        <v>42278</v>
      </c>
      <c r="H195" s="601"/>
      <c r="I195" s="67"/>
      <c r="K195" s="396"/>
      <c r="O195" s="407"/>
      <c r="P195" s="395"/>
      <c r="Q195" s="395"/>
      <c r="R195" s="395"/>
      <c r="S195" s="224"/>
      <c r="T195" s="408"/>
      <c r="U195" s="84"/>
      <c r="V195" s="224"/>
    </row>
    <row r="196" spans="1:41" ht="12.75" customHeight="1">
      <c r="H196" s="601"/>
      <c r="I196" s="67"/>
      <c r="K196" s="396"/>
      <c r="O196" s="407"/>
      <c r="P196" s="395"/>
      <c r="Q196" s="395"/>
      <c r="R196" s="395"/>
      <c r="S196" s="224"/>
      <c r="T196" s="408"/>
      <c r="U196" s="84"/>
      <c r="V196" s="224"/>
    </row>
    <row r="197" spans="1:41" ht="12.75" customHeight="1">
      <c r="C197" s="124"/>
      <c r="D197" s="628"/>
      <c r="E197" s="629"/>
      <c r="F197" s="630"/>
      <c r="G197" s="631"/>
      <c r="H197" s="632"/>
      <c r="I197" s="633"/>
      <c r="J197" s="633"/>
      <c r="K197" s="634"/>
      <c r="L197" s="633"/>
      <c r="M197" s="635"/>
      <c r="N197" s="636"/>
      <c r="O197" s="637"/>
      <c r="P197" s="636"/>
      <c r="Q197" s="636"/>
      <c r="R197" s="636"/>
      <c r="S197" s="638"/>
      <c r="T197" s="639"/>
      <c r="U197" s="640"/>
      <c r="V197" s="638"/>
      <c r="W197" s="130"/>
      <c r="AC197" s="596"/>
      <c r="AD197" s="597"/>
      <c r="AE197" s="596"/>
      <c r="AF197" s="596"/>
      <c r="AG197" s="596"/>
      <c r="AH197" s="348"/>
      <c r="AI197" s="598"/>
      <c r="AJ197" s="599"/>
      <c r="AK197" s="600"/>
      <c r="AL197" s="79"/>
      <c r="AM197" s="598"/>
    </row>
    <row r="198" spans="1:41" ht="12.75" customHeight="1">
      <c r="C198" s="620"/>
      <c r="D198" s="1176" t="s">
        <v>292</v>
      </c>
      <c r="E198" s="1177"/>
      <c r="F198" s="1177"/>
      <c r="G198" s="1177"/>
      <c r="H198" s="1177"/>
      <c r="I198" s="1178"/>
      <c r="J198" s="1178"/>
      <c r="K198" s="1178"/>
      <c r="L198" s="1178"/>
      <c r="M198" s="1178"/>
      <c r="N198" s="525"/>
      <c r="O198" s="1176" t="s">
        <v>293</v>
      </c>
      <c r="P198" s="1178"/>
      <c r="Q198" s="1178"/>
      <c r="R198" s="1178"/>
      <c r="S198" s="1178"/>
      <c r="T198" s="1178"/>
      <c r="U198" s="526"/>
      <c r="V198" s="242"/>
      <c r="W198" s="621"/>
      <c r="X198" s="393"/>
      <c r="Y198" s="393"/>
      <c r="Z198" s="349"/>
      <c r="AA198" s="85"/>
      <c r="AB198" s="349"/>
      <c r="AC198" s="68"/>
      <c r="AD198" s="68"/>
      <c r="AL198" s="68"/>
      <c r="AM198" s="68"/>
      <c r="AN198" s="393"/>
      <c r="AO198" s="393"/>
    </row>
    <row r="199" spans="1:41" ht="12.75" customHeight="1">
      <c r="C199" s="524"/>
      <c r="D199" s="528" t="s">
        <v>541</v>
      </c>
      <c r="E199" s="528" t="s">
        <v>294</v>
      </c>
      <c r="F199" s="528" t="s">
        <v>295</v>
      </c>
      <c r="G199" s="529" t="s">
        <v>296</v>
      </c>
      <c r="H199" s="530" t="s">
        <v>297</v>
      </c>
      <c r="I199" s="529" t="s">
        <v>302</v>
      </c>
      <c r="J199" s="529" t="s">
        <v>303</v>
      </c>
      <c r="K199" s="531" t="s">
        <v>305</v>
      </c>
      <c r="L199" s="532" t="s">
        <v>306</v>
      </c>
      <c r="M199" s="531" t="s">
        <v>307</v>
      </c>
      <c r="N199" s="528"/>
      <c r="O199" s="535" t="s">
        <v>304</v>
      </c>
      <c r="P199" s="535" t="s">
        <v>738</v>
      </c>
      <c r="Q199" s="587" t="s">
        <v>739</v>
      </c>
      <c r="R199" s="510"/>
      <c r="S199" s="536" t="s">
        <v>306</v>
      </c>
      <c r="T199" s="576" t="s">
        <v>308</v>
      </c>
      <c r="U199" s="537" t="s">
        <v>309</v>
      </c>
      <c r="V199" s="242" t="s">
        <v>740</v>
      </c>
      <c r="W199" s="538"/>
      <c r="X199" s="394"/>
      <c r="Y199" s="394"/>
      <c r="Z199" s="392"/>
      <c r="AA199" s="391"/>
      <c r="AB199" s="392"/>
      <c r="AC199" s="68"/>
      <c r="AD199" s="68"/>
      <c r="AL199" s="68"/>
      <c r="AM199" s="68"/>
      <c r="AN199" s="393"/>
      <c r="AO199" s="394"/>
    </row>
    <row r="200" spans="1:41" s="403" customFormat="1" ht="12.75" customHeight="1">
      <c r="A200" s="402"/>
      <c r="B200" s="402"/>
      <c r="C200" s="622"/>
      <c r="D200" s="540"/>
      <c r="E200" s="528"/>
      <c r="F200" s="532"/>
      <c r="G200" s="529" t="s">
        <v>312</v>
      </c>
      <c r="H200" s="530" t="s">
        <v>313</v>
      </c>
      <c r="I200" s="529"/>
      <c r="J200" s="529"/>
      <c r="K200" s="531" t="s">
        <v>316</v>
      </c>
      <c r="L200" s="532" t="s">
        <v>317</v>
      </c>
      <c r="M200" s="531" t="s">
        <v>318</v>
      </c>
      <c r="N200" s="528"/>
      <c r="O200" s="535" t="s">
        <v>315</v>
      </c>
      <c r="P200" s="535" t="s">
        <v>741</v>
      </c>
      <c r="Q200" s="577">
        <f>Q138</f>
        <v>0.6</v>
      </c>
      <c r="R200" s="510" t="s">
        <v>742</v>
      </c>
      <c r="S200" s="536" t="s">
        <v>310</v>
      </c>
      <c r="T200" s="576" t="s">
        <v>391</v>
      </c>
      <c r="U200" s="537"/>
      <c r="V200" s="536" t="s">
        <v>310</v>
      </c>
      <c r="W200" s="623"/>
      <c r="AO200" s="404"/>
    </row>
    <row r="201" spans="1:41" ht="12.75" customHeight="1">
      <c r="C201" s="131"/>
      <c r="D201" s="155"/>
      <c r="E201" s="155"/>
      <c r="F201" s="155"/>
      <c r="G201" s="155"/>
      <c r="H201" s="543"/>
      <c r="I201" s="544"/>
      <c r="J201" s="544"/>
      <c r="K201" s="545"/>
      <c r="L201" s="542"/>
      <c r="M201" s="545"/>
      <c r="N201" s="155"/>
      <c r="O201" s="546"/>
      <c r="P201" s="547"/>
      <c r="Q201" s="547"/>
      <c r="R201" s="547"/>
      <c r="S201" s="548"/>
      <c r="T201" s="547"/>
      <c r="U201" s="549"/>
      <c r="V201" s="548"/>
      <c r="W201" s="136"/>
      <c r="AC201" s="68"/>
      <c r="AD201" s="68"/>
      <c r="AL201" s="68"/>
      <c r="AM201" s="68"/>
      <c r="AO201" s="395"/>
    </row>
    <row r="202" spans="1:41" ht="12.75" customHeight="1">
      <c r="C202" s="131"/>
      <c r="D202" s="169" t="str">
        <f>IF(oop!D140=0,"",oop!D140)</f>
        <v/>
      </c>
      <c r="E202" s="169" t="str">
        <f>IF(oop!E140=0,"",oop!E140)</f>
        <v/>
      </c>
      <c r="F202" s="169" t="str">
        <f>IF(oop!F140=0,"",oop!F140)</f>
        <v/>
      </c>
      <c r="G202" s="170" t="str">
        <f>IF(oop!G140="","",oop!G140+1)</f>
        <v/>
      </c>
      <c r="H202" s="566" t="str">
        <f>IF(oop!H140="","",oop!H140)</f>
        <v/>
      </c>
      <c r="I202" s="170" t="str">
        <f>IF(oop!I140=0,"",oop!I140)</f>
        <v/>
      </c>
      <c r="J202" s="567" t="str">
        <f>IF(E202="","",(IF(oop!J140+1&gt;LOOKUP(I202,schaal2011,regels2011),oop!J140,oop!J140+1)))</f>
        <v/>
      </c>
      <c r="K202" s="568" t="str">
        <f>IF(oop!K140="","",oop!K140)</f>
        <v/>
      </c>
      <c r="L202" s="569" t="str">
        <f>IF(oop!L140="","",oop!L140)</f>
        <v/>
      </c>
      <c r="M202" s="570" t="str">
        <f t="shared" ref="M202:M251" si="30">(IF(L202="",(K202),(K202)-L202))</f>
        <v/>
      </c>
      <c r="N202" s="551"/>
      <c r="O202" s="573" t="str">
        <f>IF(I202="","",VLOOKUP(I202,tab!$A$119:$W$159,J202+3,FALSE))</f>
        <v/>
      </c>
      <c r="P202" s="572">
        <f t="shared" ref="P202:P233" si="31">IF(E202="",0,(O202*M202*12))</f>
        <v>0</v>
      </c>
      <c r="Q202" s="589">
        <f>$Q$200</f>
        <v>0.6</v>
      </c>
      <c r="R202" s="573">
        <f>IF(E202=0,"",(P202)*Q202)</f>
        <v>0</v>
      </c>
      <c r="S202" s="332">
        <f>IF(L202="",0,(((O202*12)*L202)*(1+tab!$D$108)*IF(I202&gt;8,tab!$E$110,tab!$E$112)))</f>
        <v>0</v>
      </c>
      <c r="T202" s="580">
        <f>IF(E202=0,0,(P202+R202+S202))</f>
        <v>0</v>
      </c>
      <c r="U202" s="243">
        <f t="shared" ref="U202:U251" si="32">IF(G202&lt;25,0,IF(G202=25,25,IF(G202&lt;40,0,IF(G202=40,40,IF(G202&gt;=40,0)))))</f>
        <v>0</v>
      </c>
      <c r="V202" s="332">
        <f t="shared" ref="V202:V233" si="33">IF(U202=25,(O202*1.08*(K202)/2),IF(U202=40,(O202*1.08*(K202)),IF(U202=0,0)))</f>
        <v>0</v>
      </c>
      <c r="W202" s="624"/>
      <c r="AA202" s="405"/>
      <c r="AJ202" s="405"/>
    </row>
    <row r="203" spans="1:41" ht="12.75" customHeight="1">
      <c r="C203" s="131"/>
      <c r="D203" s="169" t="str">
        <f>IF(oop!D141=0,"",oop!D141)</f>
        <v/>
      </c>
      <c r="E203" s="169" t="str">
        <f>IF(oop!E141=0,"",oop!E141)</f>
        <v/>
      </c>
      <c r="F203" s="169" t="str">
        <f>IF(oop!F141=0,"",oop!F141)</f>
        <v/>
      </c>
      <c r="G203" s="169" t="str">
        <f>IF(oop!G141="","",oop!G141+1)</f>
        <v/>
      </c>
      <c r="H203" s="641" t="str">
        <f>IF(oop!H141="","",oop!H141)</f>
        <v/>
      </c>
      <c r="I203" s="170" t="str">
        <f>IF(oop!I141=0,"",oop!I141)</f>
        <v/>
      </c>
      <c r="J203" s="567" t="str">
        <f>IF(E203="","",(IF(oop!J141+1&gt;LOOKUP(I203,schaal2011,regels2011),oop!J141,oop!J141+1)))</f>
        <v/>
      </c>
      <c r="K203" s="568" t="str">
        <f>IF(oop!K141="","",oop!K141)</f>
        <v/>
      </c>
      <c r="L203" s="569" t="str">
        <f>IF(oop!L141="","",oop!L141)</f>
        <v/>
      </c>
      <c r="M203" s="570" t="str">
        <f t="shared" si="30"/>
        <v/>
      </c>
      <c r="N203" s="551"/>
      <c r="O203" s="573" t="str">
        <f>IF(I203="","",VLOOKUP(I203,tab!$A$119:$W$159,J203+3,FALSE))</f>
        <v/>
      </c>
      <c r="P203" s="572">
        <f t="shared" si="31"/>
        <v>0</v>
      </c>
      <c r="Q203" s="589">
        <f t="shared" ref="Q203:Q251" si="34">$Q$200</f>
        <v>0.6</v>
      </c>
      <c r="R203" s="573">
        <f t="shared" ref="R203:R251" si="35">IF(E203=0,"",(P203)*Q203)</f>
        <v>0</v>
      </c>
      <c r="S203" s="332">
        <f>IF(L203="",0,(((O203*12)*L203)*(1+tab!$D$108)*IF(I203&gt;8,tab!$E$110,tab!$E$112)))</f>
        <v>0</v>
      </c>
      <c r="T203" s="580">
        <f t="shared" ref="T203:T251" si="36">IF(E203=0,0,(P203+R203+S203))</f>
        <v>0</v>
      </c>
      <c r="U203" s="243">
        <f t="shared" si="32"/>
        <v>0</v>
      </c>
      <c r="V203" s="332">
        <f t="shared" si="33"/>
        <v>0</v>
      </c>
      <c r="W203" s="624"/>
      <c r="AA203" s="405"/>
      <c r="AJ203" s="405"/>
    </row>
    <row r="204" spans="1:41" ht="12.75" customHeight="1">
      <c r="C204" s="131"/>
      <c r="D204" s="169" t="str">
        <f>IF(oop!D142=0,"",oop!D142)</f>
        <v/>
      </c>
      <c r="E204" s="169" t="str">
        <f>IF(oop!E142=0,"",oop!E142)</f>
        <v/>
      </c>
      <c r="F204" s="169" t="str">
        <f>IF(oop!F142=0,"",oop!F142)</f>
        <v/>
      </c>
      <c r="G204" s="169" t="str">
        <f>IF(oop!G142="","",oop!G142+1)</f>
        <v/>
      </c>
      <c r="H204" s="641" t="str">
        <f>IF(oop!H142="","",oop!H142)</f>
        <v/>
      </c>
      <c r="I204" s="170" t="str">
        <f>IF(oop!I142=0,"",oop!I142)</f>
        <v/>
      </c>
      <c r="J204" s="567" t="str">
        <f>IF(E204="","",(IF(oop!J142+1&gt;LOOKUP(I204,schaal2011,regels2011),oop!J142,oop!J142+1)))</f>
        <v/>
      </c>
      <c r="K204" s="568" t="str">
        <f>IF(oop!K142="","",oop!K142)</f>
        <v/>
      </c>
      <c r="L204" s="569" t="str">
        <f>IF(oop!L142="","",oop!L142)</f>
        <v/>
      </c>
      <c r="M204" s="570" t="str">
        <f t="shared" si="30"/>
        <v/>
      </c>
      <c r="N204" s="551"/>
      <c r="O204" s="573" t="str">
        <f>IF(I204="","",VLOOKUP(I204,tab!$A$119:$W$159,J204+3,FALSE))</f>
        <v/>
      </c>
      <c r="P204" s="572">
        <f t="shared" si="31"/>
        <v>0</v>
      </c>
      <c r="Q204" s="589">
        <f t="shared" si="34"/>
        <v>0.6</v>
      </c>
      <c r="R204" s="573">
        <f t="shared" si="35"/>
        <v>0</v>
      </c>
      <c r="S204" s="332">
        <f>IF(L204="",0,(((O204*12)*L204)*(1+tab!$D$108)*IF(I204&gt;8,tab!$E$110,tab!$E$112)))</f>
        <v>0</v>
      </c>
      <c r="T204" s="580">
        <f t="shared" si="36"/>
        <v>0</v>
      </c>
      <c r="U204" s="243">
        <f t="shared" si="32"/>
        <v>0</v>
      </c>
      <c r="V204" s="332">
        <f t="shared" si="33"/>
        <v>0</v>
      </c>
      <c r="W204" s="624"/>
      <c r="AA204" s="405"/>
      <c r="AJ204" s="405"/>
    </row>
    <row r="205" spans="1:41" ht="12.75" customHeight="1">
      <c r="C205" s="131"/>
      <c r="D205" s="169" t="str">
        <f>IF(oop!D143=0,"",oop!D143)</f>
        <v/>
      </c>
      <c r="E205" s="169" t="str">
        <f>IF(oop!E143=0,"",oop!E143)</f>
        <v/>
      </c>
      <c r="F205" s="169" t="str">
        <f>IF(oop!F143=0,"",oop!F143)</f>
        <v/>
      </c>
      <c r="G205" s="169" t="str">
        <f>IF(oop!G143="","",oop!G143+1)</f>
        <v/>
      </c>
      <c r="H205" s="641" t="str">
        <f>IF(oop!H143="","",oop!H143)</f>
        <v/>
      </c>
      <c r="I205" s="170" t="str">
        <f>IF(oop!I143=0,"",oop!I143)</f>
        <v/>
      </c>
      <c r="J205" s="567" t="str">
        <f>IF(E205="","",(IF(oop!J143+1&gt;LOOKUP(I205,schaal2011,regels2011),oop!J143,oop!J143+1)))</f>
        <v/>
      </c>
      <c r="K205" s="568" t="str">
        <f>IF(oop!K143="","",oop!K143)</f>
        <v/>
      </c>
      <c r="L205" s="569" t="str">
        <f>IF(oop!L143="","",oop!L143)</f>
        <v/>
      </c>
      <c r="M205" s="570" t="str">
        <f t="shared" si="30"/>
        <v/>
      </c>
      <c r="N205" s="551"/>
      <c r="O205" s="573" t="str">
        <f>IF(I205="","",VLOOKUP(I205,tab!$A$119:$W$159,J205+3,FALSE))</f>
        <v/>
      </c>
      <c r="P205" s="572">
        <f t="shared" si="31"/>
        <v>0</v>
      </c>
      <c r="Q205" s="589">
        <f t="shared" si="34"/>
        <v>0.6</v>
      </c>
      <c r="R205" s="573">
        <f t="shared" si="35"/>
        <v>0</v>
      </c>
      <c r="S205" s="332">
        <f>IF(L205="",0,(((O205*12)*L205)*(1+tab!$D$108)*IF(I205&gt;8,tab!$E$110,tab!$E$112)))</f>
        <v>0</v>
      </c>
      <c r="T205" s="580">
        <f t="shared" si="36"/>
        <v>0</v>
      </c>
      <c r="U205" s="243">
        <f t="shared" si="32"/>
        <v>0</v>
      </c>
      <c r="V205" s="332">
        <f t="shared" si="33"/>
        <v>0</v>
      </c>
      <c r="W205" s="624"/>
      <c r="AA205" s="405"/>
      <c r="AJ205" s="405"/>
    </row>
    <row r="206" spans="1:41" ht="12.75" customHeight="1">
      <c r="C206" s="131"/>
      <c r="D206" s="169" t="str">
        <f>IF(oop!D144=0,"",oop!D144)</f>
        <v/>
      </c>
      <c r="E206" s="169" t="str">
        <f>IF(oop!E144=0,"",oop!E144)</f>
        <v/>
      </c>
      <c r="F206" s="169" t="str">
        <f>IF(oop!F144=0,"",oop!F144)</f>
        <v/>
      </c>
      <c r="G206" s="169" t="str">
        <f>IF(oop!G144="","",oop!G144+1)</f>
        <v/>
      </c>
      <c r="H206" s="641" t="str">
        <f>IF(oop!H144="","",oop!H144)</f>
        <v/>
      </c>
      <c r="I206" s="170" t="str">
        <f>IF(oop!I144=0,"",oop!I144)</f>
        <v/>
      </c>
      <c r="J206" s="567" t="str">
        <f>IF(E206="","",(IF(oop!J144+1&gt;LOOKUP(I206,schaal2011,regels2011),oop!J144,oop!J144+1)))</f>
        <v/>
      </c>
      <c r="K206" s="568" t="str">
        <f>IF(oop!K144="","",oop!K144)</f>
        <v/>
      </c>
      <c r="L206" s="569" t="str">
        <f>IF(oop!L144="","",oop!L144)</f>
        <v/>
      </c>
      <c r="M206" s="570" t="str">
        <f t="shared" si="30"/>
        <v/>
      </c>
      <c r="N206" s="551"/>
      <c r="O206" s="573" t="str">
        <f>IF(I206="","",VLOOKUP(I206,tab!$A$119:$W$159,J206+3,FALSE))</f>
        <v/>
      </c>
      <c r="P206" s="572">
        <f t="shared" si="31"/>
        <v>0</v>
      </c>
      <c r="Q206" s="589">
        <f t="shared" si="34"/>
        <v>0.6</v>
      </c>
      <c r="R206" s="573">
        <f t="shared" si="35"/>
        <v>0</v>
      </c>
      <c r="S206" s="332">
        <f>IF(L206="",0,(((O206*12)*L206)*(1+tab!$D$108)*IF(I206&gt;8,tab!$E$110,tab!$E$112)))</f>
        <v>0</v>
      </c>
      <c r="T206" s="580">
        <f t="shared" si="36"/>
        <v>0</v>
      </c>
      <c r="U206" s="243">
        <f t="shared" si="32"/>
        <v>0</v>
      </c>
      <c r="V206" s="332">
        <f t="shared" si="33"/>
        <v>0</v>
      </c>
      <c r="W206" s="624"/>
      <c r="AA206" s="405"/>
      <c r="AJ206" s="405"/>
    </row>
    <row r="207" spans="1:41" ht="12.75" customHeight="1">
      <c r="C207" s="131"/>
      <c r="D207" s="169" t="str">
        <f>IF(oop!D145=0,"",oop!D145)</f>
        <v/>
      </c>
      <c r="E207" s="169" t="str">
        <f>IF(oop!E145=0,"",oop!E145)</f>
        <v/>
      </c>
      <c r="F207" s="169" t="str">
        <f>IF(oop!F145=0,"",oop!F145)</f>
        <v/>
      </c>
      <c r="G207" s="169" t="str">
        <f>IF(oop!G145="","",oop!G145+1)</f>
        <v/>
      </c>
      <c r="H207" s="641" t="str">
        <f>IF(oop!H145="","",oop!H145)</f>
        <v/>
      </c>
      <c r="I207" s="170" t="str">
        <f>IF(oop!I145=0,"",oop!I145)</f>
        <v/>
      </c>
      <c r="J207" s="567" t="str">
        <f>IF(E207="","",(IF(oop!J145+1&gt;LOOKUP(I207,schaal2011,regels2011),oop!J145,oop!J145+1)))</f>
        <v/>
      </c>
      <c r="K207" s="568" t="str">
        <f>IF(oop!K145="","",oop!K145)</f>
        <v/>
      </c>
      <c r="L207" s="569" t="str">
        <f>IF(oop!L145="","",oop!L145)</f>
        <v/>
      </c>
      <c r="M207" s="570" t="str">
        <f t="shared" si="30"/>
        <v/>
      </c>
      <c r="N207" s="551"/>
      <c r="O207" s="573" t="str">
        <f>IF(I207="","",VLOOKUP(I207,tab!$A$119:$W$159,J207+3,FALSE))</f>
        <v/>
      </c>
      <c r="P207" s="572">
        <f t="shared" si="31"/>
        <v>0</v>
      </c>
      <c r="Q207" s="589">
        <f t="shared" si="34"/>
        <v>0.6</v>
      </c>
      <c r="R207" s="573">
        <f t="shared" si="35"/>
        <v>0</v>
      </c>
      <c r="S207" s="332">
        <f>IF(L207="",0,(((O207*12)*L207)*(1+tab!$D$108)*IF(I207&gt;8,tab!$E$110,tab!$E$112)))</f>
        <v>0</v>
      </c>
      <c r="T207" s="580">
        <f t="shared" si="36"/>
        <v>0</v>
      </c>
      <c r="U207" s="243">
        <f t="shared" si="32"/>
        <v>0</v>
      </c>
      <c r="V207" s="332">
        <f t="shared" si="33"/>
        <v>0</v>
      </c>
      <c r="W207" s="624"/>
      <c r="AA207" s="405"/>
      <c r="AJ207" s="405"/>
    </row>
    <row r="208" spans="1:41" ht="12.75" customHeight="1">
      <c r="C208" s="131"/>
      <c r="D208" s="169" t="str">
        <f>IF(oop!D146=0,"",oop!D146)</f>
        <v/>
      </c>
      <c r="E208" s="169" t="str">
        <f>IF(oop!E146=0,"",oop!E146)</f>
        <v/>
      </c>
      <c r="F208" s="169" t="str">
        <f>IF(oop!F146=0,"",oop!F146)</f>
        <v/>
      </c>
      <c r="G208" s="169" t="str">
        <f>IF(oop!G146="","",oop!G146+1)</f>
        <v/>
      </c>
      <c r="H208" s="641" t="str">
        <f>IF(oop!H146="","",oop!H146)</f>
        <v/>
      </c>
      <c r="I208" s="170" t="str">
        <f>IF(oop!I146=0,"",oop!I146)</f>
        <v/>
      </c>
      <c r="J208" s="567" t="str">
        <f>IF(E208="","",(IF(oop!J146+1&gt;LOOKUP(I208,schaal2011,regels2011),oop!J146,oop!J146+1)))</f>
        <v/>
      </c>
      <c r="K208" s="568" t="str">
        <f>IF(oop!K146="","",oop!K146)</f>
        <v/>
      </c>
      <c r="L208" s="569" t="str">
        <f>IF(oop!L146="","",oop!L146)</f>
        <v/>
      </c>
      <c r="M208" s="570" t="str">
        <f t="shared" si="30"/>
        <v/>
      </c>
      <c r="N208" s="551"/>
      <c r="O208" s="573" t="str">
        <f>IF(I208="","",VLOOKUP(I208,tab!$A$119:$W$159,J208+3,FALSE))</f>
        <v/>
      </c>
      <c r="P208" s="572">
        <f t="shared" si="31"/>
        <v>0</v>
      </c>
      <c r="Q208" s="589">
        <f t="shared" si="34"/>
        <v>0.6</v>
      </c>
      <c r="R208" s="573">
        <f t="shared" si="35"/>
        <v>0</v>
      </c>
      <c r="S208" s="332">
        <f>IF(L208="",0,(((O208*12)*L208)*(1+tab!$D$108)*IF(I208&gt;8,tab!$E$110,tab!$E$112)))</f>
        <v>0</v>
      </c>
      <c r="T208" s="580">
        <f t="shared" si="36"/>
        <v>0</v>
      </c>
      <c r="U208" s="243">
        <f t="shared" si="32"/>
        <v>0</v>
      </c>
      <c r="V208" s="332">
        <f t="shared" si="33"/>
        <v>0</v>
      </c>
      <c r="W208" s="624"/>
      <c r="AA208" s="405"/>
      <c r="AJ208" s="405"/>
    </row>
    <row r="209" spans="3:36" ht="12.75" customHeight="1">
      <c r="C209" s="131"/>
      <c r="D209" s="169" t="str">
        <f>IF(oop!D147=0,"",oop!D147)</f>
        <v/>
      </c>
      <c r="E209" s="169" t="str">
        <f>IF(oop!E147=0,"",oop!E147)</f>
        <v/>
      </c>
      <c r="F209" s="169" t="str">
        <f>IF(oop!F147=0,"",oop!F147)</f>
        <v/>
      </c>
      <c r="G209" s="169" t="str">
        <f>IF(oop!G147="","",oop!G147+1)</f>
        <v/>
      </c>
      <c r="H209" s="641" t="str">
        <f>IF(oop!H147="","",oop!H147)</f>
        <v/>
      </c>
      <c r="I209" s="170" t="str">
        <f>IF(oop!I147=0,"",oop!I147)</f>
        <v/>
      </c>
      <c r="J209" s="567" t="str">
        <f>IF(E209="","",(IF(oop!J147+1&gt;LOOKUP(I209,schaal2011,regels2011),oop!J147,oop!J147+1)))</f>
        <v/>
      </c>
      <c r="K209" s="568" t="str">
        <f>IF(oop!K147="","",oop!K147)</f>
        <v/>
      </c>
      <c r="L209" s="569" t="str">
        <f>IF(oop!L147="","",oop!L147)</f>
        <v/>
      </c>
      <c r="M209" s="570" t="str">
        <f t="shared" si="30"/>
        <v/>
      </c>
      <c r="N209" s="551"/>
      <c r="O209" s="573" t="str">
        <f>IF(I209="","",VLOOKUP(I209,tab!$A$119:$W$159,J209+3,FALSE))</f>
        <v/>
      </c>
      <c r="P209" s="572">
        <f t="shared" si="31"/>
        <v>0</v>
      </c>
      <c r="Q209" s="589">
        <f t="shared" si="34"/>
        <v>0.6</v>
      </c>
      <c r="R209" s="573">
        <f t="shared" si="35"/>
        <v>0</v>
      </c>
      <c r="S209" s="332">
        <f>IF(L209="",0,(((O209*12)*L209)*(1+tab!$D$108)*IF(I209&gt;8,tab!$E$110,tab!$E$112)))</f>
        <v>0</v>
      </c>
      <c r="T209" s="580">
        <f t="shared" si="36"/>
        <v>0</v>
      </c>
      <c r="U209" s="243">
        <f t="shared" si="32"/>
        <v>0</v>
      </c>
      <c r="V209" s="332">
        <f t="shared" si="33"/>
        <v>0</v>
      </c>
      <c r="W209" s="624"/>
      <c r="AA209" s="405"/>
      <c r="AJ209" s="405"/>
    </row>
    <row r="210" spans="3:36" ht="12.75" customHeight="1">
      <c r="C210" s="131"/>
      <c r="D210" s="169" t="str">
        <f>IF(oop!D148=0,"",oop!D148)</f>
        <v/>
      </c>
      <c r="E210" s="169" t="str">
        <f>IF(oop!E148=0,"",oop!E148)</f>
        <v/>
      </c>
      <c r="F210" s="169" t="str">
        <f>IF(oop!F148=0,"",oop!F148)</f>
        <v/>
      </c>
      <c r="G210" s="169" t="str">
        <f>IF(oop!G148="","",oop!G148+1)</f>
        <v/>
      </c>
      <c r="H210" s="641" t="str">
        <f>IF(oop!H148="","",oop!H148)</f>
        <v/>
      </c>
      <c r="I210" s="170" t="str">
        <f>IF(oop!I148=0,"",oop!I148)</f>
        <v/>
      </c>
      <c r="J210" s="567" t="str">
        <f>IF(E210="","",(IF(oop!J148+1&gt;LOOKUP(I210,schaal2011,regels2011),oop!J148,oop!J148+1)))</f>
        <v/>
      </c>
      <c r="K210" s="568" t="str">
        <f>IF(oop!K148="","",oop!K148)</f>
        <v/>
      </c>
      <c r="L210" s="569" t="str">
        <f>IF(oop!L148="","",oop!L148)</f>
        <v/>
      </c>
      <c r="M210" s="570" t="str">
        <f t="shared" si="30"/>
        <v/>
      </c>
      <c r="N210" s="551"/>
      <c r="O210" s="573" t="str">
        <f>IF(I210="","",VLOOKUP(I210,tab!$A$119:$W$159,J210+3,FALSE))</f>
        <v/>
      </c>
      <c r="P210" s="572">
        <f t="shared" si="31"/>
        <v>0</v>
      </c>
      <c r="Q210" s="589">
        <f t="shared" si="34"/>
        <v>0.6</v>
      </c>
      <c r="R210" s="573">
        <f t="shared" si="35"/>
        <v>0</v>
      </c>
      <c r="S210" s="332">
        <f>IF(L210="",0,(((O210*12)*L210)*(1+tab!$D$108)*IF(I210&gt;8,tab!$E$110,tab!$E$112)))</f>
        <v>0</v>
      </c>
      <c r="T210" s="580">
        <f t="shared" si="36"/>
        <v>0</v>
      </c>
      <c r="U210" s="243">
        <f t="shared" si="32"/>
        <v>0</v>
      </c>
      <c r="V210" s="332">
        <f t="shared" si="33"/>
        <v>0</v>
      </c>
      <c r="W210" s="624"/>
      <c r="AA210" s="405"/>
      <c r="AJ210" s="405"/>
    </row>
    <row r="211" spans="3:36" ht="12.75" customHeight="1">
      <c r="C211" s="131"/>
      <c r="D211" s="169" t="str">
        <f>IF(oop!D149=0,"",oop!D149)</f>
        <v/>
      </c>
      <c r="E211" s="169" t="str">
        <f>IF(oop!E149=0,"",oop!E149)</f>
        <v/>
      </c>
      <c r="F211" s="169" t="str">
        <f>IF(oop!F149=0,"",oop!F149)</f>
        <v/>
      </c>
      <c r="G211" s="169" t="str">
        <f>IF(oop!G149="","",oop!G149+1)</f>
        <v/>
      </c>
      <c r="H211" s="641" t="str">
        <f>IF(oop!H149="","",oop!H149)</f>
        <v/>
      </c>
      <c r="I211" s="170" t="str">
        <f>IF(oop!I149=0,"",oop!I149)</f>
        <v/>
      </c>
      <c r="J211" s="567" t="str">
        <f>IF(E211="","",(IF(oop!J149+1&gt;LOOKUP(I211,schaal2011,regels2011),oop!J149,oop!J149+1)))</f>
        <v/>
      </c>
      <c r="K211" s="568" t="str">
        <f>IF(oop!K149="","",oop!K149)</f>
        <v/>
      </c>
      <c r="L211" s="569" t="str">
        <f>IF(oop!L149="","",oop!L149)</f>
        <v/>
      </c>
      <c r="M211" s="570" t="str">
        <f t="shared" si="30"/>
        <v/>
      </c>
      <c r="N211" s="551"/>
      <c r="O211" s="573" t="str">
        <f>IF(I211="","",VLOOKUP(I211,tab!$A$119:$W$159,J211+3,FALSE))</f>
        <v/>
      </c>
      <c r="P211" s="572">
        <f t="shared" si="31"/>
        <v>0</v>
      </c>
      <c r="Q211" s="589">
        <f t="shared" si="34"/>
        <v>0.6</v>
      </c>
      <c r="R211" s="573">
        <f t="shared" si="35"/>
        <v>0</v>
      </c>
      <c r="S211" s="332">
        <f>IF(L211="",0,(((O211*12)*L211)*(1+tab!$D$108)*IF(I211&gt;8,tab!$E$110,tab!$E$112)))</f>
        <v>0</v>
      </c>
      <c r="T211" s="580">
        <f t="shared" si="36"/>
        <v>0</v>
      </c>
      <c r="U211" s="243">
        <f t="shared" si="32"/>
        <v>0</v>
      </c>
      <c r="V211" s="332">
        <f t="shared" si="33"/>
        <v>0</v>
      </c>
      <c r="W211" s="624"/>
      <c r="AA211" s="405"/>
      <c r="AJ211" s="405"/>
    </row>
    <row r="212" spans="3:36" ht="12.75" customHeight="1">
      <c r="C212" s="131"/>
      <c r="D212" s="169" t="str">
        <f>IF(oop!D150=0,"",oop!D150)</f>
        <v/>
      </c>
      <c r="E212" s="169" t="str">
        <f>IF(oop!E150=0,"",oop!E150)</f>
        <v/>
      </c>
      <c r="F212" s="169" t="str">
        <f>IF(oop!F150=0,"",oop!F150)</f>
        <v/>
      </c>
      <c r="G212" s="169" t="str">
        <f>IF(oop!G150="","",oop!G150+1)</f>
        <v/>
      </c>
      <c r="H212" s="641" t="str">
        <f>IF(oop!H150="","",oop!H150)</f>
        <v/>
      </c>
      <c r="I212" s="170" t="str">
        <f>IF(oop!I150=0,"",oop!I150)</f>
        <v/>
      </c>
      <c r="J212" s="567" t="str">
        <f>IF(E212="","",(IF(oop!J150+1&gt;LOOKUP(I212,schaal2011,regels2011),oop!J150,oop!J150+1)))</f>
        <v/>
      </c>
      <c r="K212" s="568" t="str">
        <f>IF(oop!K150="","",oop!K150)</f>
        <v/>
      </c>
      <c r="L212" s="569" t="str">
        <f>IF(oop!L150="","",oop!L150)</f>
        <v/>
      </c>
      <c r="M212" s="570" t="str">
        <f t="shared" si="30"/>
        <v/>
      </c>
      <c r="N212" s="551"/>
      <c r="O212" s="573" t="str">
        <f>IF(I212="","",VLOOKUP(I212,tab!$A$119:$W$159,J212+3,FALSE))</f>
        <v/>
      </c>
      <c r="P212" s="572">
        <f t="shared" si="31"/>
        <v>0</v>
      </c>
      <c r="Q212" s="589">
        <f t="shared" si="34"/>
        <v>0.6</v>
      </c>
      <c r="R212" s="573">
        <f t="shared" si="35"/>
        <v>0</v>
      </c>
      <c r="S212" s="332">
        <f>IF(L212="",0,(((O212*12)*L212)*(1+tab!$D$108)*IF(I212&gt;8,tab!$E$110,tab!$E$112)))</f>
        <v>0</v>
      </c>
      <c r="T212" s="580">
        <f t="shared" si="36"/>
        <v>0</v>
      </c>
      <c r="U212" s="243">
        <f t="shared" si="32"/>
        <v>0</v>
      </c>
      <c r="V212" s="332">
        <f t="shared" si="33"/>
        <v>0</v>
      </c>
      <c r="W212" s="624"/>
      <c r="AA212" s="405"/>
      <c r="AJ212" s="405"/>
    </row>
    <row r="213" spans="3:36" ht="12.75" customHeight="1">
      <c r="C213" s="131"/>
      <c r="D213" s="169" t="str">
        <f>IF(oop!D151=0,"",oop!D151)</f>
        <v/>
      </c>
      <c r="E213" s="169" t="str">
        <f>IF(oop!E151=0,"",oop!E151)</f>
        <v/>
      </c>
      <c r="F213" s="169" t="str">
        <f>IF(oop!F151=0,"",oop!F151)</f>
        <v/>
      </c>
      <c r="G213" s="169" t="str">
        <f>IF(oop!G151="","",oop!G151+1)</f>
        <v/>
      </c>
      <c r="H213" s="641" t="str">
        <f>IF(oop!H151="","",oop!H151)</f>
        <v/>
      </c>
      <c r="I213" s="170" t="str">
        <f>IF(oop!I151=0,"",oop!I151)</f>
        <v/>
      </c>
      <c r="J213" s="567" t="str">
        <f>IF(E213="","",(IF(oop!J151+1&gt;LOOKUP(I213,schaal2011,regels2011),oop!J151,oop!J151+1)))</f>
        <v/>
      </c>
      <c r="K213" s="568" t="str">
        <f>IF(oop!K151="","",oop!K151)</f>
        <v/>
      </c>
      <c r="L213" s="569" t="str">
        <f>IF(oop!L151="","",oop!L151)</f>
        <v/>
      </c>
      <c r="M213" s="570" t="str">
        <f t="shared" si="30"/>
        <v/>
      </c>
      <c r="N213" s="551"/>
      <c r="O213" s="573" t="str">
        <f>IF(I213="","",VLOOKUP(I213,tab!$A$119:$W$159,J213+3,FALSE))</f>
        <v/>
      </c>
      <c r="P213" s="572">
        <f t="shared" si="31"/>
        <v>0</v>
      </c>
      <c r="Q213" s="589">
        <f t="shared" si="34"/>
        <v>0.6</v>
      </c>
      <c r="R213" s="573">
        <f t="shared" si="35"/>
        <v>0</v>
      </c>
      <c r="S213" s="332">
        <f>IF(L213="",0,(((O213*12)*L213)*(1+tab!$D$108)*IF(I213&gt;8,tab!$E$110,tab!$E$112)))</f>
        <v>0</v>
      </c>
      <c r="T213" s="580">
        <f t="shared" si="36"/>
        <v>0</v>
      </c>
      <c r="U213" s="243">
        <f t="shared" si="32"/>
        <v>0</v>
      </c>
      <c r="V213" s="332">
        <f t="shared" si="33"/>
        <v>0</v>
      </c>
      <c r="W213" s="624"/>
      <c r="AA213" s="405"/>
      <c r="AJ213" s="405"/>
    </row>
    <row r="214" spans="3:36" ht="12.75" customHeight="1">
      <c r="C214" s="131"/>
      <c r="D214" s="169" t="str">
        <f>IF(oop!D152=0,"",oop!D152)</f>
        <v/>
      </c>
      <c r="E214" s="169" t="str">
        <f>IF(oop!E152=0,"",oop!E152)</f>
        <v/>
      </c>
      <c r="F214" s="169" t="str">
        <f>IF(oop!F152=0,"",oop!F152)</f>
        <v/>
      </c>
      <c r="G214" s="169" t="str">
        <f>IF(oop!G152="","",oop!G152+1)</f>
        <v/>
      </c>
      <c r="H214" s="641" t="str">
        <f>IF(oop!H152="","",oop!H152)</f>
        <v/>
      </c>
      <c r="I214" s="170" t="str">
        <f>IF(oop!I152=0,"",oop!I152)</f>
        <v/>
      </c>
      <c r="J214" s="567" t="str">
        <f>IF(E214="","",(IF(oop!J152+1&gt;LOOKUP(I214,schaal2011,regels2011),oop!J152,oop!J152+1)))</f>
        <v/>
      </c>
      <c r="K214" s="568" t="str">
        <f>IF(oop!K152="","",oop!K152)</f>
        <v/>
      </c>
      <c r="L214" s="569" t="str">
        <f>IF(oop!L152="","",oop!L152)</f>
        <v/>
      </c>
      <c r="M214" s="570" t="str">
        <f t="shared" si="30"/>
        <v/>
      </c>
      <c r="N214" s="551"/>
      <c r="O214" s="573" t="str">
        <f>IF(I214="","",VLOOKUP(I214,tab!$A$119:$W$159,J214+3,FALSE))</f>
        <v/>
      </c>
      <c r="P214" s="572">
        <f t="shared" si="31"/>
        <v>0</v>
      </c>
      <c r="Q214" s="589">
        <f t="shared" si="34"/>
        <v>0.6</v>
      </c>
      <c r="R214" s="573">
        <f t="shared" si="35"/>
        <v>0</v>
      </c>
      <c r="S214" s="332">
        <f>IF(L214="",0,(((O214*12)*L214)*(1+tab!$D$108)*IF(I214&gt;8,tab!$E$110,tab!$E$112)))</f>
        <v>0</v>
      </c>
      <c r="T214" s="580">
        <f t="shared" si="36"/>
        <v>0</v>
      </c>
      <c r="U214" s="243">
        <f t="shared" si="32"/>
        <v>0</v>
      </c>
      <c r="V214" s="332">
        <f t="shared" si="33"/>
        <v>0</v>
      </c>
      <c r="W214" s="624"/>
      <c r="AA214" s="405"/>
      <c r="AJ214" s="405"/>
    </row>
    <row r="215" spans="3:36" ht="12.75" customHeight="1">
      <c r="C215" s="131"/>
      <c r="D215" s="169" t="str">
        <f>IF(oop!D153=0,"",oop!D153)</f>
        <v/>
      </c>
      <c r="E215" s="169" t="str">
        <f>IF(oop!E153=0,"",oop!E153)</f>
        <v/>
      </c>
      <c r="F215" s="169" t="str">
        <f>IF(oop!F153=0,"",oop!F153)</f>
        <v/>
      </c>
      <c r="G215" s="169" t="str">
        <f>IF(oop!G153="","",oop!G153+1)</f>
        <v/>
      </c>
      <c r="H215" s="641" t="str">
        <f>IF(oop!H153="","",oop!H153)</f>
        <v/>
      </c>
      <c r="I215" s="170" t="str">
        <f>IF(oop!I153=0,"",oop!I153)</f>
        <v/>
      </c>
      <c r="J215" s="567" t="str">
        <f>IF(E215="","",(IF(oop!J153+1&gt;LOOKUP(I215,schaal2011,regels2011),oop!J153,oop!J153+1)))</f>
        <v/>
      </c>
      <c r="K215" s="568" t="str">
        <f>IF(oop!K153="","",oop!K153)</f>
        <v/>
      </c>
      <c r="L215" s="569" t="str">
        <f>IF(oop!L153="","",oop!L153)</f>
        <v/>
      </c>
      <c r="M215" s="570" t="str">
        <f t="shared" si="30"/>
        <v/>
      </c>
      <c r="N215" s="551"/>
      <c r="O215" s="573" t="str">
        <f>IF(I215="","",VLOOKUP(I215,tab!$A$119:$W$159,J215+3,FALSE))</f>
        <v/>
      </c>
      <c r="P215" s="572">
        <f t="shared" si="31"/>
        <v>0</v>
      </c>
      <c r="Q215" s="589">
        <f t="shared" si="34"/>
        <v>0.6</v>
      </c>
      <c r="R215" s="573">
        <f t="shared" si="35"/>
        <v>0</v>
      </c>
      <c r="S215" s="332">
        <f>IF(L215="",0,(((O215*12)*L215)*(1+tab!$D$108)*IF(I215&gt;8,tab!$E$110,tab!$E$112)))</f>
        <v>0</v>
      </c>
      <c r="T215" s="580">
        <f t="shared" si="36"/>
        <v>0</v>
      </c>
      <c r="U215" s="243">
        <f t="shared" si="32"/>
        <v>0</v>
      </c>
      <c r="V215" s="332">
        <f t="shared" si="33"/>
        <v>0</v>
      </c>
      <c r="W215" s="624"/>
      <c r="AA215" s="405"/>
      <c r="AJ215" s="405"/>
    </row>
    <row r="216" spans="3:36" ht="12.75" customHeight="1">
      <c r="C216" s="131"/>
      <c r="D216" s="169" t="str">
        <f>IF(oop!D154=0,"",oop!D154)</f>
        <v/>
      </c>
      <c r="E216" s="169" t="str">
        <f>IF(oop!E154=0,"",oop!E154)</f>
        <v/>
      </c>
      <c r="F216" s="169" t="str">
        <f>IF(oop!F154=0,"",oop!F154)</f>
        <v/>
      </c>
      <c r="G216" s="169" t="str">
        <f>IF(oop!G154="","",oop!G154+1)</f>
        <v/>
      </c>
      <c r="H216" s="641" t="str">
        <f>IF(oop!H154="","",oop!H154)</f>
        <v/>
      </c>
      <c r="I216" s="170" t="str">
        <f>IF(oop!I154=0,"",oop!I154)</f>
        <v/>
      </c>
      <c r="J216" s="567" t="str">
        <f>IF(E216="","",(IF(oop!J154+1&gt;LOOKUP(I216,schaal2011,regels2011),oop!J154,oop!J154+1)))</f>
        <v/>
      </c>
      <c r="K216" s="568" t="str">
        <f>IF(oop!K154="","",oop!K154)</f>
        <v/>
      </c>
      <c r="L216" s="569" t="str">
        <f>IF(oop!L154="","",oop!L154)</f>
        <v/>
      </c>
      <c r="M216" s="570" t="str">
        <f t="shared" si="30"/>
        <v/>
      </c>
      <c r="N216" s="551"/>
      <c r="O216" s="573" t="str">
        <f>IF(I216="","",VLOOKUP(I216,tab!$A$119:$W$159,J216+3,FALSE))</f>
        <v/>
      </c>
      <c r="P216" s="572">
        <f t="shared" si="31"/>
        <v>0</v>
      </c>
      <c r="Q216" s="589">
        <f t="shared" si="34"/>
        <v>0.6</v>
      </c>
      <c r="R216" s="573">
        <f t="shared" si="35"/>
        <v>0</v>
      </c>
      <c r="S216" s="332">
        <f>IF(L216="",0,(((O216*12)*L216)*(1+tab!$D$108)*IF(I216&gt;8,tab!$E$110,tab!$E$112)))</f>
        <v>0</v>
      </c>
      <c r="T216" s="580">
        <f t="shared" si="36"/>
        <v>0</v>
      </c>
      <c r="U216" s="243">
        <f t="shared" si="32"/>
        <v>0</v>
      </c>
      <c r="V216" s="332">
        <f t="shared" si="33"/>
        <v>0</v>
      </c>
      <c r="W216" s="624"/>
      <c r="AA216" s="405"/>
      <c r="AJ216" s="405"/>
    </row>
    <row r="217" spans="3:36" ht="12.75" customHeight="1">
      <c r="C217" s="131"/>
      <c r="D217" s="169" t="str">
        <f>IF(oop!D155=0,"",oop!D155)</f>
        <v/>
      </c>
      <c r="E217" s="169" t="str">
        <f>IF(oop!E155=0,"",oop!E155)</f>
        <v/>
      </c>
      <c r="F217" s="169" t="str">
        <f>IF(oop!F155=0,"",oop!F155)</f>
        <v/>
      </c>
      <c r="G217" s="169" t="str">
        <f>IF(oop!G155="","",oop!G155+1)</f>
        <v/>
      </c>
      <c r="H217" s="641" t="str">
        <f>IF(oop!H155="","",oop!H155)</f>
        <v/>
      </c>
      <c r="I217" s="170" t="str">
        <f>IF(oop!I155=0,"",oop!I155)</f>
        <v/>
      </c>
      <c r="J217" s="567" t="str">
        <f>IF(E217="","",(IF(oop!J155+1&gt;LOOKUP(I217,schaal2011,regels2011),oop!J155,oop!J155+1)))</f>
        <v/>
      </c>
      <c r="K217" s="568" t="str">
        <f>IF(oop!K155="","",oop!K155)</f>
        <v/>
      </c>
      <c r="L217" s="569" t="str">
        <f>IF(oop!L155="","",oop!L155)</f>
        <v/>
      </c>
      <c r="M217" s="570" t="str">
        <f t="shared" si="30"/>
        <v/>
      </c>
      <c r="N217" s="551"/>
      <c r="O217" s="573" t="str">
        <f>IF(I217="","",VLOOKUP(I217,tab!$A$119:$W$159,J217+3,FALSE))</f>
        <v/>
      </c>
      <c r="P217" s="572">
        <f t="shared" si="31"/>
        <v>0</v>
      </c>
      <c r="Q217" s="589">
        <f t="shared" si="34"/>
        <v>0.6</v>
      </c>
      <c r="R217" s="573">
        <f t="shared" si="35"/>
        <v>0</v>
      </c>
      <c r="S217" s="332">
        <f>IF(L217="",0,(((O217*12)*L217)*(1+tab!$D$108)*IF(I217&gt;8,tab!$E$110,tab!$E$112)))</f>
        <v>0</v>
      </c>
      <c r="T217" s="580">
        <f t="shared" si="36"/>
        <v>0</v>
      </c>
      <c r="U217" s="243">
        <f t="shared" si="32"/>
        <v>0</v>
      </c>
      <c r="V217" s="332">
        <f t="shared" si="33"/>
        <v>0</v>
      </c>
      <c r="W217" s="624"/>
      <c r="AA217" s="405"/>
      <c r="AJ217" s="405"/>
    </row>
    <row r="218" spans="3:36" ht="12.75" customHeight="1">
      <c r="C218" s="131"/>
      <c r="D218" s="169" t="str">
        <f>IF(oop!D156=0,"",oop!D156)</f>
        <v/>
      </c>
      <c r="E218" s="169" t="str">
        <f>IF(oop!E156=0,"",oop!E156)</f>
        <v/>
      </c>
      <c r="F218" s="169" t="str">
        <f>IF(oop!F156=0,"",oop!F156)</f>
        <v/>
      </c>
      <c r="G218" s="169" t="str">
        <f>IF(oop!G156="","",oop!G156+1)</f>
        <v/>
      </c>
      <c r="H218" s="641" t="str">
        <f>IF(oop!H156="","",oop!H156)</f>
        <v/>
      </c>
      <c r="I218" s="170" t="str">
        <f>IF(oop!I156=0,"",oop!I156)</f>
        <v/>
      </c>
      <c r="J218" s="567" t="str">
        <f>IF(E218="","",(IF(oop!J156+1&gt;LOOKUP(I218,schaal2011,regels2011),oop!J156,oop!J156+1)))</f>
        <v/>
      </c>
      <c r="K218" s="568" t="str">
        <f>IF(oop!K156="","",oop!K156)</f>
        <v/>
      </c>
      <c r="L218" s="569" t="str">
        <f>IF(oop!L156="","",oop!L156)</f>
        <v/>
      </c>
      <c r="M218" s="570" t="str">
        <f t="shared" si="30"/>
        <v/>
      </c>
      <c r="N218" s="551"/>
      <c r="O218" s="573" t="str">
        <f>IF(I218="","",VLOOKUP(I218,tab!$A$119:$W$159,J218+3,FALSE))</f>
        <v/>
      </c>
      <c r="P218" s="572">
        <f t="shared" si="31"/>
        <v>0</v>
      </c>
      <c r="Q218" s="589">
        <f t="shared" si="34"/>
        <v>0.6</v>
      </c>
      <c r="R218" s="573">
        <f t="shared" si="35"/>
        <v>0</v>
      </c>
      <c r="S218" s="332">
        <f>IF(L218="",0,(((O218*12)*L218)*(1+tab!$D$108)*IF(I218&gt;8,tab!$E$110,tab!$E$112)))</f>
        <v>0</v>
      </c>
      <c r="T218" s="580">
        <f t="shared" si="36"/>
        <v>0</v>
      </c>
      <c r="U218" s="243">
        <f t="shared" si="32"/>
        <v>0</v>
      </c>
      <c r="V218" s="332">
        <f t="shared" si="33"/>
        <v>0</v>
      </c>
      <c r="W218" s="624"/>
      <c r="AA218" s="405"/>
      <c r="AJ218" s="405"/>
    </row>
    <row r="219" spans="3:36" ht="12.75" customHeight="1">
      <c r="C219" s="131"/>
      <c r="D219" s="169" t="str">
        <f>IF(oop!D157=0,"",oop!D157)</f>
        <v/>
      </c>
      <c r="E219" s="169" t="str">
        <f>IF(oop!E157=0,"",oop!E157)</f>
        <v/>
      </c>
      <c r="F219" s="169" t="str">
        <f>IF(oop!F157=0,"",oop!F157)</f>
        <v/>
      </c>
      <c r="G219" s="169" t="str">
        <f>IF(oop!G157="","",oop!G157+1)</f>
        <v/>
      </c>
      <c r="H219" s="641" t="str">
        <f>IF(oop!H157="","",oop!H157)</f>
        <v/>
      </c>
      <c r="I219" s="170" t="str">
        <f>IF(oop!I157=0,"",oop!I157)</f>
        <v/>
      </c>
      <c r="J219" s="567" t="str">
        <f>IF(E219="","",(IF(oop!J157+1&gt;LOOKUP(I219,schaal2011,regels2011),oop!J157,oop!J157+1)))</f>
        <v/>
      </c>
      <c r="K219" s="568" t="str">
        <f>IF(oop!K157="","",oop!K157)</f>
        <v/>
      </c>
      <c r="L219" s="569" t="str">
        <f>IF(oop!L157="","",oop!L157)</f>
        <v/>
      </c>
      <c r="M219" s="570" t="str">
        <f t="shared" si="30"/>
        <v/>
      </c>
      <c r="N219" s="551"/>
      <c r="O219" s="573" t="str">
        <f>IF(I219="","",VLOOKUP(I219,tab!$A$119:$W$159,J219+3,FALSE))</f>
        <v/>
      </c>
      <c r="P219" s="572">
        <f t="shared" si="31"/>
        <v>0</v>
      </c>
      <c r="Q219" s="589">
        <f t="shared" si="34"/>
        <v>0.6</v>
      </c>
      <c r="R219" s="573">
        <f t="shared" si="35"/>
        <v>0</v>
      </c>
      <c r="S219" s="332">
        <f>IF(L219="",0,(((O219*12)*L219)*(1+tab!$D$108)*IF(I219&gt;8,tab!$E$110,tab!$E$112)))</f>
        <v>0</v>
      </c>
      <c r="T219" s="580">
        <f t="shared" si="36"/>
        <v>0</v>
      </c>
      <c r="U219" s="243">
        <f t="shared" si="32"/>
        <v>0</v>
      </c>
      <c r="V219" s="332">
        <f t="shared" si="33"/>
        <v>0</v>
      </c>
      <c r="W219" s="624"/>
      <c r="AA219" s="405"/>
      <c r="AJ219" s="405"/>
    </row>
    <row r="220" spans="3:36" ht="12.75" customHeight="1">
      <c r="C220" s="131"/>
      <c r="D220" s="169" t="str">
        <f>IF(oop!D158=0,"",oop!D158)</f>
        <v/>
      </c>
      <c r="E220" s="169" t="str">
        <f>IF(oop!E158=0,"",oop!E158)</f>
        <v/>
      </c>
      <c r="F220" s="169" t="str">
        <f>IF(oop!F158=0,"",oop!F158)</f>
        <v/>
      </c>
      <c r="G220" s="169" t="str">
        <f>IF(oop!G158="","",oop!G158+1)</f>
        <v/>
      </c>
      <c r="H220" s="641" t="str">
        <f>IF(oop!H158="","",oop!H158)</f>
        <v/>
      </c>
      <c r="I220" s="170" t="str">
        <f>IF(oop!I158=0,"",oop!I158)</f>
        <v/>
      </c>
      <c r="J220" s="567" t="str">
        <f>IF(E220="","",(IF(oop!J158+1&gt;LOOKUP(I220,schaal2011,regels2011),oop!J158,oop!J158+1)))</f>
        <v/>
      </c>
      <c r="K220" s="568" t="str">
        <f>IF(oop!K158="","",oop!K158)</f>
        <v/>
      </c>
      <c r="L220" s="569" t="str">
        <f>IF(oop!L158="","",oop!L158)</f>
        <v/>
      </c>
      <c r="M220" s="570" t="str">
        <f t="shared" si="30"/>
        <v/>
      </c>
      <c r="N220" s="551"/>
      <c r="O220" s="573" t="str">
        <f>IF(I220="","",VLOOKUP(I220,tab!$A$119:$W$159,J220+3,FALSE))</f>
        <v/>
      </c>
      <c r="P220" s="572">
        <f t="shared" si="31"/>
        <v>0</v>
      </c>
      <c r="Q220" s="589">
        <f t="shared" si="34"/>
        <v>0.6</v>
      </c>
      <c r="R220" s="573">
        <f t="shared" si="35"/>
        <v>0</v>
      </c>
      <c r="S220" s="332">
        <f>IF(L220="",0,(((O220*12)*L220)*(1+tab!$D$108)*IF(I220&gt;8,tab!$E$110,tab!$E$112)))</f>
        <v>0</v>
      </c>
      <c r="T220" s="580">
        <f t="shared" si="36"/>
        <v>0</v>
      </c>
      <c r="U220" s="243">
        <f t="shared" si="32"/>
        <v>0</v>
      </c>
      <c r="V220" s="332">
        <f t="shared" si="33"/>
        <v>0</v>
      </c>
      <c r="W220" s="624"/>
      <c r="AA220" s="405"/>
      <c r="AJ220" s="405"/>
    </row>
    <row r="221" spans="3:36" ht="12.75" customHeight="1">
      <c r="C221" s="131"/>
      <c r="D221" s="169" t="str">
        <f>IF(oop!D159=0,"",oop!D159)</f>
        <v/>
      </c>
      <c r="E221" s="169" t="str">
        <f>IF(oop!E159=0,"",oop!E159)</f>
        <v/>
      </c>
      <c r="F221" s="169" t="str">
        <f>IF(oop!F159=0,"",oop!F159)</f>
        <v/>
      </c>
      <c r="G221" s="169" t="str">
        <f>IF(oop!G159="","",oop!G159+1)</f>
        <v/>
      </c>
      <c r="H221" s="641" t="str">
        <f>IF(oop!H159="","",oop!H159)</f>
        <v/>
      </c>
      <c r="I221" s="170" t="str">
        <f>IF(oop!I159=0,"",oop!I159)</f>
        <v/>
      </c>
      <c r="J221" s="567" t="str">
        <f>IF(E221="","",(IF(oop!J159+1&gt;LOOKUP(I221,schaal2011,regels2011),oop!J159,oop!J159+1)))</f>
        <v/>
      </c>
      <c r="K221" s="568" t="str">
        <f>IF(oop!K159="","",oop!K159)</f>
        <v/>
      </c>
      <c r="L221" s="569" t="str">
        <f>IF(oop!L159="","",oop!L159)</f>
        <v/>
      </c>
      <c r="M221" s="570" t="str">
        <f t="shared" si="30"/>
        <v/>
      </c>
      <c r="N221" s="551"/>
      <c r="O221" s="573" t="str">
        <f>IF(I221="","",VLOOKUP(I221,tab!$A$119:$W$159,J221+3,FALSE))</f>
        <v/>
      </c>
      <c r="P221" s="572">
        <f t="shared" si="31"/>
        <v>0</v>
      </c>
      <c r="Q221" s="589">
        <f t="shared" si="34"/>
        <v>0.6</v>
      </c>
      <c r="R221" s="573">
        <f t="shared" si="35"/>
        <v>0</v>
      </c>
      <c r="S221" s="332">
        <f>IF(L221="",0,(((O221*12)*L221)*(1+tab!$D$108)*IF(I221&gt;8,tab!$E$110,tab!$E$112)))</f>
        <v>0</v>
      </c>
      <c r="T221" s="580">
        <f t="shared" si="36"/>
        <v>0</v>
      </c>
      <c r="U221" s="243">
        <f t="shared" si="32"/>
        <v>0</v>
      </c>
      <c r="V221" s="332">
        <f t="shared" si="33"/>
        <v>0</v>
      </c>
      <c r="W221" s="624"/>
      <c r="AA221" s="405"/>
      <c r="AJ221" s="405"/>
    </row>
    <row r="222" spans="3:36" ht="12.75" customHeight="1">
      <c r="C222" s="131"/>
      <c r="D222" s="169" t="str">
        <f>IF(oop!D160=0,"",oop!D160)</f>
        <v/>
      </c>
      <c r="E222" s="169" t="str">
        <f>IF(oop!E160=0,"",oop!E160)</f>
        <v/>
      </c>
      <c r="F222" s="169" t="str">
        <f>IF(oop!F160=0,"",oop!F160)</f>
        <v/>
      </c>
      <c r="G222" s="169" t="str">
        <f>IF(oop!G160="","",oop!G160+1)</f>
        <v/>
      </c>
      <c r="H222" s="641" t="str">
        <f>IF(oop!H160="","",oop!H160)</f>
        <v/>
      </c>
      <c r="I222" s="170" t="str">
        <f>IF(oop!I160=0,"",oop!I160)</f>
        <v/>
      </c>
      <c r="J222" s="567" t="str">
        <f>IF(E222="","",(IF(oop!J160+1&gt;LOOKUP(I222,schaal2011,regels2011),oop!J160,oop!J160+1)))</f>
        <v/>
      </c>
      <c r="K222" s="568" t="str">
        <f>IF(oop!K160="","",oop!K160)</f>
        <v/>
      </c>
      <c r="L222" s="569" t="str">
        <f>IF(oop!L160="","",oop!L160)</f>
        <v/>
      </c>
      <c r="M222" s="570" t="str">
        <f t="shared" si="30"/>
        <v/>
      </c>
      <c r="N222" s="551"/>
      <c r="O222" s="573" t="str">
        <f>IF(I222="","",VLOOKUP(I222,tab!$A$119:$W$159,J222+3,FALSE))</f>
        <v/>
      </c>
      <c r="P222" s="572">
        <f t="shared" si="31"/>
        <v>0</v>
      </c>
      <c r="Q222" s="589">
        <f t="shared" si="34"/>
        <v>0.6</v>
      </c>
      <c r="R222" s="573">
        <f t="shared" si="35"/>
        <v>0</v>
      </c>
      <c r="S222" s="332">
        <f>IF(L222="",0,(((O222*12)*L222)*(1+tab!$D$108)*IF(I222&gt;8,tab!$E$110,tab!$E$112)))</f>
        <v>0</v>
      </c>
      <c r="T222" s="580">
        <f t="shared" si="36"/>
        <v>0</v>
      </c>
      <c r="U222" s="243">
        <f t="shared" si="32"/>
        <v>0</v>
      </c>
      <c r="V222" s="332">
        <f t="shared" si="33"/>
        <v>0</v>
      </c>
      <c r="W222" s="624"/>
      <c r="AA222" s="405"/>
      <c r="AJ222" s="405"/>
    </row>
    <row r="223" spans="3:36" ht="12.75" customHeight="1">
      <c r="C223" s="131"/>
      <c r="D223" s="169" t="str">
        <f>IF(oop!D161=0,"",oop!D161)</f>
        <v/>
      </c>
      <c r="E223" s="169" t="str">
        <f>IF(oop!E161=0,"",oop!E161)</f>
        <v/>
      </c>
      <c r="F223" s="169" t="str">
        <f>IF(oop!F161=0,"",oop!F161)</f>
        <v/>
      </c>
      <c r="G223" s="169" t="str">
        <f>IF(oop!G161="","",oop!G161+1)</f>
        <v/>
      </c>
      <c r="H223" s="641" t="str">
        <f>IF(oop!H161="","",oop!H161)</f>
        <v/>
      </c>
      <c r="I223" s="170" t="str">
        <f>IF(oop!I161=0,"",oop!I161)</f>
        <v/>
      </c>
      <c r="J223" s="567" t="str">
        <f>IF(E223="","",(IF(oop!J161+1&gt;LOOKUP(I223,schaal2011,regels2011),oop!J161,oop!J161+1)))</f>
        <v/>
      </c>
      <c r="K223" s="568" t="str">
        <f>IF(oop!K161="","",oop!K161)</f>
        <v/>
      </c>
      <c r="L223" s="569" t="str">
        <f>IF(oop!L161="","",oop!L161)</f>
        <v/>
      </c>
      <c r="M223" s="570" t="str">
        <f t="shared" si="30"/>
        <v/>
      </c>
      <c r="N223" s="551"/>
      <c r="O223" s="573" t="str">
        <f>IF(I223="","",VLOOKUP(I223,tab!$A$119:$W$159,J223+3,FALSE))</f>
        <v/>
      </c>
      <c r="P223" s="572">
        <f t="shared" si="31"/>
        <v>0</v>
      </c>
      <c r="Q223" s="589">
        <f t="shared" si="34"/>
        <v>0.6</v>
      </c>
      <c r="R223" s="573">
        <f t="shared" si="35"/>
        <v>0</v>
      </c>
      <c r="S223" s="332">
        <f>IF(L223="",0,(((O223*12)*L223)*(1+tab!$D$108)*IF(I223&gt;8,tab!$E$110,tab!$E$112)))</f>
        <v>0</v>
      </c>
      <c r="T223" s="580">
        <f t="shared" si="36"/>
        <v>0</v>
      </c>
      <c r="U223" s="243">
        <f t="shared" si="32"/>
        <v>0</v>
      </c>
      <c r="V223" s="332">
        <f t="shared" si="33"/>
        <v>0</v>
      </c>
      <c r="W223" s="624"/>
      <c r="AA223" s="405"/>
      <c r="AJ223" s="405"/>
    </row>
    <row r="224" spans="3:36" ht="12.75" customHeight="1">
      <c r="C224" s="131"/>
      <c r="D224" s="169" t="str">
        <f>IF(oop!D162=0,"",oop!D162)</f>
        <v/>
      </c>
      <c r="E224" s="169" t="str">
        <f>IF(oop!E162=0,"",oop!E162)</f>
        <v/>
      </c>
      <c r="F224" s="169" t="str">
        <f>IF(oop!F162=0,"",oop!F162)</f>
        <v/>
      </c>
      <c r="G224" s="169" t="str">
        <f>IF(oop!G162="","",oop!G162+1)</f>
        <v/>
      </c>
      <c r="H224" s="641" t="str">
        <f>IF(oop!H162="","",oop!H162)</f>
        <v/>
      </c>
      <c r="I224" s="170" t="str">
        <f>IF(oop!I162=0,"",oop!I162)</f>
        <v/>
      </c>
      <c r="J224" s="567" t="str">
        <f>IF(E224="","",(IF(oop!J162+1&gt;LOOKUP(I224,schaal2011,regels2011),oop!J162,oop!J162+1)))</f>
        <v/>
      </c>
      <c r="K224" s="568" t="str">
        <f>IF(oop!K162="","",oop!K162)</f>
        <v/>
      </c>
      <c r="L224" s="569" t="str">
        <f>IF(oop!L162="","",oop!L162)</f>
        <v/>
      </c>
      <c r="M224" s="570" t="str">
        <f t="shared" si="30"/>
        <v/>
      </c>
      <c r="N224" s="551"/>
      <c r="O224" s="573" t="str">
        <f>IF(I224="","",VLOOKUP(I224,tab!$A$119:$W$159,J224+3,FALSE))</f>
        <v/>
      </c>
      <c r="P224" s="572">
        <f t="shared" si="31"/>
        <v>0</v>
      </c>
      <c r="Q224" s="589">
        <f t="shared" si="34"/>
        <v>0.6</v>
      </c>
      <c r="R224" s="573">
        <f t="shared" si="35"/>
        <v>0</v>
      </c>
      <c r="S224" s="332">
        <f>IF(L224="",0,(((O224*12)*L224)*(1+tab!$D$108)*IF(I224&gt;8,tab!$E$110,tab!$E$112)))</f>
        <v>0</v>
      </c>
      <c r="T224" s="580">
        <f t="shared" si="36"/>
        <v>0</v>
      </c>
      <c r="U224" s="243">
        <f t="shared" si="32"/>
        <v>0</v>
      </c>
      <c r="V224" s="332">
        <f t="shared" si="33"/>
        <v>0</v>
      </c>
      <c r="W224" s="624"/>
      <c r="AA224" s="405"/>
      <c r="AJ224" s="405"/>
    </row>
    <row r="225" spans="3:36" ht="12.75" customHeight="1">
      <c r="C225" s="131"/>
      <c r="D225" s="169" t="str">
        <f>IF(oop!D163=0,"",oop!D163)</f>
        <v/>
      </c>
      <c r="E225" s="169" t="str">
        <f>IF(oop!E163=0,"",oop!E163)</f>
        <v/>
      </c>
      <c r="F225" s="169" t="str">
        <f>IF(oop!F163=0,"",oop!F163)</f>
        <v/>
      </c>
      <c r="G225" s="169" t="str">
        <f>IF(oop!G163="","",oop!G163+1)</f>
        <v/>
      </c>
      <c r="H225" s="641" t="str">
        <f>IF(oop!H163="","",oop!H163)</f>
        <v/>
      </c>
      <c r="I225" s="170" t="str">
        <f>IF(oop!I163=0,"",oop!I163)</f>
        <v/>
      </c>
      <c r="J225" s="567" t="str">
        <f>IF(E225="","",(IF(oop!J163+1&gt;LOOKUP(I225,schaal2011,regels2011),oop!J163,oop!J163+1)))</f>
        <v/>
      </c>
      <c r="K225" s="568" t="str">
        <f>IF(oop!K163="","",oop!K163)</f>
        <v/>
      </c>
      <c r="L225" s="569" t="str">
        <f>IF(oop!L163="","",oop!L163)</f>
        <v/>
      </c>
      <c r="M225" s="570" t="str">
        <f t="shared" si="30"/>
        <v/>
      </c>
      <c r="N225" s="551"/>
      <c r="O225" s="573" t="str">
        <f>IF(I225="","",VLOOKUP(I225,tab!$A$119:$W$159,J225+3,FALSE))</f>
        <v/>
      </c>
      <c r="P225" s="572">
        <f t="shared" si="31"/>
        <v>0</v>
      </c>
      <c r="Q225" s="589">
        <f t="shared" si="34"/>
        <v>0.6</v>
      </c>
      <c r="R225" s="573">
        <f t="shared" si="35"/>
        <v>0</v>
      </c>
      <c r="S225" s="332">
        <f>IF(L225="",0,(((O225*12)*L225)*(1+tab!$D$108)*IF(I225&gt;8,tab!$E$110,tab!$E$112)))</f>
        <v>0</v>
      </c>
      <c r="T225" s="580">
        <f t="shared" si="36"/>
        <v>0</v>
      </c>
      <c r="U225" s="243">
        <f t="shared" si="32"/>
        <v>0</v>
      </c>
      <c r="V225" s="332">
        <f t="shared" si="33"/>
        <v>0</v>
      </c>
      <c r="W225" s="624"/>
      <c r="AA225" s="405"/>
      <c r="AJ225" s="405"/>
    </row>
    <row r="226" spans="3:36" ht="12.75" customHeight="1">
      <c r="C226" s="131"/>
      <c r="D226" s="169" t="str">
        <f>IF(oop!D164=0,"",oop!D164)</f>
        <v/>
      </c>
      <c r="E226" s="169" t="str">
        <f>IF(oop!E164=0,"",oop!E164)</f>
        <v/>
      </c>
      <c r="F226" s="169" t="str">
        <f>IF(oop!F164=0,"",oop!F164)</f>
        <v/>
      </c>
      <c r="G226" s="169" t="str">
        <f>IF(oop!G164="","",oop!G164+1)</f>
        <v/>
      </c>
      <c r="H226" s="641" t="str">
        <f>IF(oop!H164="","",oop!H164)</f>
        <v/>
      </c>
      <c r="I226" s="170" t="str">
        <f>IF(oop!I164=0,"",oop!I164)</f>
        <v/>
      </c>
      <c r="J226" s="567" t="str">
        <f>IF(E226="","",(IF(oop!J164+1&gt;LOOKUP(I226,schaal2011,regels2011),oop!J164,oop!J164+1)))</f>
        <v/>
      </c>
      <c r="K226" s="568" t="str">
        <f>IF(oop!K164="","",oop!K164)</f>
        <v/>
      </c>
      <c r="L226" s="569" t="str">
        <f>IF(oop!L164="","",oop!L164)</f>
        <v/>
      </c>
      <c r="M226" s="570" t="str">
        <f t="shared" si="30"/>
        <v/>
      </c>
      <c r="N226" s="551"/>
      <c r="O226" s="573" t="str">
        <f>IF(I226="","",VLOOKUP(I226,tab!$A$119:$W$159,J226+3,FALSE))</f>
        <v/>
      </c>
      <c r="P226" s="572">
        <f t="shared" si="31"/>
        <v>0</v>
      </c>
      <c r="Q226" s="589">
        <f t="shared" si="34"/>
        <v>0.6</v>
      </c>
      <c r="R226" s="573">
        <f t="shared" si="35"/>
        <v>0</v>
      </c>
      <c r="S226" s="332">
        <f>IF(L226="",0,(((O226*12)*L226)*(1+tab!$D$108)*IF(I226&gt;8,tab!$E$110,tab!$E$112)))</f>
        <v>0</v>
      </c>
      <c r="T226" s="580">
        <f t="shared" si="36"/>
        <v>0</v>
      </c>
      <c r="U226" s="243">
        <f t="shared" si="32"/>
        <v>0</v>
      </c>
      <c r="V226" s="332">
        <f t="shared" si="33"/>
        <v>0</v>
      </c>
      <c r="W226" s="624"/>
      <c r="AA226" s="405"/>
      <c r="AJ226" s="405"/>
    </row>
    <row r="227" spans="3:36" ht="12.75" customHeight="1">
      <c r="C227" s="131"/>
      <c r="D227" s="169" t="str">
        <f>IF(oop!D165=0,"",oop!D165)</f>
        <v/>
      </c>
      <c r="E227" s="169" t="str">
        <f>IF(oop!E165=0,"",oop!E165)</f>
        <v/>
      </c>
      <c r="F227" s="169" t="str">
        <f>IF(oop!F165=0,"",oop!F165)</f>
        <v/>
      </c>
      <c r="G227" s="169" t="str">
        <f>IF(oop!G165="","",oop!G165+1)</f>
        <v/>
      </c>
      <c r="H227" s="641" t="str">
        <f>IF(oop!H165="","",oop!H165)</f>
        <v/>
      </c>
      <c r="I227" s="170" t="str">
        <f>IF(oop!I165=0,"",oop!I165)</f>
        <v/>
      </c>
      <c r="J227" s="567" t="str">
        <f>IF(E227="","",(IF(oop!J165+1&gt;LOOKUP(I227,schaal2011,regels2011),oop!J165,oop!J165+1)))</f>
        <v/>
      </c>
      <c r="K227" s="568" t="str">
        <f>IF(oop!K165="","",oop!K165)</f>
        <v/>
      </c>
      <c r="L227" s="569" t="str">
        <f>IF(oop!L165="","",oop!L165)</f>
        <v/>
      </c>
      <c r="M227" s="570" t="str">
        <f t="shared" ref="M227:M247" si="37">(IF(L227="",(K227),(K227)-L227))</f>
        <v/>
      </c>
      <c r="N227" s="551"/>
      <c r="O227" s="573" t="str">
        <f>IF(I227="","",VLOOKUP(I227,tab!$A$119:$W$159,J227+3,FALSE))</f>
        <v/>
      </c>
      <c r="P227" s="572">
        <f t="shared" si="31"/>
        <v>0</v>
      </c>
      <c r="Q227" s="589">
        <f t="shared" si="34"/>
        <v>0.6</v>
      </c>
      <c r="R227" s="573">
        <f t="shared" si="35"/>
        <v>0</v>
      </c>
      <c r="S227" s="332">
        <f>IF(L227="",0,(((O227*12)*L227)*(1+tab!$D$108)*IF(I227&gt;8,tab!$E$110,tab!$E$112)))</f>
        <v>0</v>
      </c>
      <c r="T227" s="580">
        <f t="shared" si="36"/>
        <v>0</v>
      </c>
      <c r="U227" s="243">
        <f t="shared" si="32"/>
        <v>0</v>
      </c>
      <c r="V227" s="332">
        <f t="shared" si="33"/>
        <v>0</v>
      </c>
      <c r="W227" s="624"/>
      <c r="AA227" s="405"/>
      <c r="AJ227" s="405"/>
    </row>
    <row r="228" spans="3:36" ht="12.75" customHeight="1">
      <c r="C228" s="131"/>
      <c r="D228" s="169" t="str">
        <f>IF(oop!D166=0,"",oop!D166)</f>
        <v/>
      </c>
      <c r="E228" s="169" t="str">
        <f>IF(oop!E166=0,"",oop!E166)</f>
        <v/>
      </c>
      <c r="F228" s="169" t="str">
        <f>IF(oop!F166=0,"",oop!F166)</f>
        <v/>
      </c>
      <c r="G228" s="169" t="str">
        <f>IF(oop!G166="","",oop!G166+1)</f>
        <v/>
      </c>
      <c r="H228" s="641" t="str">
        <f>IF(oop!H166="","",oop!H166)</f>
        <v/>
      </c>
      <c r="I228" s="170" t="str">
        <f>IF(oop!I166=0,"",oop!I166)</f>
        <v/>
      </c>
      <c r="J228" s="567" t="str">
        <f>IF(E228="","",(IF(oop!J166+1&gt;LOOKUP(I228,schaal2011,regels2011),oop!J166,oop!J166+1)))</f>
        <v/>
      </c>
      <c r="K228" s="568" t="str">
        <f>IF(oop!K166="","",oop!K166)</f>
        <v/>
      </c>
      <c r="L228" s="569" t="str">
        <f>IF(oop!L166="","",oop!L166)</f>
        <v/>
      </c>
      <c r="M228" s="570" t="str">
        <f t="shared" si="37"/>
        <v/>
      </c>
      <c r="N228" s="551"/>
      <c r="O228" s="573" t="str">
        <f>IF(I228="","",VLOOKUP(I228,tab!$A$119:$W$159,J228+3,FALSE))</f>
        <v/>
      </c>
      <c r="P228" s="572">
        <f t="shared" si="31"/>
        <v>0</v>
      </c>
      <c r="Q228" s="589">
        <f t="shared" si="34"/>
        <v>0.6</v>
      </c>
      <c r="R228" s="573">
        <f t="shared" si="35"/>
        <v>0</v>
      </c>
      <c r="S228" s="332">
        <f>IF(L228="",0,(((O228*12)*L228)*(1+tab!$D$108)*IF(I228&gt;8,tab!$E$110,tab!$E$112)))</f>
        <v>0</v>
      </c>
      <c r="T228" s="580">
        <f t="shared" si="36"/>
        <v>0</v>
      </c>
      <c r="U228" s="243">
        <f t="shared" si="32"/>
        <v>0</v>
      </c>
      <c r="V228" s="332">
        <f t="shared" si="33"/>
        <v>0</v>
      </c>
      <c r="W228" s="624"/>
      <c r="AA228" s="405"/>
      <c r="AJ228" s="405"/>
    </row>
    <row r="229" spans="3:36" ht="12.75" customHeight="1">
      <c r="C229" s="131"/>
      <c r="D229" s="169" t="str">
        <f>IF(oop!D167=0,"",oop!D167)</f>
        <v/>
      </c>
      <c r="E229" s="169" t="str">
        <f>IF(oop!E167=0,"",oop!E167)</f>
        <v/>
      </c>
      <c r="F229" s="169" t="str">
        <f>IF(oop!F167=0,"",oop!F167)</f>
        <v/>
      </c>
      <c r="G229" s="169" t="str">
        <f>IF(oop!G167="","",oop!G167+1)</f>
        <v/>
      </c>
      <c r="H229" s="641" t="str">
        <f>IF(oop!H167="","",oop!H167)</f>
        <v/>
      </c>
      <c r="I229" s="170" t="str">
        <f>IF(oop!I167=0,"",oop!I167)</f>
        <v/>
      </c>
      <c r="J229" s="567" t="str">
        <f>IF(E229="","",(IF(oop!J167+1&gt;LOOKUP(I229,schaal2011,regels2011),oop!J167,oop!J167+1)))</f>
        <v/>
      </c>
      <c r="K229" s="568" t="str">
        <f>IF(oop!K167="","",oop!K167)</f>
        <v/>
      </c>
      <c r="L229" s="569" t="str">
        <f>IF(oop!L167="","",oop!L167)</f>
        <v/>
      </c>
      <c r="M229" s="570" t="str">
        <f t="shared" si="37"/>
        <v/>
      </c>
      <c r="N229" s="551"/>
      <c r="O229" s="573" t="str">
        <f>IF(I229="","",VLOOKUP(I229,tab!$A$119:$W$159,J229+3,FALSE))</f>
        <v/>
      </c>
      <c r="P229" s="572">
        <f t="shared" si="31"/>
        <v>0</v>
      </c>
      <c r="Q229" s="589">
        <f t="shared" si="34"/>
        <v>0.6</v>
      </c>
      <c r="R229" s="573">
        <f t="shared" si="35"/>
        <v>0</v>
      </c>
      <c r="S229" s="332">
        <f>IF(L229="",0,(((O229*12)*L229)*(1+tab!$D$108)*IF(I229&gt;8,tab!$E$110,tab!$E$112)))</f>
        <v>0</v>
      </c>
      <c r="T229" s="580">
        <f t="shared" si="36"/>
        <v>0</v>
      </c>
      <c r="U229" s="243">
        <f t="shared" si="32"/>
        <v>0</v>
      </c>
      <c r="V229" s="332">
        <f t="shared" si="33"/>
        <v>0</v>
      </c>
      <c r="W229" s="624"/>
      <c r="AA229" s="405"/>
      <c r="AJ229" s="405"/>
    </row>
    <row r="230" spans="3:36" ht="12.75" customHeight="1">
      <c r="C230" s="131"/>
      <c r="D230" s="169" t="str">
        <f>IF(oop!D168=0,"",oop!D168)</f>
        <v/>
      </c>
      <c r="E230" s="169" t="str">
        <f>IF(oop!E168=0,"",oop!E168)</f>
        <v/>
      </c>
      <c r="F230" s="169" t="str">
        <f>IF(oop!F168=0,"",oop!F168)</f>
        <v/>
      </c>
      <c r="G230" s="169" t="str">
        <f>IF(oop!G168="","",oop!G168+1)</f>
        <v/>
      </c>
      <c r="H230" s="641" t="str">
        <f>IF(oop!H168="","",oop!H168)</f>
        <v/>
      </c>
      <c r="I230" s="170" t="str">
        <f>IF(oop!I168=0,"",oop!I168)</f>
        <v/>
      </c>
      <c r="J230" s="567" t="str">
        <f>IF(E230="","",(IF(oop!J168+1&gt;LOOKUP(I230,schaal2011,regels2011),oop!J168,oop!J168+1)))</f>
        <v/>
      </c>
      <c r="K230" s="568" t="str">
        <f>IF(oop!K168="","",oop!K168)</f>
        <v/>
      </c>
      <c r="L230" s="569" t="str">
        <f>IF(oop!L168="","",oop!L168)</f>
        <v/>
      </c>
      <c r="M230" s="570" t="str">
        <f t="shared" si="37"/>
        <v/>
      </c>
      <c r="N230" s="551"/>
      <c r="O230" s="573" t="str">
        <f>IF(I230="","",VLOOKUP(I230,tab!$A$119:$W$159,J230+3,FALSE))</f>
        <v/>
      </c>
      <c r="P230" s="572">
        <f t="shared" si="31"/>
        <v>0</v>
      </c>
      <c r="Q230" s="589">
        <f t="shared" si="34"/>
        <v>0.6</v>
      </c>
      <c r="R230" s="573">
        <f t="shared" si="35"/>
        <v>0</v>
      </c>
      <c r="S230" s="332">
        <f>IF(L230="",0,(((O230*12)*L230)*(1+tab!$D$108)*IF(I230&gt;8,tab!$E$110,tab!$E$112)))</f>
        <v>0</v>
      </c>
      <c r="T230" s="580">
        <f t="shared" si="36"/>
        <v>0</v>
      </c>
      <c r="U230" s="243">
        <f t="shared" si="32"/>
        <v>0</v>
      </c>
      <c r="V230" s="332">
        <f t="shared" si="33"/>
        <v>0</v>
      </c>
      <c r="W230" s="624"/>
      <c r="AA230" s="405"/>
      <c r="AJ230" s="405"/>
    </row>
    <row r="231" spans="3:36" ht="12.75" customHeight="1">
      <c r="C231" s="131"/>
      <c r="D231" s="169" t="str">
        <f>IF(oop!D169=0,"",oop!D169)</f>
        <v/>
      </c>
      <c r="E231" s="169" t="str">
        <f>IF(oop!E169=0,"",oop!E169)</f>
        <v/>
      </c>
      <c r="F231" s="169" t="str">
        <f>IF(oop!F169=0,"",oop!F169)</f>
        <v/>
      </c>
      <c r="G231" s="169" t="str">
        <f>IF(oop!G169="","",oop!G169+1)</f>
        <v/>
      </c>
      <c r="H231" s="641" t="str">
        <f>IF(oop!H169="","",oop!H169)</f>
        <v/>
      </c>
      <c r="I231" s="170" t="str">
        <f>IF(oop!I169=0,"",oop!I169)</f>
        <v/>
      </c>
      <c r="J231" s="567" t="str">
        <f>IF(E231="","",(IF(oop!J169+1&gt;LOOKUP(I231,schaal2011,regels2011),oop!J169,oop!J169+1)))</f>
        <v/>
      </c>
      <c r="K231" s="568" t="str">
        <f>IF(oop!K169="","",oop!K169)</f>
        <v/>
      </c>
      <c r="L231" s="569" t="str">
        <f>IF(oop!L169="","",oop!L169)</f>
        <v/>
      </c>
      <c r="M231" s="570" t="str">
        <f t="shared" si="37"/>
        <v/>
      </c>
      <c r="N231" s="551"/>
      <c r="O231" s="573" t="str">
        <f>IF(I231="","",VLOOKUP(I231,tab!$A$119:$W$159,J231+3,FALSE))</f>
        <v/>
      </c>
      <c r="P231" s="572">
        <f t="shared" si="31"/>
        <v>0</v>
      </c>
      <c r="Q231" s="589">
        <f t="shared" si="34"/>
        <v>0.6</v>
      </c>
      <c r="R231" s="573">
        <f t="shared" si="35"/>
        <v>0</v>
      </c>
      <c r="S231" s="332">
        <f>IF(L231="",0,(((O231*12)*L231)*(1+tab!$D$108)*IF(I231&gt;8,tab!$E$110,tab!$E$112)))</f>
        <v>0</v>
      </c>
      <c r="T231" s="580">
        <f t="shared" si="36"/>
        <v>0</v>
      </c>
      <c r="U231" s="243">
        <f t="shared" si="32"/>
        <v>0</v>
      </c>
      <c r="V231" s="332">
        <f t="shared" si="33"/>
        <v>0</v>
      </c>
      <c r="W231" s="624"/>
      <c r="AA231" s="405"/>
      <c r="AJ231" s="405"/>
    </row>
    <row r="232" spans="3:36" ht="12.75" customHeight="1">
      <c r="C232" s="131"/>
      <c r="D232" s="169" t="str">
        <f>IF(oop!D170=0,"",oop!D170)</f>
        <v/>
      </c>
      <c r="E232" s="169" t="str">
        <f>IF(oop!E170=0,"",oop!E170)</f>
        <v/>
      </c>
      <c r="F232" s="169" t="str">
        <f>IF(oop!F170=0,"",oop!F170)</f>
        <v/>
      </c>
      <c r="G232" s="169" t="str">
        <f>IF(oop!G170="","",oop!G170+1)</f>
        <v/>
      </c>
      <c r="H232" s="641" t="str">
        <f>IF(oop!H170="","",oop!H170)</f>
        <v/>
      </c>
      <c r="I232" s="170" t="str">
        <f>IF(oop!I170=0,"",oop!I170)</f>
        <v/>
      </c>
      <c r="J232" s="567" t="str">
        <f>IF(E232="","",(IF(oop!J170+1&gt;LOOKUP(I232,schaal2011,regels2011),oop!J170,oop!J170+1)))</f>
        <v/>
      </c>
      <c r="K232" s="568" t="str">
        <f>IF(oop!K170="","",oop!K170)</f>
        <v/>
      </c>
      <c r="L232" s="569" t="str">
        <f>IF(oop!L170="","",oop!L170)</f>
        <v/>
      </c>
      <c r="M232" s="570" t="str">
        <f t="shared" si="37"/>
        <v/>
      </c>
      <c r="N232" s="551"/>
      <c r="O232" s="573" t="str">
        <f>IF(I232="","",VLOOKUP(I232,tab!$A$119:$W$159,J232+3,FALSE))</f>
        <v/>
      </c>
      <c r="P232" s="572">
        <f t="shared" si="31"/>
        <v>0</v>
      </c>
      <c r="Q232" s="589">
        <f t="shared" si="34"/>
        <v>0.6</v>
      </c>
      <c r="R232" s="573">
        <f t="shared" si="35"/>
        <v>0</v>
      </c>
      <c r="S232" s="332">
        <f>IF(L232="",0,(((O232*12)*L232)*(1+tab!$D$108)*IF(I232&gt;8,tab!$E$110,tab!$E$112)))</f>
        <v>0</v>
      </c>
      <c r="T232" s="580">
        <f t="shared" si="36"/>
        <v>0</v>
      </c>
      <c r="U232" s="243">
        <f t="shared" si="32"/>
        <v>0</v>
      </c>
      <c r="V232" s="332">
        <f t="shared" si="33"/>
        <v>0</v>
      </c>
      <c r="W232" s="624"/>
      <c r="AA232" s="405"/>
      <c r="AJ232" s="405"/>
    </row>
    <row r="233" spans="3:36" ht="12.75" customHeight="1">
      <c r="C233" s="131"/>
      <c r="D233" s="169" t="str">
        <f>IF(oop!D171=0,"",oop!D171)</f>
        <v/>
      </c>
      <c r="E233" s="169" t="str">
        <f>IF(oop!E171=0,"",oop!E171)</f>
        <v/>
      </c>
      <c r="F233" s="169" t="str">
        <f>IF(oop!F171=0,"",oop!F171)</f>
        <v/>
      </c>
      <c r="G233" s="169" t="str">
        <f>IF(oop!G171="","",oop!G171+1)</f>
        <v/>
      </c>
      <c r="H233" s="641" t="str">
        <f>IF(oop!H171="","",oop!H171)</f>
        <v/>
      </c>
      <c r="I233" s="170" t="str">
        <f>IF(oop!I171=0,"",oop!I171)</f>
        <v/>
      </c>
      <c r="J233" s="567" t="str">
        <f>IF(E233="","",(IF(oop!J171+1&gt;LOOKUP(I233,schaal2011,regels2011),oop!J171,oop!J171+1)))</f>
        <v/>
      </c>
      <c r="K233" s="568" t="str">
        <f>IF(oop!K171="","",oop!K171)</f>
        <v/>
      </c>
      <c r="L233" s="569" t="str">
        <f>IF(oop!L171="","",oop!L171)</f>
        <v/>
      </c>
      <c r="M233" s="570" t="str">
        <f t="shared" si="37"/>
        <v/>
      </c>
      <c r="N233" s="551"/>
      <c r="O233" s="573" t="str">
        <f>IF(I233="","",VLOOKUP(I233,tab!$A$119:$W$159,J233+3,FALSE))</f>
        <v/>
      </c>
      <c r="P233" s="572">
        <f t="shared" si="31"/>
        <v>0</v>
      </c>
      <c r="Q233" s="589">
        <f t="shared" si="34"/>
        <v>0.6</v>
      </c>
      <c r="R233" s="573">
        <f t="shared" si="35"/>
        <v>0</v>
      </c>
      <c r="S233" s="332">
        <f>IF(L233="",0,(((O233*12)*L233)*(1+tab!$D$108)*IF(I233&gt;8,tab!$E$110,tab!$E$112)))</f>
        <v>0</v>
      </c>
      <c r="T233" s="580">
        <f t="shared" si="36"/>
        <v>0</v>
      </c>
      <c r="U233" s="243">
        <f t="shared" si="32"/>
        <v>0</v>
      </c>
      <c r="V233" s="332">
        <f t="shared" si="33"/>
        <v>0</v>
      </c>
      <c r="W233" s="624"/>
      <c r="AA233" s="405"/>
      <c r="AJ233" s="405"/>
    </row>
    <row r="234" spans="3:36" ht="12.75" customHeight="1">
      <c r="C234" s="131"/>
      <c r="D234" s="169" t="str">
        <f>IF(oop!D172=0,"",oop!D172)</f>
        <v/>
      </c>
      <c r="E234" s="169" t="str">
        <f>IF(oop!E172=0,"",oop!E172)</f>
        <v/>
      </c>
      <c r="F234" s="169" t="str">
        <f>IF(oop!F172=0,"",oop!F172)</f>
        <v/>
      </c>
      <c r="G234" s="169" t="str">
        <f>IF(oop!G172="","",oop!G172+1)</f>
        <v/>
      </c>
      <c r="H234" s="641" t="str">
        <f>IF(oop!H172="","",oop!H172)</f>
        <v/>
      </c>
      <c r="I234" s="170" t="str">
        <f>IF(oop!I172=0,"",oop!I172)</f>
        <v/>
      </c>
      <c r="J234" s="567" t="str">
        <f>IF(E234="","",(IF(oop!J172+1&gt;LOOKUP(I234,schaal2011,regels2011),oop!J172,oop!J172+1)))</f>
        <v/>
      </c>
      <c r="K234" s="568" t="str">
        <f>IF(oop!K172="","",oop!K172)</f>
        <v/>
      </c>
      <c r="L234" s="569" t="str">
        <f>IF(oop!L172="","",oop!L172)</f>
        <v/>
      </c>
      <c r="M234" s="570" t="str">
        <f t="shared" si="37"/>
        <v/>
      </c>
      <c r="N234" s="551"/>
      <c r="O234" s="573" t="str">
        <f>IF(I234="","",VLOOKUP(I234,tab!$A$119:$W$159,J234+3,FALSE))</f>
        <v/>
      </c>
      <c r="P234" s="572">
        <f t="shared" ref="P234:P251" si="38">IF(E234="",0,(O234*M234*12))</f>
        <v>0</v>
      </c>
      <c r="Q234" s="589">
        <f t="shared" si="34"/>
        <v>0.6</v>
      </c>
      <c r="R234" s="573">
        <f t="shared" si="35"/>
        <v>0</v>
      </c>
      <c r="S234" s="332">
        <f>IF(L234="",0,(((O234*12)*L234)*(1+tab!$D$108)*IF(I234&gt;8,tab!$E$110,tab!$E$112)))</f>
        <v>0</v>
      </c>
      <c r="T234" s="580">
        <f t="shared" si="36"/>
        <v>0</v>
      </c>
      <c r="U234" s="243">
        <f t="shared" si="32"/>
        <v>0</v>
      </c>
      <c r="V234" s="332">
        <f t="shared" ref="V234:V251" si="39">IF(U234=25,(O234*1.08*(K234)/2),IF(U234=40,(O234*1.08*(K234)),IF(U234=0,0)))</f>
        <v>0</v>
      </c>
      <c r="W234" s="624"/>
      <c r="AA234" s="405"/>
      <c r="AJ234" s="405"/>
    </row>
    <row r="235" spans="3:36" ht="12.75" customHeight="1">
      <c r="C235" s="131"/>
      <c r="D235" s="169" t="str">
        <f>IF(oop!D173=0,"",oop!D173)</f>
        <v/>
      </c>
      <c r="E235" s="169" t="str">
        <f>IF(oop!E173=0,"",oop!E173)</f>
        <v/>
      </c>
      <c r="F235" s="169" t="str">
        <f>IF(oop!F173=0,"",oop!F173)</f>
        <v/>
      </c>
      <c r="G235" s="169" t="str">
        <f>IF(oop!G173="","",oop!G173+1)</f>
        <v/>
      </c>
      <c r="H235" s="641" t="str">
        <f>IF(oop!H173="","",oop!H173)</f>
        <v/>
      </c>
      <c r="I235" s="170" t="str">
        <f>IF(oop!I173=0,"",oop!I173)</f>
        <v/>
      </c>
      <c r="J235" s="567" t="str">
        <f>IF(E235="","",(IF(oop!J173+1&gt;LOOKUP(I235,schaal2011,regels2011),oop!J173,oop!J173+1)))</f>
        <v/>
      </c>
      <c r="K235" s="568" t="str">
        <f>IF(oop!K173="","",oop!K173)</f>
        <v/>
      </c>
      <c r="L235" s="569" t="str">
        <f>IF(oop!L173="","",oop!L173)</f>
        <v/>
      </c>
      <c r="M235" s="570" t="str">
        <f t="shared" si="37"/>
        <v/>
      </c>
      <c r="N235" s="551"/>
      <c r="O235" s="573" t="str">
        <f>IF(I235="","",VLOOKUP(I235,tab!$A$119:$W$159,J235+3,FALSE))</f>
        <v/>
      </c>
      <c r="P235" s="572">
        <f t="shared" si="38"/>
        <v>0</v>
      </c>
      <c r="Q235" s="589">
        <f t="shared" si="34"/>
        <v>0.6</v>
      </c>
      <c r="R235" s="573">
        <f t="shared" si="35"/>
        <v>0</v>
      </c>
      <c r="S235" s="332">
        <f>IF(L235="",0,(((O235*12)*L235)*(1+tab!$D$108)*IF(I235&gt;8,tab!$E$110,tab!$E$112)))</f>
        <v>0</v>
      </c>
      <c r="T235" s="580">
        <f t="shared" si="36"/>
        <v>0</v>
      </c>
      <c r="U235" s="243">
        <f t="shared" si="32"/>
        <v>0</v>
      </c>
      <c r="V235" s="332">
        <f t="shared" si="39"/>
        <v>0</v>
      </c>
      <c r="W235" s="624"/>
      <c r="AA235" s="405"/>
      <c r="AJ235" s="405"/>
    </row>
    <row r="236" spans="3:36" ht="12.75" customHeight="1">
      <c r="C236" s="131"/>
      <c r="D236" s="169" t="str">
        <f>IF(oop!D174=0,"",oop!D174)</f>
        <v/>
      </c>
      <c r="E236" s="169" t="str">
        <f>IF(oop!E174=0,"",oop!E174)</f>
        <v/>
      </c>
      <c r="F236" s="169" t="str">
        <f>IF(oop!F174=0,"",oop!F174)</f>
        <v/>
      </c>
      <c r="G236" s="169" t="str">
        <f>IF(oop!G174="","",oop!G174+1)</f>
        <v/>
      </c>
      <c r="H236" s="641" t="str">
        <f>IF(oop!H174="","",oop!H174)</f>
        <v/>
      </c>
      <c r="I236" s="170" t="str">
        <f>IF(oop!I174=0,"",oop!I174)</f>
        <v/>
      </c>
      <c r="J236" s="567" t="str">
        <f>IF(E236="","",(IF(oop!J174+1&gt;LOOKUP(I236,schaal2011,regels2011),oop!J174,oop!J174+1)))</f>
        <v/>
      </c>
      <c r="K236" s="568" t="str">
        <f>IF(oop!K174="","",oop!K174)</f>
        <v/>
      </c>
      <c r="L236" s="569" t="str">
        <f>IF(oop!L174="","",oop!L174)</f>
        <v/>
      </c>
      <c r="M236" s="570" t="str">
        <f t="shared" si="37"/>
        <v/>
      </c>
      <c r="N236" s="551"/>
      <c r="O236" s="573" t="str">
        <f>IF(I236="","",VLOOKUP(I236,tab!$A$119:$W$159,J236+3,FALSE))</f>
        <v/>
      </c>
      <c r="P236" s="572">
        <f t="shared" si="38"/>
        <v>0</v>
      </c>
      <c r="Q236" s="589">
        <f t="shared" si="34"/>
        <v>0.6</v>
      </c>
      <c r="R236" s="573">
        <f t="shared" si="35"/>
        <v>0</v>
      </c>
      <c r="S236" s="332">
        <f>IF(L236="",0,(((O236*12)*L236)*(1+tab!$D$108)*IF(I236&gt;8,tab!$E$110,tab!$E$112)))</f>
        <v>0</v>
      </c>
      <c r="T236" s="580">
        <f t="shared" si="36"/>
        <v>0</v>
      </c>
      <c r="U236" s="243">
        <f t="shared" si="32"/>
        <v>0</v>
      </c>
      <c r="V236" s="332">
        <f t="shared" si="39"/>
        <v>0</v>
      </c>
      <c r="W236" s="624"/>
      <c r="AA236" s="405"/>
      <c r="AJ236" s="405"/>
    </row>
    <row r="237" spans="3:36" ht="12.75" customHeight="1">
      <c r="C237" s="131"/>
      <c r="D237" s="169" t="str">
        <f>IF(oop!D175=0,"",oop!D175)</f>
        <v/>
      </c>
      <c r="E237" s="169" t="str">
        <f>IF(oop!E175=0,"",oop!E175)</f>
        <v/>
      </c>
      <c r="F237" s="169" t="str">
        <f>IF(oop!F175=0,"",oop!F175)</f>
        <v/>
      </c>
      <c r="G237" s="169" t="str">
        <f>IF(oop!G175="","",oop!G175+1)</f>
        <v/>
      </c>
      <c r="H237" s="641" t="str">
        <f>IF(oop!H175="","",oop!H175)</f>
        <v/>
      </c>
      <c r="I237" s="170" t="str">
        <f>IF(oop!I175=0,"",oop!I175)</f>
        <v/>
      </c>
      <c r="J237" s="567" t="str">
        <f>IF(E237="","",(IF(oop!J175+1&gt;LOOKUP(I237,schaal2011,regels2011),oop!J175,oop!J175+1)))</f>
        <v/>
      </c>
      <c r="K237" s="568" t="str">
        <f>IF(oop!K175="","",oop!K175)</f>
        <v/>
      </c>
      <c r="L237" s="569" t="str">
        <f>IF(oop!L175="","",oop!L175)</f>
        <v/>
      </c>
      <c r="M237" s="570" t="str">
        <f t="shared" si="37"/>
        <v/>
      </c>
      <c r="N237" s="551"/>
      <c r="O237" s="573" t="str">
        <f>IF(I237="","",VLOOKUP(I237,tab!$A$119:$W$159,J237+3,FALSE))</f>
        <v/>
      </c>
      <c r="P237" s="572">
        <f t="shared" si="38"/>
        <v>0</v>
      </c>
      <c r="Q237" s="589">
        <f t="shared" si="34"/>
        <v>0.6</v>
      </c>
      <c r="R237" s="573">
        <f t="shared" si="35"/>
        <v>0</v>
      </c>
      <c r="S237" s="332">
        <f>IF(L237="",0,(((O237*12)*L237)*(1+tab!$D$108)*IF(I237&gt;8,tab!$E$110,tab!$E$112)))</f>
        <v>0</v>
      </c>
      <c r="T237" s="580">
        <f t="shared" si="36"/>
        <v>0</v>
      </c>
      <c r="U237" s="243">
        <f t="shared" si="32"/>
        <v>0</v>
      </c>
      <c r="V237" s="332">
        <f t="shared" si="39"/>
        <v>0</v>
      </c>
      <c r="W237" s="624"/>
      <c r="AA237" s="405"/>
      <c r="AJ237" s="405"/>
    </row>
    <row r="238" spans="3:36" ht="12.75" customHeight="1">
      <c r="C238" s="131"/>
      <c r="D238" s="169" t="str">
        <f>IF(oop!D176=0,"",oop!D176)</f>
        <v/>
      </c>
      <c r="E238" s="169" t="str">
        <f>IF(oop!E176=0,"",oop!E176)</f>
        <v/>
      </c>
      <c r="F238" s="169" t="str">
        <f>IF(oop!F176=0,"",oop!F176)</f>
        <v/>
      </c>
      <c r="G238" s="169" t="str">
        <f>IF(oop!G176="","",oop!G176+1)</f>
        <v/>
      </c>
      <c r="H238" s="641" t="str">
        <f>IF(oop!H176="","",oop!H176)</f>
        <v/>
      </c>
      <c r="I238" s="170" t="str">
        <f>IF(oop!I176=0,"",oop!I176)</f>
        <v/>
      </c>
      <c r="J238" s="567" t="str">
        <f>IF(E238="","",(IF(oop!J176+1&gt;LOOKUP(I238,schaal2011,regels2011),oop!J176,oop!J176+1)))</f>
        <v/>
      </c>
      <c r="K238" s="568" t="str">
        <f>IF(oop!K176="","",oop!K176)</f>
        <v/>
      </c>
      <c r="L238" s="569" t="str">
        <f>IF(oop!L176="","",oop!L176)</f>
        <v/>
      </c>
      <c r="M238" s="570" t="str">
        <f t="shared" si="37"/>
        <v/>
      </c>
      <c r="N238" s="551"/>
      <c r="O238" s="573" t="str">
        <f>IF(I238="","",VLOOKUP(I238,tab!$A$119:$W$159,J238+3,FALSE))</f>
        <v/>
      </c>
      <c r="P238" s="572">
        <f t="shared" si="38"/>
        <v>0</v>
      </c>
      <c r="Q238" s="589">
        <f t="shared" si="34"/>
        <v>0.6</v>
      </c>
      <c r="R238" s="573">
        <f t="shared" si="35"/>
        <v>0</v>
      </c>
      <c r="S238" s="332">
        <f>IF(L238="",0,(((O238*12)*L238)*(1+tab!$D$108)*IF(I238&gt;8,tab!$E$110,tab!$E$112)))</f>
        <v>0</v>
      </c>
      <c r="T238" s="580">
        <f t="shared" si="36"/>
        <v>0</v>
      </c>
      <c r="U238" s="243">
        <f t="shared" si="32"/>
        <v>0</v>
      </c>
      <c r="V238" s="332">
        <f t="shared" si="39"/>
        <v>0</v>
      </c>
      <c r="W238" s="624"/>
      <c r="AA238" s="405"/>
      <c r="AJ238" s="405"/>
    </row>
    <row r="239" spans="3:36" ht="12.75" customHeight="1">
      <c r="C239" s="131"/>
      <c r="D239" s="169" t="str">
        <f>IF(oop!D177=0,"",oop!D177)</f>
        <v/>
      </c>
      <c r="E239" s="169" t="str">
        <f>IF(oop!E177=0,"",oop!E177)</f>
        <v/>
      </c>
      <c r="F239" s="169" t="str">
        <f>IF(oop!F177=0,"",oop!F177)</f>
        <v/>
      </c>
      <c r="G239" s="169" t="str">
        <f>IF(oop!G177="","",oop!G177+1)</f>
        <v/>
      </c>
      <c r="H239" s="641" t="str">
        <f>IF(oop!H177="","",oop!H177)</f>
        <v/>
      </c>
      <c r="I239" s="170" t="str">
        <f>IF(oop!I177=0,"",oop!I177)</f>
        <v/>
      </c>
      <c r="J239" s="567" t="str">
        <f>IF(E239="","",(IF(oop!J177+1&gt;LOOKUP(I239,schaal2011,regels2011),oop!J177,oop!J177+1)))</f>
        <v/>
      </c>
      <c r="K239" s="568" t="str">
        <f>IF(oop!K177="","",oop!K177)</f>
        <v/>
      </c>
      <c r="L239" s="569" t="str">
        <f>IF(oop!L177="","",oop!L177)</f>
        <v/>
      </c>
      <c r="M239" s="570" t="str">
        <f t="shared" si="37"/>
        <v/>
      </c>
      <c r="N239" s="551"/>
      <c r="O239" s="573" t="str">
        <f>IF(I239="","",VLOOKUP(I239,tab!$A$119:$W$159,J239+3,FALSE))</f>
        <v/>
      </c>
      <c r="P239" s="572">
        <f t="shared" si="38"/>
        <v>0</v>
      </c>
      <c r="Q239" s="589">
        <f t="shared" si="34"/>
        <v>0.6</v>
      </c>
      <c r="R239" s="573">
        <f t="shared" si="35"/>
        <v>0</v>
      </c>
      <c r="S239" s="332">
        <f>IF(L239="",0,(((O239*12)*L239)*(1+tab!$D$108)*IF(I239&gt;8,tab!$E$110,tab!$E$112)))</f>
        <v>0</v>
      </c>
      <c r="T239" s="580">
        <f t="shared" si="36"/>
        <v>0</v>
      </c>
      <c r="U239" s="243">
        <f t="shared" si="32"/>
        <v>0</v>
      </c>
      <c r="V239" s="332">
        <f t="shared" si="39"/>
        <v>0</v>
      </c>
      <c r="W239" s="624"/>
      <c r="AA239" s="405"/>
      <c r="AJ239" s="405"/>
    </row>
    <row r="240" spans="3:36" ht="12.75" customHeight="1">
      <c r="C240" s="131"/>
      <c r="D240" s="169" t="str">
        <f>IF(oop!D178=0,"",oop!D178)</f>
        <v/>
      </c>
      <c r="E240" s="169" t="str">
        <f>IF(oop!E178=0,"",oop!E178)</f>
        <v/>
      </c>
      <c r="F240" s="169" t="str">
        <f>IF(oop!F178=0,"",oop!F178)</f>
        <v/>
      </c>
      <c r="G240" s="169" t="str">
        <f>IF(oop!G178="","",oop!G178+1)</f>
        <v/>
      </c>
      <c r="H240" s="641" t="str">
        <f>IF(oop!H178="","",oop!H178)</f>
        <v/>
      </c>
      <c r="I240" s="170" t="str">
        <f>IF(oop!I178=0,"",oop!I178)</f>
        <v/>
      </c>
      <c r="J240" s="567" t="str">
        <f>IF(E240="","",(IF(oop!J178+1&gt;LOOKUP(I240,schaal2011,regels2011),oop!J178,oop!J178+1)))</f>
        <v/>
      </c>
      <c r="K240" s="568" t="str">
        <f>IF(oop!K178="","",oop!K178)</f>
        <v/>
      </c>
      <c r="L240" s="569" t="str">
        <f>IF(oop!L178="","",oop!L178)</f>
        <v/>
      </c>
      <c r="M240" s="570" t="str">
        <f t="shared" si="37"/>
        <v/>
      </c>
      <c r="N240" s="551"/>
      <c r="O240" s="573" t="str">
        <f>IF(I240="","",VLOOKUP(I240,tab!$A$119:$W$159,J240+3,FALSE))</f>
        <v/>
      </c>
      <c r="P240" s="572">
        <f t="shared" si="38"/>
        <v>0</v>
      </c>
      <c r="Q240" s="589">
        <f t="shared" si="34"/>
        <v>0.6</v>
      </c>
      <c r="R240" s="573">
        <f t="shared" si="35"/>
        <v>0</v>
      </c>
      <c r="S240" s="332">
        <f>IF(L240="",0,(((O240*12)*L240)*(1+tab!$D$108)*IF(I240&gt;8,tab!$E$110,tab!$E$112)))</f>
        <v>0</v>
      </c>
      <c r="T240" s="580">
        <f t="shared" si="36"/>
        <v>0</v>
      </c>
      <c r="U240" s="243">
        <f t="shared" si="32"/>
        <v>0</v>
      </c>
      <c r="V240" s="332">
        <f t="shared" si="39"/>
        <v>0</v>
      </c>
      <c r="W240" s="624"/>
      <c r="AA240" s="405"/>
      <c r="AJ240" s="405"/>
    </row>
    <row r="241" spans="3:36" ht="12.75" customHeight="1">
      <c r="C241" s="131"/>
      <c r="D241" s="169" t="str">
        <f>IF(oop!D179=0,"",oop!D179)</f>
        <v/>
      </c>
      <c r="E241" s="169" t="str">
        <f>IF(oop!E179=0,"",oop!E179)</f>
        <v/>
      </c>
      <c r="F241" s="169" t="str">
        <f>IF(oop!F179=0,"",oop!F179)</f>
        <v/>
      </c>
      <c r="G241" s="169" t="str">
        <f>IF(oop!G179="","",oop!G179+1)</f>
        <v/>
      </c>
      <c r="H241" s="641" t="str">
        <f>IF(oop!H179="","",oop!H179)</f>
        <v/>
      </c>
      <c r="I241" s="170" t="str">
        <f>IF(oop!I179=0,"",oop!I179)</f>
        <v/>
      </c>
      <c r="J241" s="567" t="str">
        <f>IF(E241="","",(IF(oop!J179+1&gt;LOOKUP(I241,schaal2011,regels2011),oop!J179,oop!J179+1)))</f>
        <v/>
      </c>
      <c r="K241" s="568" t="str">
        <f>IF(oop!K179="","",oop!K179)</f>
        <v/>
      </c>
      <c r="L241" s="569" t="str">
        <f>IF(oop!L179="","",oop!L179)</f>
        <v/>
      </c>
      <c r="M241" s="570" t="str">
        <f t="shared" si="37"/>
        <v/>
      </c>
      <c r="N241" s="551"/>
      <c r="O241" s="573" t="str">
        <f>IF(I241="","",VLOOKUP(I241,tab!$A$119:$W$159,J241+3,FALSE))</f>
        <v/>
      </c>
      <c r="P241" s="572">
        <f t="shared" si="38"/>
        <v>0</v>
      </c>
      <c r="Q241" s="589">
        <f t="shared" si="34"/>
        <v>0.6</v>
      </c>
      <c r="R241" s="573">
        <f t="shared" si="35"/>
        <v>0</v>
      </c>
      <c r="S241" s="332">
        <f>IF(L241="",0,(((O241*12)*L241)*(1+tab!$D$108)*IF(I241&gt;8,tab!$E$110,tab!$E$112)))</f>
        <v>0</v>
      </c>
      <c r="T241" s="580">
        <f t="shared" si="36"/>
        <v>0</v>
      </c>
      <c r="U241" s="243">
        <f t="shared" si="32"/>
        <v>0</v>
      </c>
      <c r="V241" s="332">
        <f t="shared" si="39"/>
        <v>0</v>
      </c>
      <c r="W241" s="624"/>
      <c r="AA241" s="405"/>
      <c r="AJ241" s="405"/>
    </row>
    <row r="242" spans="3:36" ht="12.75" customHeight="1">
      <c r="C242" s="131"/>
      <c r="D242" s="169" t="str">
        <f>IF(oop!D180=0,"",oop!D180)</f>
        <v/>
      </c>
      <c r="E242" s="169" t="str">
        <f>IF(oop!E180=0,"",oop!E180)</f>
        <v/>
      </c>
      <c r="F242" s="169" t="str">
        <f>IF(oop!F180=0,"",oop!F180)</f>
        <v/>
      </c>
      <c r="G242" s="169" t="str">
        <f>IF(oop!G180="","",oop!G180+1)</f>
        <v/>
      </c>
      <c r="H242" s="641" t="str">
        <f>IF(oop!H180="","",oop!H180)</f>
        <v/>
      </c>
      <c r="I242" s="170" t="str">
        <f>IF(oop!I180=0,"",oop!I180)</f>
        <v/>
      </c>
      <c r="J242" s="567" t="str">
        <f>IF(E242="","",(IF(oop!J180+1&gt;LOOKUP(I242,schaal2011,regels2011),oop!J180,oop!J180+1)))</f>
        <v/>
      </c>
      <c r="K242" s="568" t="str">
        <f>IF(oop!K180="","",oop!K180)</f>
        <v/>
      </c>
      <c r="L242" s="569" t="str">
        <f>IF(oop!L180="","",oop!L180)</f>
        <v/>
      </c>
      <c r="M242" s="570" t="str">
        <f t="shared" si="37"/>
        <v/>
      </c>
      <c r="N242" s="551"/>
      <c r="O242" s="573" t="str">
        <f>IF(I242="","",VLOOKUP(I242,tab!$A$119:$W$159,J242+3,FALSE))</f>
        <v/>
      </c>
      <c r="P242" s="572">
        <f t="shared" si="38"/>
        <v>0</v>
      </c>
      <c r="Q242" s="589">
        <f t="shared" si="34"/>
        <v>0.6</v>
      </c>
      <c r="R242" s="573">
        <f t="shared" si="35"/>
        <v>0</v>
      </c>
      <c r="S242" s="332">
        <f>IF(L242="",0,(((O242*12)*L242)*(1+tab!$D$108)*IF(I242&gt;8,tab!$E$110,tab!$E$112)))</f>
        <v>0</v>
      </c>
      <c r="T242" s="580">
        <f t="shared" si="36"/>
        <v>0</v>
      </c>
      <c r="U242" s="243">
        <f t="shared" si="32"/>
        <v>0</v>
      </c>
      <c r="V242" s="332">
        <f t="shared" si="39"/>
        <v>0</v>
      </c>
      <c r="W242" s="624"/>
      <c r="AA242" s="405"/>
      <c r="AJ242" s="405"/>
    </row>
    <row r="243" spans="3:36" ht="12.75" customHeight="1">
      <c r="C243" s="131"/>
      <c r="D243" s="169" t="str">
        <f>IF(oop!D181=0,"",oop!D181)</f>
        <v/>
      </c>
      <c r="E243" s="169" t="str">
        <f>IF(oop!E181=0,"",oop!E181)</f>
        <v/>
      </c>
      <c r="F243" s="169" t="str">
        <f>IF(oop!F181=0,"",oop!F181)</f>
        <v/>
      </c>
      <c r="G243" s="169" t="str">
        <f>IF(oop!G181="","",oop!G181+1)</f>
        <v/>
      </c>
      <c r="H243" s="641" t="str">
        <f>IF(oop!H181="","",oop!H181)</f>
        <v/>
      </c>
      <c r="I243" s="170" t="str">
        <f>IF(oop!I181=0,"",oop!I181)</f>
        <v/>
      </c>
      <c r="J243" s="567" t="str">
        <f>IF(E243="","",(IF(oop!J181+1&gt;LOOKUP(I243,schaal2011,regels2011),oop!J181,oop!J181+1)))</f>
        <v/>
      </c>
      <c r="K243" s="568" t="str">
        <f>IF(oop!K181="","",oop!K181)</f>
        <v/>
      </c>
      <c r="L243" s="569" t="str">
        <f>IF(oop!L181="","",oop!L181)</f>
        <v/>
      </c>
      <c r="M243" s="570" t="str">
        <f t="shared" si="37"/>
        <v/>
      </c>
      <c r="N243" s="551"/>
      <c r="O243" s="573" t="str">
        <f>IF(I243="","",VLOOKUP(I243,tab!$A$119:$W$159,J243+3,FALSE))</f>
        <v/>
      </c>
      <c r="P243" s="572">
        <f t="shared" si="38"/>
        <v>0</v>
      </c>
      <c r="Q243" s="589">
        <f t="shared" si="34"/>
        <v>0.6</v>
      </c>
      <c r="R243" s="573">
        <f t="shared" si="35"/>
        <v>0</v>
      </c>
      <c r="S243" s="332">
        <f>IF(L243="",0,(((O243*12)*L243)*(1+tab!$D$108)*IF(I243&gt;8,tab!$E$110,tab!$E$112)))</f>
        <v>0</v>
      </c>
      <c r="T243" s="580">
        <f t="shared" si="36"/>
        <v>0</v>
      </c>
      <c r="U243" s="243">
        <f t="shared" si="32"/>
        <v>0</v>
      </c>
      <c r="V243" s="332">
        <f t="shared" si="39"/>
        <v>0</v>
      </c>
      <c r="W243" s="624"/>
      <c r="AA243" s="405"/>
      <c r="AJ243" s="405"/>
    </row>
    <row r="244" spans="3:36" ht="12.75" customHeight="1">
      <c r="C244" s="131"/>
      <c r="D244" s="169" t="str">
        <f>IF(oop!D182=0,"",oop!D182)</f>
        <v/>
      </c>
      <c r="E244" s="169" t="str">
        <f>IF(oop!E182=0,"",oop!E182)</f>
        <v/>
      </c>
      <c r="F244" s="169" t="str">
        <f>IF(oop!F182=0,"",oop!F182)</f>
        <v/>
      </c>
      <c r="G244" s="169" t="str">
        <f>IF(oop!G182="","",oop!G182+1)</f>
        <v/>
      </c>
      <c r="H244" s="641" t="str">
        <f>IF(oop!H182="","",oop!H182)</f>
        <v/>
      </c>
      <c r="I244" s="170" t="str">
        <f>IF(oop!I182=0,"",oop!I182)</f>
        <v/>
      </c>
      <c r="J244" s="567" t="str">
        <f>IF(E244="","",(IF(oop!J182+1&gt;LOOKUP(I244,schaal2011,regels2011),oop!J182,oop!J182+1)))</f>
        <v/>
      </c>
      <c r="K244" s="568" t="str">
        <f>IF(oop!K182="","",oop!K182)</f>
        <v/>
      </c>
      <c r="L244" s="569" t="str">
        <f>IF(oop!L182="","",oop!L182)</f>
        <v/>
      </c>
      <c r="M244" s="570" t="str">
        <f t="shared" si="37"/>
        <v/>
      </c>
      <c r="N244" s="551"/>
      <c r="O244" s="573" t="str">
        <f>IF(I244="","",VLOOKUP(I244,tab!$A$119:$W$159,J244+3,FALSE))</f>
        <v/>
      </c>
      <c r="P244" s="572">
        <f t="shared" si="38"/>
        <v>0</v>
      </c>
      <c r="Q244" s="589">
        <f t="shared" si="34"/>
        <v>0.6</v>
      </c>
      <c r="R244" s="573">
        <f t="shared" si="35"/>
        <v>0</v>
      </c>
      <c r="S244" s="332">
        <f>IF(L244="",0,(((O244*12)*L244)*(1+tab!$D$108)*IF(I244&gt;8,tab!$E$110,tab!$E$112)))</f>
        <v>0</v>
      </c>
      <c r="T244" s="580">
        <f t="shared" si="36"/>
        <v>0</v>
      </c>
      <c r="U244" s="243">
        <f t="shared" si="32"/>
        <v>0</v>
      </c>
      <c r="V244" s="332">
        <f t="shared" si="39"/>
        <v>0</v>
      </c>
      <c r="W244" s="624"/>
      <c r="AA244" s="405"/>
      <c r="AJ244" s="405"/>
    </row>
    <row r="245" spans="3:36" ht="12.75" customHeight="1">
      <c r="C245" s="131"/>
      <c r="D245" s="169" t="str">
        <f>IF(oop!D183=0,"",oop!D183)</f>
        <v/>
      </c>
      <c r="E245" s="169" t="str">
        <f>IF(oop!E183=0,"",oop!E183)</f>
        <v/>
      </c>
      <c r="F245" s="169" t="str">
        <f>IF(oop!F183=0,"",oop!F183)</f>
        <v/>
      </c>
      <c r="G245" s="169" t="str">
        <f>IF(oop!G183="","",oop!G183+1)</f>
        <v/>
      </c>
      <c r="H245" s="641" t="str">
        <f>IF(oop!H183="","",oop!H183)</f>
        <v/>
      </c>
      <c r="I245" s="170" t="str">
        <f>IF(oop!I183=0,"",oop!I183)</f>
        <v/>
      </c>
      <c r="J245" s="567" t="str">
        <f>IF(E245="","",(IF(oop!J183+1&gt;LOOKUP(I245,schaal2011,regels2011),oop!J183,oop!J183+1)))</f>
        <v/>
      </c>
      <c r="K245" s="568" t="str">
        <f>IF(oop!K183="","",oop!K183)</f>
        <v/>
      </c>
      <c r="L245" s="569" t="str">
        <f>IF(oop!L183="","",oop!L183)</f>
        <v/>
      </c>
      <c r="M245" s="570" t="str">
        <f t="shared" si="37"/>
        <v/>
      </c>
      <c r="N245" s="551"/>
      <c r="O245" s="573" t="str">
        <f>IF(I245="","",VLOOKUP(I245,tab!$A$119:$W$159,J245+3,FALSE))</f>
        <v/>
      </c>
      <c r="P245" s="572">
        <f t="shared" si="38"/>
        <v>0</v>
      </c>
      <c r="Q245" s="589">
        <f t="shared" si="34"/>
        <v>0.6</v>
      </c>
      <c r="R245" s="573">
        <f t="shared" si="35"/>
        <v>0</v>
      </c>
      <c r="S245" s="332">
        <f>IF(L245="",0,(((O245*12)*L245)*(1+tab!$D$108)*IF(I245&gt;8,tab!$E$110,tab!$E$112)))</f>
        <v>0</v>
      </c>
      <c r="T245" s="580">
        <f t="shared" si="36"/>
        <v>0</v>
      </c>
      <c r="U245" s="243">
        <f t="shared" si="32"/>
        <v>0</v>
      </c>
      <c r="V245" s="332">
        <f t="shared" si="39"/>
        <v>0</v>
      </c>
      <c r="W245" s="624"/>
      <c r="AA245" s="405"/>
      <c r="AJ245" s="405"/>
    </row>
    <row r="246" spans="3:36" ht="12.75" customHeight="1">
      <c r="C246" s="131"/>
      <c r="D246" s="169" t="str">
        <f>IF(oop!D184=0,"",oop!D184)</f>
        <v/>
      </c>
      <c r="E246" s="169" t="str">
        <f>IF(oop!E184=0,"",oop!E184)</f>
        <v/>
      </c>
      <c r="F246" s="169" t="str">
        <f>IF(oop!F184=0,"",oop!F184)</f>
        <v/>
      </c>
      <c r="G246" s="169" t="str">
        <f>IF(oop!G184="","",oop!G184+1)</f>
        <v/>
      </c>
      <c r="H246" s="641" t="str">
        <f>IF(oop!H184="","",oop!H184)</f>
        <v/>
      </c>
      <c r="I246" s="170" t="str">
        <f>IF(oop!I184=0,"",oop!I184)</f>
        <v/>
      </c>
      <c r="J246" s="567" t="str">
        <f>IF(E246="","",(IF(oop!J184+1&gt;LOOKUP(I246,schaal2011,regels2011),oop!J184,oop!J184+1)))</f>
        <v/>
      </c>
      <c r="K246" s="568" t="str">
        <f>IF(oop!K184="","",oop!K184)</f>
        <v/>
      </c>
      <c r="L246" s="569" t="str">
        <f>IF(oop!L184="","",oop!L184)</f>
        <v/>
      </c>
      <c r="M246" s="570" t="str">
        <f t="shared" si="37"/>
        <v/>
      </c>
      <c r="N246" s="551"/>
      <c r="O246" s="573" t="str">
        <f>IF(I246="","",VLOOKUP(I246,tab!$A$119:$W$159,J246+3,FALSE))</f>
        <v/>
      </c>
      <c r="P246" s="572">
        <f t="shared" si="38"/>
        <v>0</v>
      </c>
      <c r="Q246" s="589">
        <f t="shared" si="34"/>
        <v>0.6</v>
      </c>
      <c r="R246" s="573">
        <f t="shared" si="35"/>
        <v>0</v>
      </c>
      <c r="S246" s="332">
        <f>IF(L246="",0,(((O246*12)*L246)*(1+tab!$D$108)*IF(I246&gt;8,tab!$E$110,tab!$E$112)))</f>
        <v>0</v>
      </c>
      <c r="T246" s="580">
        <f t="shared" si="36"/>
        <v>0</v>
      </c>
      <c r="U246" s="243">
        <f t="shared" si="32"/>
        <v>0</v>
      </c>
      <c r="V246" s="332">
        <f t="shared" si="39"/>
        <v>0</v>
      </c>
      <c r="W246" s="624"/>
      <c r="AA246" s="405"/>
      <c r="AJ246" s="405"/>
    </row>
    <row r="247" spans="3:36" ht="12.75" customHeight="1">
      <c r="C247" s="131"/>
      <c r="D247" s="169" t="str">
        <f>IF(oop!D185=0,"",oop!D185)</f>
        <v/>
      </c>
      <c r="E247" s="169" t="str">
        <f>IF(oop!E185=0,"",oop!E185)</f>
        <v/>
      </c>
      <c r="F247" s="169" t="str">
        <f>IF(oop!F185=0,"",oop!F185)</f>
        <v/>
      </c>
      <c r="G247" s="169" t="str">
        <f>IF(oop!G185="","",oop!G185+1)</f>
        <v/>
      </c>
      <c r="H247" s="641" t="str">
        <f>IF(oop!H185="","",oop!H185)</f>
        <v/>
      </c>
      <c r="I247" s="170" t="str">
        <f>IF(oop!I185=0,"",oop!I185)</f>
        <v/>
      </c>
      <c r="J247" s="567" t="str">
        <f>IF(E247="","",(IF(oop!J185+1&gt;LOOKUP(I247,schaal2011,regels2011),oop!J185,oop!J185+1)))</f>
        <v/>
      </c>
      <c r="K247" s="568" t="str">
        <f>IF(oop!K185="","",oop!K185)</f>
        <v/>
      </c>
      <c r="L247" s="569" t="str">
        <f>IF(oop!L185="","",oop!L185)</f>
        <v/>
      </c>
      <c r="M247" s="570" t="str">
        <f t="shared" si="37"/>
        <v/>
      </c>
      <c r="N247" s="551"/>
      <c r="O247" s="573" t="str">
        <f>IF(I247="","",VLOOKUP(I247,tab!$A$119:$W$159,J247+3,FALSE))</f>
        <v/>
      </c>
      <c r="P247" s="572">
        <f t="shared" si="38"/>
        <v>0</v>
      </c>
      <c r="Q247" s="589">
        <f t="shared" si="34"/>
        <v>0.6</v>
      </c>
      <c r="R247" s="573">
        <f t="shared" si="35"/>
        <v>0</v>
      </c>
      <c r="S247" s="332">
        <f>IF(L247="",0,(((O247*12)*L247)*(1+tab!$D$108)*IF(I247&gt;8,tab!$E$110,tab!$E$112)))</f>
        <v>0</v>
      </c>
      <c r="T247" s="580">
        <f t="shared" si="36"/>
        <v>0</v>
      </c>
      <c r="U247" s="243">
        <f t="shared" si="32"/>
        <v>0</v>
      </c>
      <c r="V247" s="332">
        <f t="shared" si="39"/>
        <v>0</v>
      </c>
      <c r="W247" s="624"/>
      <c r="AA247" s="405"/>
      <c r="AJ247" s="405"/>
    </row>
    <row r="248" spans="3:36" ht="12.75" customHeight="1">
      <c r="C248" s="131"/>
      <c r="D248" s="169" t="str">
        <f>IF(oop!D186=0,"",oop!D186)</f>
        <v/>
      </c>
      <c r="E248" s="169" t="str">
        <f>IF(oop!E186=0,"",oop!E186)</f>
        <v/>
      </c>
      <c r="F248" s="169" t="str">
        <f>IF(oop!F186=0,"",oop!F186)</f>
        <v/>
      </c>
      <c r="G248" s="169" t="str">
        <f>IF(oop!G186="","",oop!G186+1)</f>
        <v/>
      </c>
      <c r="H248" s="641" t="str">
        <f>IF(oop!H186="","",oop!H186)</f>
        <v/>
      </c>
      <c r="I248" s="170" t="str">
        <f>IF(oop!I186=0,"",oop!I186)</f>
        <v/>
      </c>
      <c r="J248" s="567" t="str">
        <f>IF(E248="","",(IF(oop!J186+1&gt;LOOKUP(I248,schaal2011,regels2011),oop!J186,oop!J186+1)))</f>
        <v/>
      </c>
      <c r="K248" s="568" t="str">
        <f>IF(oop!K186="","",oop!K186)</f>
        <v/>
      </c>
      <c r="L248" s="569" t="str">
        <f>IF(oop!L186="","",oop!L186)</f>
        <v/>
      </c>
      <c r="M248" s="570" t="str">
        <f t="shared" si="30"/>
        <v/>
      </c>
      <c r="N248" s="551"/>
      <c r="O248" s="573" t="str">
        <f>IF(I248="","",VLOOKUP(I248,tab!$A$119:$W$159,J248+3,FALSE))</f>
        <v/>
      </c>
      <c r="P248" s="572">
        <f t="shared" si="38"/>
        <v>0</v>
      </c>
      <c r="Q248" s="589">
        <f t="shared" si="34"/>
        <v>0.6</v>
      </c>
      <c r="R248" s="573">
        <f t="shared" si="35"/>
        <v>0</v>
      </c>
      <c r="S248" s="332">
        <f>IF(L248="",0,(((O248*12)*L248)*(1+tab!$D$108)*IF(I248&gt;8,tab!$E$110,tab!$E$112)))</f>
        <v>0</v>
      </c>
      <c r="T248" s="580">
        <f t="shared" si="36"/>
        <v>0</v>
      </c>
      <c r="U248" s="243">
        <f t="shared" si="32"/>
        <v>0</v>
      </c>
      <c r="V248" s="332">
        <f t="shared" si="39"/>
        <v>0</v>
      </c>
      <c r="W248" s="624"/>
      <c r="AA248" s="405"/>
      <c r="AJ248" s="405"/>
    </row>
    <row r="249" spans="3:36" ht="12.75" customHeight="1">
      <c r="C249" s="131"/>
      <c r="D249" s="169" t="str">
        <f>IF(oop!D187=0,"",oop!D187)</f>
        <v/>
      </c>
      <c r="E249" s="169" t="str">
        <f>IF(oop!E187=0,"",oop!E187)</f>
        <v/>
      </c>
      <c r="F249" s="169" t="str">
        <f>IF(oop!F187=0,"",oop!F187)</f>
        <v/>
      </c>
      <c r="G249" s="169" t="str">
        <f>IF(oop!G187="","",oop!G187+1)</f>
        <v/>
      </c>
      <c r="H249" s="641" t="str">
        <f>IF(oop!H187="","",oop!H187)</f>
        <v/>
      </c>
      <c r="I249" s="170" t="str">
        <f>IF(oop!I187=0,"",oop!I187)</f>
        <v/>
      </c>
      <c r="J249" s="567" t="str">
        <f>IF(E249="","",(IF(oop!J187+1&gt;LOOKUP(I249,schaal2011,regels2011),oop!J187,oop!J187+1)))</f>
        <v/>
      </c>
      <c r="K249" s="568" t="str">
        <f>IF(oop!K187="","",oop!K187)</f>
        <v/>
      </c>
      <c r="L249" s="569" t="str">
        <f>IF(oop!L187="","",oop!L187)</f>
        <v/>
      </c>
      <c r="M249" s="570" t="str">
        <f t="shared" si="30"/>
        <v/>
      </c>
      <c r="N249" s="551"/>
      <c r="O249" s="573" t="str">
        <f>IF(I249="","",VLOOKUP(I249,tab!$A$119:$W$159,J249+3,FALSE))</f>
        <v/>
      </c>
      <c r="P249" s="572">
        <f t="shared" si="38"/>
        <v>0</v>
      </c>
      <c r="Q249" s="589">
        <f t="shared" si="34"/>
        <v>0.6</v>
      </c>
      <c r="R249" s="573">
        <f t="shared" si="35"/>
        <v>0</v>
      </c>
      <c r="S249" s="332">
        <f>IF(L249="",0,(((O249*12)*L249)*(1+tab!$D$108)*IF(I249&gt;8,tab!$E$110,tab!$E$112)))</f>
        <v>0</v>
      </c>
      <c r="T249" s="580">
        <f t="shared" si="36"/>
        <v>0</v>
      </c>
      <c r="U249" s="243">
        <f t="shared" si="32"/>
        <v>0</v>
      </c>
      <c r="V249" s="332">
        <f t="shared" si="39"/>
        <v>0</v>
      </c>
      <c r="W249" s="624"/>
      <c r="AA249" s="405"/>
      <c r="AJ249" s="405"/>
    </row>
    <row r="250" spans="3:36" ht="12.75" customHeight="1">
      <c r="C250" s="131"/>
      <c r="D250" s="169" t="str">
        <f>IF(oop!D188=0,"",oop!D188)</f>
        <v/>
      </c>
      <c r="E250" s="169" t="str">
        <f>IF(oop!E188=0,"",oop!E188)</f>
        <v/>
      </c>
      <c r="F250" s="169" t="str">
        <f>IF(oop!F188=0,"",oop!F188)</f>
        <v/>
      </c>
      <c r="G250" s="169" t="str">
        <f>IF(oop!G188="","",oop!G188+1)</f>
        <v/>
      </c>
      <c r="H250" s="641" t="str">
        <f>IF(oop!H188="","",oop!H188)</f>
        <v/>
      </c>
      <c r="I250" s="170" t="str">
        <f>IF(oop!I188=0,"",oop!I188)</f>
        <v/>
      </c>
      <c r="J250" s="567" t="str">
        <f>IF(E250="","",(IF(oop!J188+1&gt;LOOKUP(I250,schaal2011,regels2011),oop!J188,oop!J188+1)))</f>
        <v/>
      </c>
      <c r="K250" s="568" t="str">
        <f>IF(oop!K188="","",oop!K188)</f>
        <v/>
      </c>
      <c r="L250" s="569" t="str">
        <f>IF(oop!L188="","",oop!L188)</f>
        <v/>
      </c>
      <c r="M250" s="570" t="str">
        <f t="shared" si="30"/>
        <v/>
      </c>
      <c r="N250" s="551"/>
      <c r="O250" s="573" t="str">
        <f>IF(I250="","",VLOOKUP(I250,tab!$A$119:$W$159,J250+3,FALSE))</f>
        <v/>
      </c>
      <c r="P250" s="572">
        <f t="shared" si="38"/>
        <v>0</v>
      </c>
      <c r="Q250" s="589">
        <f t="shared" si="34"/>
        <v>0.6</v>
      </c>
      <c r="R250" s="573">
        <f t="shared" si="35"/>
        <v>0</v>
      </c>
      <c r="S250" s="332">
        <f>IF(L250="",0,(((O250*12)*L250)*(1+tab!$D$108)*IF(I250&gt;8,tab!$E$110,tab!$E$112)))</f>
        <v>0</v>
      </c>
      <c r="T250" s="580">
        <f t="shared" si="36"/>
        <v>0</v>
      </c>
      <c r="U250" s="243">
        <f t="shared" si="32"/>
        <v>0</v>
      </c>
      <c r="V250" s="332">
        <f t="shared" si="39"/>
        <v>0</v>
      </c>
      <c r="W250" s="624"/>
      <c r="AA250" s="405"/>
      <c r="AJ250" s="405"/>
    </row>
    <row r="251" spans="3:36" ht="12.75" customHeight="1">
      <c r="C251" s="131"/>
      <c r="D251" s="169" t="str">
        <f>IF(oop!D189=0,"",oop!D189)</f>
        <v/>
      </c>
      <c r="E251" s="169" t="str">
        <f>IF(oop!E189=0,"",oop!E189)</f>
        <v/>
      </c>
      <c r="F251" s="169" t="str">
        <f>IF(oop!F189=0,"",oop!F189)</f>
        <v/>
      </c>
      <c r="G251" s="169" t="str">
        <f>IF(oop!G189="","",oop!G189+1)</f>
        <v/>
      </c>
      <c r="H251" s="641" t="str">
        <f>IF(oop!H189="","",oop!H189)</f>
        <v/>
      </c>
      <c r="I251" s="170" t="str">
        <f>IF(oop!I189=0,"",oop!I189)</f>
        <v/>
      </c>
      <c r="J251" s="567" t="str">
        <f>IF(E251="","",(IF(oop!J189+1&gt;LOOKUP(I251,schaal2011,regels2011),oop!J189,oop!J189+1)))</f>
        <v/>
      </c>
      <c r="K251" s="568" t="str">
        <f>IF(oop!K189="","",oop!K189)</f>
        <v/>
      </c>
      <c r="L251" s="569" t="str">
        <f>IF(oop!L189="","",oop!L189)</f>
        <v/>
      </c>
      <c r="M251" s="570" t="str">
        <f t="shared" si="30"/>
        <v/>
      </c>
      <c r="N251" s="551"/>
      <c r="O251" s="573" t="str">
        <f>IF(I251="","",VLOOKUP(I251,tab!$A$119:$W$159,J251+3,FALSE))</f>
        <v/>
      </c>
      <c r="P251" s="572">
        <f t="shared" si="38"/>
        <v>0</v>
      </c>
      <c r="Q251" s="589">
        <f t="shared" si="34"/>
        <v>0.6</v>
      </c>
      <c r="R251" s="573">
        <f t="shared" si="35"/>
        <v>0</v>
      </c>
      <c r="S251" s="332">
        <f>IF(L251="",0,(((O251*12)*L251)*(1+tab!$D$108)*IF(I251&gt;8,tab!$E$110,tab!$E$112)))</f>
        <v>0</v>
      </c>
      <c r="T251" s="580">
        <f t="shared" si="36"/>
        <v>0</v>
      </c>
      <c r="U251" s="243">
        <f t="shared" si="32"/>
        <v>0</v>
      </c>
      <c r="V251" s="332">
        <f t="shared" si="39"/>
        <v>0</v>
      </c>
      <c r="W251" s="624"/>
      <c r="AA251" s="405"/>
      <c r="AJ251" s="405"/>
    </row>
    <row r="252" spans="3:36">
      <c r="C252" s="131"/>
      <c r="D252" s="319"/>
      <c r="E252" s="319"/>
      <c r="F252" s="319"/>
      <c r="G252" s="319"/>
      <c r="H252" s="319"/>
      <c r="I252" s="139"/>
      <c r="J252" s="625"/>
      <c r="K252" s="575">
        <f>SUM(K202:K251)</f>
        <v>0</v>
      </c>
      <c r="L252" s="575">
        <f>SUM(L202:L251)</f>
        <v>0</v>
      </c>
      <c r="M252" s="575">
        <f>SUM(M202:M251)</f>
        <v>0</v>
      </c>
      <c r="N252" s="550"/>
      <c r="O252" s="309">
        <f>SUM(O202:O251)</f>
        <v>0</v>
      </c>
      <c r="P252" s="309">
        <f>SUM(P202:P251)</f>
        <v>0</v>
      </c>
      <c r="Q252" s="299"/>
      <c r="R252" s="344">
        <f>SUM(R202:R251)</f>
        <v>0</v>
      </c>
      <c r="S252" s="344">
        <f>SUM(S202:S251)</f>
        <v>0</v>
      </c>
      <c r="T252" s="309">
        <f>SUM(T202:T251)</f>
        <v>0</v>
      </c>
      <c r="U252" s="574">
        <f>SUM(U202:U251)</f>
        <v>0</v>
      </c>
      <c r="V252" s="344">
        <f>SUM(V202:V251)</f>
        <v>0</v>
      </c>
      <c r="W252" s="626"/>
    </row>
    <row r="253" spans="3:36">
      <c r="C253" s="141"/>
      <c r="D253" s="557"/>
      <c r="E253" s="557"/>
      <c r="F253" s="557"/>
      <c r="G253" s="557"/>
      <c r="H253" s="557"/>
      <c r="I253" s="146"/>
      <c r="J253" s="559"/>
      <c r="K253" s="560"/>
      <c r="L253" s="559"/>
      <c r="M253" s="560"/>
      <c r="N253" s="559"/>
      <c r="O253" s="559"/>
      <c r="P253" s="299"/>
      <c r="Q253" s="299"/>
      <c r="R253" s="299"/>
      <c r="S253" s="562"/>
      <c r="T253" s="299"/>
      <c r="U253" s="563"/>
      <c r="V253" s="562"/>
      <c r="W253" s="627"/>
    </row>
    <row r="256" spans="3:36">
      <c r="C256" s="68" t="s">
        <v>290</v>
      </c>
      <c r="E256" s="370" t="str">
        <f>dir!E117</f>
        <v>2016/17</v>
      </c>
      <c r="H256" s="601"/>
      <c r="I256" s="67"/>
      <c r="K256" s="396"/>
      <c r="O256" s="407"/>
      <c r="P256" s="395"/>
      <c r="Q256" s="395"/>
      <c r="R256" s="395"/>
      <c r="S256" s="224"/>
      <c r="T256" s="408"/>
      <c r="U256" s="84"/>
      <c r="V256" s="224"/>
    </row>
    <row r="257" spans="1:39">
      <c r="C257" s="68" t="s">
        <v>291</v>
      </c>
      <c r="E257" s="370">
        <f>dir!E118</f>
        <v>42644</v>
      </c>
      <c r="H257" s="601"/>
      <c r="I257" s="67"/>
      <c r="K257" s="396"/>
      <c r="O257" s="407"/>
      <c r="P257" s="395"/>
      <c r="Q257" s="395"/>
      <c r="R257" s="395"/>
      <c r="S257" s="224"/>
      <c r="T257" s="408"/>
      <c r="U257" s="84"/>
      <c r="V257" s="224"/>
    </row>
    <row r="258" spans="1:39">
      <c r="H258" s="601"/>
      <c r="I258" s="67"/>
      <c r="K258" s="396"/>
      <c r="O258" s="407"/>
      <c r="P258" s="395"/>
      <c r="Q258" s="395"/>
      <c r="R258" s="395"/>
      <c r="S258" s="224"/>
      <c r="T258" s="408"/>
      <c r="U258" s="84"/>
      <c r="V258" s="224"/>
    </row>
    <row r="259" spans="1:39">
      <c r="C259" s="124"/>
      <c r="D259" s="628"/>
      <c r="E259" s="629"/>
      <c r="F259" s="630"/>
      <c r="G259" s="631"/>
      <c r="H259" s="632"/>
      <c r="I259" s="633"/>
      <c r="J259" s="633"/>
      <c r="K259" s="634"/>
      <c r="L259" s="633"/>
      <c r="M259" s="635"/>
      <c r="N259" s="636"/>
      <c r="O259" s="637"/>
      <c r="P259" s="636"/>
      <c r="Q259" s="636"/>
      <c r="R259" s="636"/>
      <c r="S259" s="638"/>
      <c r="T259" s="639"/>
      <c r="U259" s="640"/>
      <c r="V259" s="638"/>
      <c r="W259" s="130"/>
    </row>
    <row r="260" spans="1:39">
      <c r="C260" s="620"/>
      <c r="D260" s="1176" t="s">
        <v>292</v>
      </c>
      <c r="E260" s="1177"/>
      <c r="F260" s="1177"/>
      <c r="G260" s="1177"/>
      <c r="H260" s="1177"/>
      <c r="I260" s="1178"/>
      <c r="J260" s="1178"/>
      <c r="K260" s="1178"/>
      <c r="L260" s="1178"/>
      <c r="M260" s="1178"/>
      <c r="N260" s="525"/>
      <c r="O260" s="1176" t="s">
        <v>293</v>
      </c>
      <c r="P260" s="1178"/>
      <c r="Q260" s="1178"/>
      <c r="R260" s="1178"/>
      <c r="S260" s="1178"/>
      <c r="T260" s="1178"/>
      <c r="U260" s="526"/>
      <c r="V260" s="242"/>
      <c r="W260" s="621"/>
    </row>
    <row r="261" spans="1:39">
      <c r="C261" s="524"/>
      <c r="D261" s="528" t="s">
        <v>541</v>
      </c>
      <c r="E261" s="528" t="s">
        <v>294</v>
      </c>
      <c r="F261" s="528" t="s">
        <v>295</v>
      </c>
      <c r="G261" s="529" t="s">
        <v>296</v>
      </c>
      <c r="H261" s="530" t="s">
        <v>297</v>
      </c>
      <c r="I261" s="529" t="s">
        <v>302</v>
      </c>
      <c r="J261" s="529" t="s">
        <v>303</v>
      </c>
      <c r="K261" s="531" t="s">
        <v>305</v>
      </c>
      <c r="L261" s="532" t="s">
        <v>306</v>
      </c>
      <c r="M261" s="531" t="s">
        <v>307</v>
      </c>
      <c r="N261" s="528"/>
      <c r="O261" s="535" t="s">
        <v>304</v>
      </c>
      <c r="P261" s="535" t="s">
        <v>738</v>
      </c>
      <c r="Q261" s="587" t="s">
        <v>739</v>
      </c>
      <c r="R261" s="510"/>
      <c r="S261" s="536" t="s">
        <v>306</v>
      </c>
      <c r="T261" s="576" t="s">
        <v>308</v>
      </c>
      <c r="U261" s="537" t="s">
        <v>309</v>
      </c>
      <c r="V261" s="242" t="s">
        <v>740</v>
      </c>
      <c r="W261" s="538"/>
    </row>
    <row r="262" spans="1:39" s="403" customFormat="1">
      <c r="A262" s="402"/>
      <c r="B262" s="402"/>
      <c r="C262" s="622"/>
      <c r="D262" s="540"/>
      <c r="E262" s="528"/>
      <c r="F262" s="532"/>
      <c r="G262" s="529" t="s">
        <v>312</v>
      </c>
      <c r="H262" s="530" t="s">
        <v>313</v>
      </c>
      <c r="I262" s="529"/>
      <c r="J262" s="529"/>
      <c r="K262" s="531" t="s">
        <v>316</v>
      </c>
      <c r="L262" s="532" t="s">
        <v>317</v>
      </c>
      <c r="M262" s="531" t="s">
        <v>318</v>
      </c>
      <c r="N262" s="528"/>
      <c r="O262" s="535" t="s">
        <v>315</v>
      </c>
      <c r="P262" s="535" t="s">
        <v>741</v>
      </c>
      <c r="Q262" s="577">
        <f>Q200</f>
        <v>0.6</v>
      </c>
      <c r="R262" s="510" t="s">
        <v>742</v>
      </c>
      <c r="S262" s="536" t="s">
        <v>310</v>
      </c>
      <c r="T262" s="576" t="s">
        <v>391</v>
      </c>
      <c r="U262" s="537"/>
      <c r="V262" s="536" t="s">
        <v>310</v>
      </c>
      <c r="W262" s="623"/>
      <c r="AC262" s="420"/>
      <c r="AD262" s="602"/>
      <c r="AL262" s="420"/>
      <c r="AM262" s="602"/>
    </row>
    <row r="263" spans="1:39">
      <c r="C263" s="131"/>
      <c r="D263" s="155"/>
      <c r="E263" s="155"/>
      <c r="F263" s="155"/>
      <c r="G263" s="155"/>
      <c r="H263" s="543"/>
      <c r="I263" s="544"/>
      <c r="J263" s="544"/>
      <c r="K263" s="545"/>
      <c r="L263" s="542"/>
      <c r="M263" s="545"/>
      <c r="N263" s="155"/>
      <c r="O263" s="546"/>
      <c r="P263" s="547"/>
      <c r="Q263" s="547"/>
      <c r="R263" s="547"/>
      <c r="S263" s="548"/>
      <c r="T263" s="547"/>
      <c r="U263" s="549"/>
      <c r="V263" s="548"/>
      <c r="W263" s="136"/>
    </row>
    <row r="264" spans="1:39">
      <c r="C264" s="131"/>
      <c r="D264" s="169" t="str">
        <f>IF(oop!D202=0,"",oop!D202)</f>
        <v/>
      </c>
      <c r="E264" s="169" t="str">
        <f>IF(oop!E202=0,"",oop!E202)</f>
        <v/>
      </c>
      <c r="F264" s="169" t="str">
        <f>IF(oop!F202=0,"",oop!F202)</f>
        <v/>
      </c>
      <c r="G264" s="170" t="str">
        <f>IF(oop!G202="","",oop!G202+1)</f>
        <v/>
      </c>
      <c r="H264" s="566" t="str">
        <f>IF(oop!H202="","",oop!H202)</f>
        <v/>
      </c>
      <c r="I264" s="170" t="str">
        <f>IF(oop!I202=0,"",oop!I202)</f>
        <v/>
      </c>
      <c r="J264" s="567" t="str">
        <f>IF(E264="","",(IF(oop!J202+1&gt;LOOKUP(I264,schaal2011,regels2011),oop!J202,oop!J202+1)))</f>
        <v/>
      </c>
      <c r="K264" s="568" t="str">
        <f>IF(oop!K202="","",oop!K202)</f>
        <v/>
      </c>
      <c r="L264" s="569" t="str">
        <f>IF(oop!L202="","",oop!L202)</f>
        <v/>
      </c>
      <c r="M264" s="570" t="str">
        <f t="shared" ref="M264:M288" si="40">(IF(L264="",(K264),(K264)-L264))</f>
        <v/>
      </c>
      <c r="N264" s="551"/>
      <c r="O264" s="573" t="str">
        <f>IF(I264="","",VLOOKUP(I264,tab!$A$119:$W$159,J264+3,FALSE))</f>
        <v/>
      </c>
      <c r="P264" s="572">
        <f t="shared" ref="P264:P295" si="41">IF(E264="",0,(O264*M264*12))</f>
        <v>0</v>
      </c>
      <c r="Q264" s="589">
        <f>$Q$262</f>
        <v>0.6</v>
      </c>
      <c r="R264" s="573">
        <f>IF(E264=0,"",(P264)*Q264)</f>
        <v>0</v>
      </c>
      <c r="S264" s="332">
        <f>IF(L264="",0,(((O264*12)*L264)*(1+tab!$D$108)*IF(I264&gt;8,tab!$E$110,tab!$E$112)))</f>
        <v>0</v>
      </c>
      <c r="T264" s="580">
        <f>IF(E264=0,0,(P264+R264+S264))</f>
        <v>0</v>
      </c>
      <c r="U264" s="243">
        <f t="shared" ref="U264:U313" si="42">IF(G264&lt;25,0,IF(G264=25,25,IF(G264&lt;40,0,IF(G264=40,40,IF(G264&gt;=40,0)))))</f>
        <v>0</v>
      </c>
      <c r="V264" s="332">
        <f t="shared" ref="V264:V295" si="43">IF(U264=25,(O264*1.08*(K264)/2),IF(U264=40,(O264*1.08*(K264)),IF(U264=0,0)))</f>
        <v>0</v>
      </c>
      <c r="W264" s="624"/>
    </row>
    <row r="265" spans="1:39">
      <c r="C265" s="131"/>
      <c r="D265" s="169" t="str">
        <f>IF(oop!D203=0,"",oop!D203)</f>
        <v/>
      </c>
      <c r="E265" s="169" t="str">
        <f>IF(oop!E203=0,"",oop!E203)</f>
        <v/>
      </c>
      <c r="F265" s="169" t="str">
        <f>IF(oop!F203=0,"",oop!F203)</f>
        <v/>
      </c>
      <c r="G265" s="169" t="str">
        <f>IF(oop!G203="","",oop!G203+1)</f>
        <v/>
      </c>
      <c r="H265" s="641" t="str">
        <f>IF(oop!H203="","",oop!H203)</f>
        <v/>
      </c>
      <c r="I265" s="170" t="str">
        <f>IF(oop!I203=0,"",oop!I203)</f>
        <v/>
      </c>
      <c r="J265" s="567" t="str">
        <f>IF(E265="","",(IF(oop!J203+1&gt;LOOKUP(I265,schaal2011,regels2011),oop!J203,oop!J203+1)))</f>
        <v/>
      </c>
      <c r="K265" s="568" t="str">
        <f>IF(oop!K203="","",oop!K203)</f>
        <v/>
      </c>
      <c r="L265" s="569" t="str">
        <f>IF(oop!L203="","",oop!L203)</f>
        <v/>
      </c>
      <c r="M265" s="570" t="str">
        <f t="shared" si="40"/>
        <v/>
      </c>
      <c r="N265" s="551"/>
      <c r="O265" s="573" t="str">
        <f>IF(I265="","",VLOOKUP(I265,tab!$A$119:$W$159,J265+3,FALSE))</f>
        <v/>
      </c>
      <c r="P265" s="572">
        <f t="shared" si="41"/>
        <v>0</v>
      </c>
      <c r="Q265" s="589">
        <f t="shared" ref="Q265:Q313" si="44">$Q$262</f>
        <v>0.6</v>
      </c>
      <c r="R265" s="573">
        <f t="shared" ref="R265:R313" si="45">IF(E265=0,"",(P265)*Q265)</f>
        <v>0</v>
      </c>
      <c r="S265" s="332">
        <f>IF(L265="",0,(((O265*12)*L265)*(1+tab!$D$108)*IF(I265&gt;8,tab!$E$110,tab!$E$112)))</f>
        <v>0</v>
      </c>
      <c r="T265" s="580">
        <f t="shared" ref="T265:T313" si="46">IF(E265=0,0,(P265+R265+S265))</f>
        <v>0</v>
      </c>
      <c r="U265" s="243">
        <f t="shared" si="42"/>
        <v>0</v>
      </c>
      <c r="V265" s="332">
        <f t="shared" si="43"/>
        <v>0</v>
      </c>
      <c r="W265" s="624"/>
    </row>
    <row r="266" spans="1:39">
      <c r="C266" s="131"/>
      <c r="D266" s="169" t="str">
        <f>IF(oop!D204=0,"",oop!D204)</f>
        <v/>
      </c>
      <c r="E266" s="169" t="str">
        <f>IF(oop!E204=0,"",oop!E204)</f>
        <v/>
      </c>
      <c r="F266" s="169" t="str">
        <f>IF(oop!F204=0,"",oop!F204)</f>
        <v/>
      </c>
      <c r="G266" s="169" t="str">
        <f>IF(oop!G204="","",oop!G204+1)</f>
        <v/>
      </c>
      <c r="H266" s="641" t="str">
        <f>IF(oop!H204="","",oop!H204)</f>
        <v/>
      </c>
      <c r="I266" s="170" t="str">
        <f>IF(oop!I204=0,"",oop!I204)</f>
        <v/>
      </c>
      <c r="J266" s="567" t="str">
        <f>IF(E266="","",(IF(oop!J204+1&gt;LOOKUP(I266,schaal2011,regels2011),oop!J204,oop!J204+1)))</f>
        <v/>
      </c>
      <c r="K266" s="568" t="str">
        <f>IF(oop!K204="","",oop!K204)</f>
        <v/>
      </c>
      <c r="L266" s="569" t="str">
        <f>IF(oop!L204="","",oop!L204)</f>
        <v/>
      </c>
      <c r="M266" s="570" t="str">
        <f t="shared" si="40"/>
        <v/>
      </c>
      <c r="N266" s="551"/>
      <c r="O266" s="573" t="str">
        <f>IF(I266="","",VLOOKUP(I266,tab!$A$119:$W$159,J266+3,FALSE))</f>
        <v/>
      </c>
      <c r="P266" s="572">
        <f t="shared" si="41"/>
        <v>0</v>
      </c>
      <c r="Q266" s="589">
        <f t="shared" si="44"/>
        <v>0.6</v>
      </c>
      <c r="R266" s="573">
        <f t="shared" si="45"/>
        <v>0</v>
      </c>
      <c r="S266" s="332">
        <f>IF(L266="",0,(((O266*12)*L266)*(1+tab!$D$108)*IF(I266&gt;8,tab!$E$110,tab!$E$112)))</f>
        <v>0</v>
      </c>
      <c r="T266" s="580">
        <f t="shared" si="46"/>
        <v>0</v>
      </c>
      <c r="U266" s="243">
        <f t="shared" si="42"/>
        <v>0</v>
      </c>
      <c r="V266" s="332">
        <f t="shared" si="43"/>
        <v>0</v>
      </c>
      <c r="W266" s="624"/>
    </row>
    <row r="267" spans="1:39">
      <c r="C267" s="131"/>
      <c r="D267" s="169" t="str">
        <f>IF(oop!D205=0,"",oop!D205)</f>
        <v/>
      </c>
      <c r="E267" s="169" t="str">
        <f>IF(oop!E205=0,"",oop!E205)</f>
        <v/>
      </c>
      <c r="F267" s="169" t="str">
        <f>IF(oop!F205=0,"",oop!F205)</f>
        <v/>
      </c>
      <c r="G267" s="169" t="str">
        <f>IF(oop!G205="","",oop!G205+1)</f>
        <v/>
      </c>
      <c r="H267" s="641" t="str">
        <f>IF(oop!H205="","",oop!H205)</f>
        <v/>
      </c>
      <c r="I267" s="170" t="str">
        <f>IF(oop!I205=0,"",oop!I205)</f>
        <v/>
      </c>
      <c r="J267" s="567" t="str">
        <f>IF(E267="","",(IF(oop!J205+1&gt;LOOKUP(I267,schaal2011,regels2011),oop!J205,oop!J205+1)))</f>
        <v/>
      </c>
      <c r="K267" s="568" t="str">
        <f>IF(oop!K205="","",oop!K205)</f>
        <v/>
      </c>
      <c r="L267" s="569" t="str">
        <f>IF(oop!L205="","",oop!L205)</f>
        <v/>
      </c>
      <c r="M267" s="570" t="str">
        <f t="shared" si="40"/>
        <v/>
      </c>
      <c r="N267" s="551"/>
      <c r="O267" s="573" t="str">
        <f>IF(I267="","",VLOOKUP(I267,tab!$A$119:$W$159,J267+3,FALSE))</f>
        <v/>
      </c>
      <c r="P267" s="572">
        <f t="shared" si="41"/>
        <v>0</v>
      </c>
      <c r="Q267" s="589">
        <f t="shared" si="44"/>
        <v>0.6</v>
      </c>
      <c r="R267" s="573">
        <f t="shared" si="45"/>
        <v>0</v>
      </c>
      <c r="S267" s="332">
        <f>IF(L267="",0,(((O267*12)*L267)*(1+tab!$D$108)*IF(I267&gt;8,tab!$E$110,tab!$E$112)))</f>
        <v>0</v>
      </c>
      <c r="T267" s="580">
        <f t="shared" si="46"/>
        <v>0</v>
      </c>
      <c r="U267" s="243">
        <f t="shared" si="42"/>
        <v>0</v>
      </c>
      <c r="V267" s="332">
        <f t="shared" si="43"/>
        <v>0</v>
      </c>
      <c r="W267" s="624"/>
    </row>
    <row r="268" spans="1:39">
      <c r="C268" s="131"/>
      <c r="D268" s="169" t="str">
        <f>IF(oop!D206=0,"",oop!D206)</f>
        <v/>
      </c>
      <c r="E268" s="169" t="str">
        <f>IF(oop!E206=0,"",oop!E206)</f>
        <v/>
      </c>
      <c r="F268" s="169" t="str">
        <f>IF(oop!F206=0,"",oop!F206)</f>
        <v/>
      </c>
      <c r="G268" s="169" t="str">
        <f>IF(oop!G206="","",oop!G206+1)</f>
        <v/>
      </c>
      <c r="H268" s="641" t="str">
        <f>IF(oop!H206="","",oop!H206)</f>
        <v/>
      </c>
      <c r="I268" s="170" t="str">
        <f>IF(oop!I206=0,"",oop!I206)</f>
        <v/>
      </c>
      <c r="J268" s="567" t="str">
        <f>IF(E268="","",(IF(oop!J206+1&gt;LOOKUP(I268,schaal2011,regels2011),oop!J206,oop!J206+1)))</f>
        <v/>
      </c>
      <c r="K268" s="568" t="str">
        <f>IF(oop!K206="","",oop!K206)</f>
        <v/>
      </c>
      <c r="L268" s="569" t="str">
        <f>IF(oop!L206="","",oop!L206)</f>
        <v/>
      </c>
      <c r="M268" s="570" t="str">
        <f t="shared" si="40"/>
        <v/>
      </c>
      <c r="N268" s="551"/>
      <c r="O268" s="573" t="str">
        <f>IF(I268="","",VLOOKUP(I268,tab!$A$119:$W$159,J268+3,FALSE))</f>
        <v/>
      </c>
      <c r="P268" s="572">
        <f t="shared" si="41"/>
        <v>0</v>
      </c>
      <c r="Q268" s="589">
        <f t="shared" si="44"/>
        <v>0.6</v>
      </c>
      <c r="R268" s="573">
        <f t="shared" si="45"/>
        <v>0</v>
      </c>
      <c r="S268" s="332">
        <f>IF(L268="",0,(((O268*12)*L268)*(1+tab!$D$108)*IF(I268&gt;8,tab!$E$110,tab!$E$112)))</f>
        <v>0</v>
      </c>
      <c r="T268" s="580">
        <f t="shared" si="46"/>
        <v>0</v>
      </c>
      <c r="U268" s="243">
        <f t="shared" si="42"/>
        <v>0</v>
      </c>
      <c r="V268" s="332">
        <f t="shared" si="43"/>
        <v>0</v>
      </c>
      <c r="W268" s="624"/>
    </row>
    <row r="269" spans="1:39">
      <c r="C269" s="131"/>
      <c r="D269" s="169" t="str">
        <f>IF(oop!D207=0,"",oop!D207)</f>
        <v/>
      </c>
      <c r="E269" s="169" t="str">
        <f>IF(oop!E207=0,"",oop!E207)</f>
        <v/>
      </c>
      <c r="F269" s="169" t="str">
        <f>IF(oop!F207=0,"",oop!F207)</f>
        <v/>
      </c>
      <c r="G269" s="169" t="str">
        <f>IF(oop!G207="","",oop!G207+1)</f>
        <v/>
      </c>
      <c r="H269" s="641" t="str">
        <f>IF(oop!H207="","",oop!H207)</f>
        <v/>
      </c>
      <c r="I269" s="170" t="str">
        <f>IF(oop!I207=0,"",oop!I207)</f>
        <v/>
      </c>
      <c r="J269" s="567" t="str">
        <f>IF(E269="","",(IF(oop!J207+1&gt;LOOKUP(I269,schaal2011,regels2011),oop!J207,oop!J207+1)))</f>
        <v/>
      </c>
      <c r="K269" s="568" t="str">
        <f>IF(oop!K207="","",oop!K207)</f>
        <v/>
      </c>
      <c r="L269" s="569" t="str">
        <f>IF(oop!L207="","",oop!L207)</f>
        <v/>
      </c>
      <c r="M269" s="570" t="str">
        <f t="shared" si="40"/>
        <v/>
      </c>
      <c r="N269" s="551"/>
      <c r="O269" s="573" t="str">
        <f>IF(I269="","",VLOOKUP(I269,tab!$A$119:$W$159,J269+3,FALSE))</f>
        <v/>
      </c>
      <c r="P269" s="572">
        <f t="shared" si="41"/>
        <v>0</v>
      </c>
      <c r="Q269" s="589">
        <f t="shared" si="44"/>
        <v>0.6</v>
      </c>
      <c r="R269" s="573">
        <f t="shared" si="45"/>
        <v>0</v>
      </c>
      <c r="S269" s="332">
        <f>IF(L269="",0,(((O269*12)*L269)*(1+tab!$D$108)*IF(I269&gt;8,tab!$E$110,tab!$E$112)))</f>
        <v>0</v>
      </c>
      <c r="T269" s="580">
        <f t="shared" si="46"/>
        <v>0</v>
      </c>
      <c r="U269" s="243">
        <f t="shared" si="42"/>
        <v>0</v>
      </c>
      <c r="V269" s="332">
        <f t="shared" si="43"/>
        <v>0</v>
      </c>
      <c r="W269" s="624"/>
    </row>
    <row r="270" spans="1:39">
      <c r="C270" s="131"/>
      <c r="D270" s="169" t="str">
        <f>IF(oop!D208=0,"",oop!D208)</f>
        <v/>
      </c>
      <c r="E270" s="169" t="str">
        <f>IF(oop!E208=0,"",oop!E208)</f>
        <v/>
      </c>
      <c r="F270" s="169" t="str">
        <f>IF(oop!F208=0,"",oop!F208)</f>
        <v/>
      </c>
      <c r="G270" s="169" t="str">
        <f>IF(oop!G208="","",oop!G208+1)</f>
        <v/>
      </c>
      <c r="H270" s="641" t="str">
        <f>IF(oop!H208="","",oop!H208)</f>
        <v/>
      </c>
      <c r="I270" s="170" t="str">
        <f>IF(oop!I208=0,"",oop!I208)</f>
        <v/>
      </c>
      <c r="J270" s="567" t="str">
        <f>IF(E270="","",(IF(oop!J208+1&gt;LOOKUP(I270,schaal2011,regels2011),oop!J208,oop!J208+1)))</f>
        <v/>
      </c>
      <c r="K270" s="568" t="str">
        <f>IF(oop!K208="","",oop!K208)</f>
        <v/>
      </c>
      <c r="L270" s="569" t="str">
        <f>IF(oop!L208="","",oop!L208)</f>
        <v/>
      </c>
      <c r="M270" s="570" t="str">
        <f t="shared" si="40"/>
        <v/>
      </c>
      <c r="N270" s="551"/>
      <c r="O270" s="573" t="str">
        <f>IF(I270="","",VLOOKUP(I270,tab!$A$119:$W$159,J270+3,FALSE))</f>
        <v/>
      </c>
      <c r="P270" s="572">
        <f t="shared" si="41"/>
        <v>0</v>
      </c>
      <c r="Q270" s="589">
        <f t="shared" si="44"/>
        <v>0.6</v>
      </c>
      <c r="R270" s="573">
        <f t="shared" si="45"/>
        <v>0</v>
      </c>
      <c r="S270" s="332">
        <f>IF(L270="",0,(((O270*12)*L270)*(1+tab!$D$108)*IF(I270&gt;8,tab!$E$110,tab!$E$112)))</f>
        <v>0</v>
      </c>
      <c r="T270" s="580">
        <f t="shared" si="46"/>
        <v>0</v>
      </c>
      <c r="U270" s="243">
        <f t="shared" si="42"/>
        <v>0</v>
      </c>
      <c r="V270" s="332">
        <f t="shared" si="43"/>
        <v>0</v>
      </c>
      <c r="W270" s="624"/>
    </row>
    <row r="271" spans="1:39">
      <c r="C271" s="131"/>
      <c r="D271" s="169" t="str">
        <f>IF(oop!D209=0,"",oop!D209)</f>
        <v/>
      </c>
      <c r="E271" s="169" t="str">
        <f>IF(oop!E209=0,"",oop!E209)</f>
        <v/>
      </c>
      <c r="F271" s="169" t="str">
        <f>IF(oop!F209=0,"",oop!F209)</f>
        <v/>
      </c>
      <c r="G271" s="169" t="str">
        <f>IF(oop!G209="","",oop!G209+1)</f>
        <v/>
      </c>
      <c r="H271" s="641" t="str">
        <f>IF(oop!H209="","",oop!H209)</f>
        <v/>
      </c>
      <c r="I271" s="170" t="str">
        <f>IF(oop!I209=0,"",oop!I209)</f>
        <v/>
      </c>
      <c r="J271" s="567" t="str">
        <f>IF(E271="","",(IF(oop!J209+1&gt;LOOKUP(I271,schaal2011,regels2011),oop!J209,oop!J209+1)))</f>
        <v/>
      </c>
      <c r="K271" s="568" t="str">
        <f>IF(oop!K209="","",oop!K209)</f>
        <v/>
      </c>
      <c r="L271" s="569" t="str">
        <f>IF(oop!L209="","",oop!L209)</f>
        <v/>
      </c>
      <c r="M271" s="570" t="str">
        <f t="shared" si="40"/>
        <v/>
      </c>
      <c r="N271" s="551"/>
      <c r="O271" s="573" t="str">
        <f>IF(I271="","",VLOOKUP(I271,tab!$A$119:$W$159,J271+3,FALSE))</f>
        <v/>
      </c>
      <c r="P271" s="572">
        <f t="shared" si="41"/>
        <v>0</v>
      </c>
      <c r="Q271" s="589">
        <f t="shared" si="44"/>
        <v>0.6</v>
      </c>
      <c r="R271" s="573">
        <f t="shared" si="45"/>
        <v>0</v>
      </c>
      <c r="S271" s="332">
        <f>IF(L271="",0,(((O271*12)*L271)*(1+tab!$D$108)*IF(I271&gt;8,tab!$E$110,tab!$E$112)))</f>
        <v>0</v>
      </c>
      <c r="T271" s="580">
        <f t="shared" si="46"/>
        <v>0</v>
      </c>
      <c r="U271" s="243">
        <f t="shared" si="42"/>
        <v>0</v>
      </c>
      <c r="V271" s="332">
        <f t="shared" si="43"/>
        <v>0</v>
      </c>
      <c r="W271" s="624"/>
    </row>
    <row r="272" spans="1:39">
      <c r="C272" s="131"/>
      <c r="D272" s="169" t="str">
        <f>IF(oop!D210=0,"",oop!D210)</f>
        <v/>
      </c>
      <c r="E272" s="169" t="str">
        <f>IF(oop!E210=0,"",oop!E210)</f>
        <v/>
      </c>
      <c r="F272" s="169" t="str">
        <f>IF(oop!F210=0,"",oop!F210)</f>
        <v/>
      </c>
      <c r="G272" s="169" t="str">
        <f>IF(oop!G210="","",oop!G210+1)</f>
        <v/>
      </c>
      <c r="H272" s="641" t="str">
        <f>IF(oop!H210="","",oop!H210)</f>
        <v/>
      </c>
      <c r="I272" s="170" t="str">
        <f>IF(oop!I210=0,"",oop!I210)</f>
        <v/>
      </c>
      <c r="J272" s="567" t="str">
        <f>IF(E272="","",(IF(oop!J210+1&gt;LOOKUP(I272,schaal2011,regels2011),oop!J210,oop!J210+1)))</f>
        <v/>
      </c>
      <c r="K272" s="568" t="str">
        <f>IF(oop!K210="","",oop!K210)</f>
        <v/>
      </c>
      <c r="L272" s="569" t="str">
        <f>IF(oop!L210="","",oop!L210)</f>
        <v/>
      </c>
      <c r="M272" s="570" t="str">
        <f t="shared" si="40"/>
        <v/>
      </c>
      <c r="N272" s="551"/>
      <c r="O272" s="573" t="str">
        <f>IF(I272="","",VLOOKUP(I272,tab!$A$119:$W$159,J272+3,FALSE))</f>
        <v/>
      </c>
      <c r="P272" s="572">
        <f t="shared" si="41"/>
        <v>0</v>
      </c>
      <c r="Q272" s="589">
        <f t="shared" si="44"/>
        <v>0.6</v>
      </c>
      <c r="R272" s="573">
        <f t="shared" si="45"/>
        <v>0</v>
      </c>
      <c r="S272" s="332">
        <f>IF(L272="",0,(((O272*12)*L272)*(1+tab!$D$108)*IF(I272&gt;8,tab!$E$110,tab!$E$112)))</f>
        <v>0</v>
      </c>
      <c r="T272" s="580">
        <f t="shared" si="46"/>
        <v>0</v>
      </c>
      <c r="U272" s="243">
        <f t="shared" si="42"/>
        <v>0</v>
      </c>
      <c r="V272" s="332">
        <f t="shared" si="43"/>
        <v>0</v>
      </c>
      <c r="W272" s="624"/>
    </row>
    <row r="273" spans="3:23">
      <c r="C273" s="131"/>
      <c r="D273" s="169" t="str">
        <f>IF(oop!D211=0,"",oop!D211)</f>
        <v/>
      </c>
      <c r="E273" s="169" t="str">
        <f>IF(oop!E211=0,"",oop!E211)</f>
        <v/>
      </c>
      <c r="F273" s="169" t="str">
        <f>IF(oop!F211=0,"",oop!F211)</f>
        <v/>
      </c>
      <c r="G273" s="169" t="str">
        <f>IF(oop!G211="","",oop!G211+1)</f>
        <v/>
      </c>
      <c r="H273" s="641" t="str">
        <f>IF(oop!H211="","",oop!H211)</f>
        <v/>
      </c>
      <c r="I273" s="170" t="str">
        <f>IF(oop!I211=0,"",oop!I211)</f>
        <v/>
      </c>
      <c r="J273" s="567" t="str">
        <f>IF(E273="","",(IF(oop!J211+1&gt;LOOKUP(I273,schaal2011,regels2011),oop!J211,oop!J211+1)))</f>
        <v/>
      </c>
      <c r="K273" s="568" t="str">
        <f>IF(oop!K211="","",oop!K211)</f>
        <v/>
      </c>
      <c r="L273" s="569" t="str">
        <f>IF(oop!L211="","",oop!L211)</f>
        <v/>
      </c>
      <c r="M273" s="570" t="str">
        <f t="shared" si="40"/>
        <v/>
      </c>
      <c r="N273" s="551"/>
      <c r="O273" s="573" t="str">
        <f>IF(I273="","",VLOOKUP(I273,tab!$A$119:$W$159,J273+3,FALSE))</f>
        <v/>
      </c>
      <c r="P273" s="572">
        <f t="shared" si="41"/>
        <v>0</v>
      </c>
      <c r="Q273" s="589">
        <f t="shared" si="44"/>
        <v>0.6</v>
      </c>
      <c r="R273" s="573">
        <f t="shared" si="45"/>
        <v>0</v>
      </c>
      <c r="S273" s="332">
        <f>IF(L273="",0,(((O273*12)*L273)*(1+tab!$D$108)*IF(I273&gt;8,tab!$E$110,tab!$E$112)))</f>
        <v>0</v>
      </c>
      <c r="T273" s="580">
        <f t="shared" si="46"/>
        <v>0</v>
      </c>
      <c r="U273" s="243">
        <f t="shared" si="42"/>
        <v>0</v>
      </c>
      <c r="V273" s="332">
        <f t="shared" si="43"/>
        <v>0</v>
      </c>
      <c r="W273" s="624"/>
    </row>
    <row r="274" spans="3:23">
      <c r="C274" s="131"/>
      <c r="D274" s="169" t="str">
        <f>IF(oop!D212=0,"",oop!D212)</f>
        <v/>
      </c>
      <c r="E274" s="169" t="str">
        <f>IF(oop!E212=0,"",oop!E212)</f>
        <v/>
      </c>
      <c r="F274" s="169" t="str">
        <f>IF(oop!F212=0,"",oop!F212)</f>
        <v/>
      </c>
      <c r="G274" s="169" t="str">
        <f>IF(oop!G212="","",oop!G212+1)</f>
        <v/>
      </c>
      <c r="H274" s="641" t="str">
        <f>IF(oop!H212="","",oop!H212)</f>
        <v/>
      </c>
      <c r="I274" s="170" t="str">
        <f>IF(oop!I212=0,"",oop!I212)</f>
        <v/>
      </c>
      <c r="J274" s="567" t="str">
        <f>IF(E274="","",(IF(oop!J212+1&gt;LOOKUP(I274,schaal2011,regels2011),oop!J212,oop!J212+1)))</f>
        <v/>
      </c>
      <c r="K274" s="568" t="str">
        <f>IF(oop!K212="","",oop!K212)</f>
        <v/>
      </c>
      <c r="L274" s="569" t="str">
        <f>IF(oop!L212="","",oop!L212)</f>
        <v/>
      </c>
      <c r="M274" s="570" t="str">
        <f t="shared" si="40"/>
        <v/>
      </c>
      <c r="N274" s="551"/>
      <c r="O274" s="573" t="str">
        <f>IF(I274="","",VLOOKUP(I274,tab!$A$119:$W$159,J274+3,FALSE))</f>
        <v/>
      </c>
      <c r="P274" s="572">
        <f t="shared" si="41"/>
        <v>0</v>
      </c>
      <c r="Q274" s="589">
        <f t="shared" si="44"/>
        <v>0.6</v>
      </c>
      <c r="R274" s="573">
        <f t="shared" si="45"/>
        <v>0</v>
      </c>
      <c r="S274" s="332">
        <f>IF(L274="",0,(((O274*12)*L274)*(1+tab!$D$108)*IF(I274&gt;8,tab!$E$110,tab!$E$112)))</f>
        <v>0</v>
      </c>
      <c r="T274" s="580">
        <f t="shared" si="46"/>
        <v>0</v>
      </c>
      <c r="U274" s="243">
        <f t="shared" si="42"/>
        <v>0</v>
      </c>
      <c r="V274" s="332">
        <f t="shared" si="43"/>
        <v>0</v>
      </c>
      <c r="W274" s="624"/>
    </row>
    <row r="275" spans="3:23">
      <c r="C275" s="131"/>
      <c r="D275" s="169" t="str">
        <f>IF(oop!D213=0,"",oop!D213)</f>
        <v/>
      </c>
      <c r="E275" s="169" t="str">
        <f>IF(oop!E213=0,"",oop!E213)</f>
        <v/>
      </c>
      <c r="F275" s="169" t="str">
        <f>IF(oop!F213=0,"",oop!F213)</f>
        <v/>
      </c>
      <c r="G275" s="169" t="str">
        <f>IF(oop!G213="","",oop!G213+1)</f>
        <v/>
      </c>
      <c r="H275" s="641" t="str">
        <f>IF(oop!H213="","",oop!H213)</f>
        <v/>
      </c>
      <c r="I275" s="170" t="str">
        <f>IF(oop!I213=0,"",oop!I213)</f>
        <v/>
      </c>
      <c r="J275" s="567" t="str">
        <f>IF(E275="","",(IF(oop!J213+1&gt;LOOKUP(I275,schaal2011,regels2011),oop!J213,oop!J213+1)))</f>
        <v/>
      </c>
      <c r="K275" s="568" t="str">
        <f>IF(oop!K213="","",oop!K213)</f>
        <v/>
      </c>
      <c r="L275" s="569" t="str">
        <f>IF(oop!L213="","",oop!L213)</f>
        <v/>
      </c>
      <c r="M275" s="570" t="str">
        <f t="shared" si="40"/>
        <v/>
      </c>
      <c r="N275" s="551"/>
      <c r="O275" s="573" t="str">
        <f>IF(I275="","",VLOOKUP(I275,tab!$A$119:$W$159,J275+3,FALSE))</f>
        <v/>
      </c>
      <c r="P275" s="572">
        <f t="shared" si="41"/>
        <v>0</v>
      </c>
      <c r="Q275" s="589">
        <f t="shared" si="44"/>
        <v>0.6</v>
      </c>
      <c r="R275" s="573">
        <f t="shared" si="45"/>
        <v>0</v>
      </c>
      <c r="S275" s="332">
        <f>IF(L275="",0,(((O275*12)*L275)*(1+tab!$D$108)*IF(I275&gt;8,tab!$E$110,tab!$E$112)))</f>
        <v>0</v>
      </c>
      <c r="T275" s="580">
        <f t="shared" si="46"/>
        <v>0</v>
      </c>
      <c r="U275" s="243">
        <f t="shared" si="42"/>
        <v>0</v>
      </c>
      <c r="V275" s="332">
        <f t="shared" si="43"/>
        <v>0</v>
      </c>
      <c r="W275" s="624"/>
    </row>
    <row r="276" spans="3:23">
      <c r="C276" s="131"/>
      <c r="D276" s="169" t="str">
        <f>IF(oop!D214=0,"",oop!D214)</f>
        <v/>
      </c>
      <c r="E276" s="169" t="str">
        <f>IF(oop!E214=0,"",oop!E214)</f>
        <v/>
      </c>
      <c r="F276" s="169" t="str">
        <f>IF(oop!F214=0,"",oop!F214)</f>
        <v/>
      </c>
      <c r="G276" s="169" t="str">
        <f>IF(oop!G214="","",oop!G214+1)</f>
        <v/>
      </c>
      <c r="H276" s="641" t="str">
        <f>IF(oop!H214="","",oop!H214)</f>
        <v/>
      </c>
      <c r="I276" s="170" t="str">
        <f>IF(oop!I214=0,"",oop!I214)</f>
        <v/>
      </c>
      <c r="J276" s="567" t="str">
        <f>IF(E276="","",(IF(oop!J214+1&gt;LOOKUP(I276,schaal2011,regels2011),oop!J214,oop!J214+1)))</f>
        <v/>
      </c>
      <c r="K276" s="568" t="str">
        <f>IF(oop!K214="","",oop!K214)</f>
        <v/>
      </c>
      <c r="L276" s="569" t="str">
        <f>IF(oop!L214="","",oop!L214)</f>
        <v/>
      </c>
      <c r="M276" s="570" t="str">
        <f t="shared" si="40"/>
        <v/>
      </c>
      <c r="N276" s="551"/>
      <c r="O276" s="573" t="str">
        <f>IF(I276="","",VLOOKUP(I276,tab!$A$119:$W$159,J276+3,FALSE))</f>
        <v/>
      </c>
      <c r="P276" s="572">
        <f t="shared" si="41"/>
        <v>0</v>
      </c>
      <c r="Q276" s="589">
        <f t="shared" si="44"/>
        <v>0.6</v>
      </c>
      <c r="R276" s="573">
        <f t="shared" si="45"/>
        <v>0</v>
      </c>
      <c r="S276" s="332">
        <f>IF(L276="",0,(((O276*12)*L276)*(1+tab!$D$108)*IF(I276&gt;8,tab!$E$110,tab!$E$112)))</f>
        <v>0</v>
      </c>
      <c r="T276" s="580">
        <f t="shared" si="46"/>
        <v>0</v>
      </c>
      <c r="U276" s="243">
        <f t="shared" si="42"/>
        <v>0</v>
      </c>
      <c r="V276" s="332">
        <f t="shared" si="43"/>
        <v>0</v>
      </c>
      <c r="W276" s="624"/>
    </row>
    <row r="277" spans="3:23">
      <c r="C277" s="131"/>
      <c r="D277" s="169" t="str">
        <f>IF(oop!D215=0,"",oop!D215)</f>
        <v/>
      </c>
      <c r="E277" s="169" t="str">
        <f>IF(oop!E215=0,"",oop!E215)</f>
        <v/>
      </c>
      <c r="F277" s="169" t="str">
        <f>IF(oop!F215=0,"",oop!F215)</f>
        <v/>
      </c>
      <c r="G277" s="169" t="str">
        <f>IF(oop!G215="","",oop!G215+1)</f>
        <v/>
      </c>
      <c r="H277" s="641" t="str">
        <f>IF(oop!H215="","",oop!H215)</f>
        <v/>
      </c>
      <c r="I277" s="170" t="str">
        <f>IF(oop!I215=0,"",oop!I215)</f>
        <v/>
      </c>
      <c r="J277" s="567" t="str">
        <f>IF(E277="","",(IF(oop!J215+1&gt;LOOKUP(I277,schaal2011,regels2011),oop!J215,oop!J215+1)))</f>
        <v/>
      </c>
      <c r="K277" s="568" t="str">
        <f>IF(oop!K215="","",oop!K215)</f>
        <v/>
      </c>
      <c r="L277" s="569" t="str">
        <f>IF(oop!L215="","",oop!L215)</f>
        <v/>
      </c>
      <c r="M277" s="570" t="str">
        <f t="shared" si="40"/>
        <v/>
      </c>
      <c r="N277" s="551"/>
      <c r="O277" s="573" t="str">
        <f>IF(I277="","",VLOOKUP(I277,tab!$A$119:$W$159,J277+3,FALSE))</f>
        <v/>
      </c>
      <c r="P277" s="572">
        <f t="shared" si="41"/>
        <v>0</v>
      </c>
      <c r="Q277" s="589">
        <f t="shared" si="44"/>
        <v>0.6</v>
      </c>
      <c r="R277" s="573">
        <f t="shared" si="45"/>
        <v>0</v>
      </c>
      <c r="S277" s="332">
        <f>IF(L277="",0,(((O277*12)*L277)*(1+tab!$D$108)*IF(I277&gt;8,tab!$E$110,tab!$E$112)))</f>
        <v>0</v>
      </c>
      <c r="T277" s="580">
        <f t="shared" si="46"/>
        <v>0</v>
      </c>
      <c r="U277" s="243">
        <f t="shared" si="42"/>
        <v>0</v>
      </c>
      <c r="V277" s="332">
        <f t="shared" si="43"/>
        <v>0</v>
      </c>
      <c r="W277" s="624"/>
    </row>
    <row r="278" spans="3:23">
      <c r="C278" s="131"/>
      <c r="D278" s="169" t="str">
        <f>IF(oop!D216=0,"",oop!D216)</f>
        <v/>
      </c>
      <c r="E278" s="169" t="str">
        <f>IF(oop!E216=0,"",oop!E216)</f>
        <v/>
      </c>
      <c r="F278" s="169" t="str">
        <f>IF(oop!F216=0,"",oop!F216)</f>
        <v/>
      </c>
      <c r="G278" s="169" t="str">
        <f>IF(oop!G216="","",oop!G216+1)</f>
        <v/>
      </c>
      <c r="H278" s="641" t="str">
        <f>IF(oop!H216="","",oop!H216)</f>
        <v/>
      </c>
      <c r="I278" s="170" t="str">
        <f>IF(oop!I216=0,"",oop!I216)</f>
        <v/>
      </c>
      <c r="J278" s="567" t="str">
        <f>IF(E278="","",(IF(oop!J216+1&gt;LOOKUP(I278,schaal2011,regels2011),oop!J216,oop!J216+1)))</f>
        <v/>
      </c>
      <c r="K278" s="568" t="str">
        <f>IF(oop!K216="","",oop!K216)</f>
        <v/>
      </c>
      <c r="L278" s="569" t="str">
        <f>IF(oop!L216="","",oop!L216)</f>
        <v/>
      </c>
      <c r="M278" s="570" t="str">
        <f t="shared" si="40"/>
        <v/>
      </c>
      <c r="N278" s="551"/>
      <c r="O278" s="573" t="str">
        <f>IF(I278="","",VLOOKUP(I278,tab!$A$119:$W$159,J278+3,FALSE))</f>
        <v/>
      </c>
      <c r="P278" s="572">
        <f t="shared" si="41"/>
        <v>0</v>
      </c>
      <c r="Q278" s="589">
        <f t="shared" si="44"/>
        <v>0.6</v>
      </c>
      <c r="R278" s="573">
        <f t="shared" si="45"/>
        <v>0</v>
      </c>
      <c r="S278" s="332">
        <f>IF(L278="",0,(((O278*12)*L278)*(1+tab!$D$108)*IF(I278&gt;8,tab!$E$110,tab!$E$112)))</f>
        <v>0</v>
      </c>
      <c r="T278" s="580">
        <f t="shared" si="46"/>
        <v>0</v>
      </c>
      <c r="U278" s="243">
        <f t="shared" si="42"/>
        <v>0</v>
      </c>
      <c r="V278" s="332">
        <f t="shared" si="43"/>
        <v>0</v>
      </c>
      <c r="W278" s="624"/>
    </row>
    <row r="279" spans="3:23">
      <c r="C279" s="131"/>
      <c r="D279" s="169" t="str">
        <f>IF(oop!D217=0,"",oop!D217)</f>
        <v/>
      </c>
      <c r="E279" s="169" t="str">
        <f>IF(oop!E217=0,"",oop!E217)</f>
        <v/>
      </c>
      <c r="F279" s="169" t="str">
        <f>IF(oop!F217=0,"",oop!F217)</f>
        <v/>
      </c>
      <c r="G279" s="169" t="str">
        <f>IF(oop!G217="","",oop!G217+1)</f>
        <v/>
      </c>
      <c r="H279" s="641" t="str">
        <f>IF(oop!H217="","",oop!H217)</f>
        <v/>
      </c>
      <c r="I279" s="170" t="str">
        <f>IF(oop!I217=0,"",oop!I217)</f>
        <v/>
      </c>
      <c r="J279" s="567" t="str">
        <f>IF(E279="","",(IF(oop!J217+1&gt;LOOKUP(I279,schaal2011,regels2011),oop!J217,oop!J217+1)))</f>
        <v/>
      </c>
      <c r="K279" s="568" t="str">
        <f>IF(oop!K217="","",oop!K217)</f>
        <v/>
      </c>
      <c r="L279" s="569" t="str">
        <f>IF(oop!L217="","",oop!L217)</f>
        <v/>
      </c>
      <c r="M279" s="570" t="str">
        <f t="shared" si="40"/>
        <v/>
      </c>
      <c r="N279" s="551"/>
      <c r="O279" s="573" t="str">
        <f>IF(I279="","",VLOOKUP(I279,tab!$A$119:$W$159,J279+3,FALSE))</f>
        <v/>
      </c>
      <c r="P279" s="572">
        <f t="shared" si="41"/>
        <v>0</v>
      </c>
      <c r="Q279" s="589">
        <f t="shared" si="44"/>
        <v>0.6</v>
      </c>
      <c r="R279" s="573">
        <f t="shared" si="45"/>
        <v>0</v>
      </c>
      <c r="S279" s="332">
        <f>IF(L279="",0,(((O279*12)*L279)*(1+tab!$D$108)*IF(I279&gt;8,tab!$E$110,tab!$E$112)))</f>
        <v>0</v>
      </c>
      <c r="T279" s="580">
        <f t="shared" si="46"/>
        <v>0</v>
      </c>
      <c r="U279" s="243">
        <f t="shared" si="42"/>
        <v>0</v>
      </c>
      <c r="V279" s="332">
        <f t="shared" si="43"/>
        <v>0</v>
      </c>
      <c r="W279" s="624"/>
    </row>
    <row r="280" spans="3:23">
      <c r="C280" s="131"/>
      <c r="D280" s="169" t="str">
        <f>IF(oop!D218=0,"",oop!D218)</f>
        <v/>
      </c>
      <c r="E280" s="169" t="str">
        <f>IF(oop!E218=0,"",oop!E218)</f>
        <v/>
      </c>
      <c r="F280" s="169" t="str">
        <f>IF(oop!F218=0,"",oop!F218)</f>
        <v/>
      </c>
      <c r="G280" s="169" t="str">
        <f>IF(oop!G218="","",oop!G218+1)</f>
        <v/>
      </c>
      <c r="H280" s="641" t="str">
        <f>IF(oop!H218="","",oop!H218)</f>
        <v/>
      </c>
      <c r="I280" s="170" t="str">
        <f>IF(oop!I218=0,"",oop!I218)</f>
        <v/>
      </c>
      <c r="J280" s="567" t="str">
        <f>IF(E280="","",(IF(oop!J218+1&gt;LOOKUP(I280,schaal2011,regels2011),oop!J218,oop!J218+1)))</f>
        <v/>
      </c>
      <c r="K280" s="568" t="str">
        <f>IF(oop!K218="","",oop!K218)</f>
        <v/>
      </c>
      <c r="L280" s="569" t="str">
        <f>IF(oop!L218="","",oop!L218)</f>
        <v/>
      </c>
      <c r="M280" s="570" t="str">
        <f t="shared" si="40"/>
        <v/>
      </c>
      <c r="N280" s="551"/>
      <c r="O280" s="573" t="str">
        <f>IF(I280="","",VLOOKUP(I280,tab!$A$119:$W$159,J280+3,FALSE))</f>
        <v/>
      </c>
      <c r="P280" s="572">
        <f t="shared" si="41"/>
        <v>0</v>
      </c>
      <c r="Q280" s="589">
        <f t="shared" si="44"/>
        <v>0.6</v>
      </c>
      <c r="R280" s="573">
        <f t="shared" si="45"/>
        <v>0</v>
      </c>
      <c r="S280" s="332">
        <f>IF(L280="",0,(((O280*12)*L280)*(1+tab!$D$108)*IF(I280&gt;8,tab!$E$110,tab!$E$112)))</f>
        <v>0</v>
      </c>
      <c r="T280" s="580">
        <f t="shared" si="46"/>
        <v>0</v>
      </c>
      <c r="U280" s="243">
        <f t="shared" si="42"/>
        <v>0</v>
      </c>
      <c r="V280" s="332">
        <f t="shared" si="43"/>
        <v>0</v>
      </c>
      <c r="W280" s="624"/>
    </row>
    <row r="281" spans="3:23">
      <c r="C281" s="131"/>
      <c r="D281" s="169" t="str">
        <f>IF(oop!D219=0,"",oop!D219)</f>
        <v/>
      </c>
      <c r="E281" s="169" t="str">
        <f>IF(oop!E219=0,"",oop!E219)</f>
        <v/>
      </c>
      <c r="F281" s="169" t="str">
        <f>IF(oop!F219=0,"",oop!F219)</f>
        <v/>
      </c>
      <c r="G281" s="169" t="str">
        <f>IF(oop!G219="","",oop!G219+1)</f>
        <v/>
      </c>
      <c r="H281" s="641" t="str">
        <f>IF(oop!H219="","",oop!H219)</f>
        <v/>
      </c>
      <c r="I281" s="170" t="str">
        <f>IF(oop!I219=0,"",oop!I219)</f>
        <v/>
      </c>
      <c r="J281" s="567" t="str">
        <f>IF(E281="","",(IF(oop!J219+1&gt;LOOKUP(I281,schaal2011,regels2011),oop!J219,oop!J219+1)))</f>
        <v/>
      </c>
      <c r="K281" s="568" t="str">
        <f>IF(oop!K219="","",oop!K219)</f>
        <v/>
      </c>
      <c r="L281" s="569" t="str">
        <f>IF(oop!L219="","",oop!L219)</f>
        <v/>
      </c>
      <c r="M281" s="570" t="str">
        <f t="shared" si="40"/>
        <v/>
      </c>
      <c r="N281" s="551"/>
      <c r="O281" s="573" t="str">
        <f>IF(I281="","",VLOOKUP(I281,tab!$A$119:$W$159,J281+3,FALSE))</f>
        <v/>
      </c>
      <c r="P281" s="572">
        <f t="shared" si="41"/>
        <v>0</v>
      </c>
      <c r="Q281" s="589">
        <f t="shared" si="44"/>
        <v>0.6</v>
      </c>
      <c r="R281" s="573">
        <f t="shared" si="45"/>
        <v>0</v>
      </c>
      <c r="S281" s="332">
        <f>IF(L281="",0,(((O281*12)*L281)*(1+tab!$D$108)*IF(I281&gt;8,tab!$E$110,tab!$E$112)))</f>
        <v>0</v>
      </c>
      <c r="T281" s="580">
        <f t="shared" si="46"/>
        <v>0</v>
      </c>
      <c r="U281" s="243">
        <f t="shared" si="42"/>
        <v>0</v>
      </c>
      <c r="V281" s="332">
        <f t="shared" si="43"/>
        <v>0</v>
      </c>
      <c r="W281" s="624"/>
    </row>
    <row r="282" spans="3:23">
      <c r="C282" s="131"/>
      <c r="D282" s="169" t="str">
        <f>IF(oop!D220=0,"",oop!D220)</f>
        <v/>
      </c>
      <c r="E282" s="169" t="str">
        <f>IF(oop!E220=0,"",oop!E220)</f>
        <v/>
      </c>
      <c r="F282" s="169" t="str">
        <f>IF(oop!F220=0,"",oop!F220)</f>
        <v/>
      </c>
      <c r="G282" s="169" t="str">
        <f>IF(oop!G220="","",oop!G220+1)</f>
        <v/>
      </c>
      <c r="H282" s="641" t="str">
        <f>IF(oop!H220="","",oop!H220)</f>
        <v/>
      </c>
      <c r="I282" s="170" t="str">
        <f>IF(oop!I220=0,"",oop!I220)</f>
        <v/>
      </c>
      <c r="J282" s="567" t="str">
        <f>IF(E282="","",(IF(oop!J220+1&gt;LOOKUP(I282,schaal2011,regels2011),oop!J220,oop!J220+1)))</f>
        <v/>
      </c>
      <c r="K282" s="568" t="str">
        <f>IF(oop!K220="","",oop!K220)</f>
        <v/>
      </c>
      <c r="L282" s="569" t="str">
        <f>IF(oop!L220="","",oop!L220)</f>
        <v/>
      </c>
      <c r="M282" s="570" t="str">
        <f t="shared" si="40"/>
        <v/>
      </c>
      <c r="N282" s="551"/>
      <c r="O282" s="573" t="str">
        <f>IF(I282="","",VLOOKUP(I282,tab!$A$119:$W$159,J282+3,FALSE))</f>
        <v/>
      </c>
      <c r="P282" s="572">
        <f t="shared" si="41"/>
        <v>0</v>
      </c>
      <c r="Q282" s="589">
        <f t="shared" si="44"/>
        <v>0.6</v>
      </c>
      <c r="R282" s="573">
        <f t="shared" si="45"/>
        <v>0</v>
      </c>
      <c r="S282" s="332">
        <f>IF(L282="",0,(((O282*12)*L282)*(1+tab!$D$108)*IF(I282&gt;8,tab!$E$110,tab!$E$112)))</f>
        <v>0</v>
      </c>
      <c r="T282" s="580">
        <f t="shared" si="46"/>
        <v>0</v>
      </c>
      <c r="U282" s="243">
        <f t="shared" si="42"/>
        <v>0</v>
      </c>
      <c r="V282" s="332">
        <f t="shared" si="43"/>
        <v>0</v>
      </c>
      <c r="W282" s="624"/>
    </row>
    <row r="283" spans="3:23">
      <c r="C283" s="131"/>
      <c r="D283" s="169" t="str">
        <f>IF(oop!D221=0,"",oop!D221)</f>
        <v/>
      </c>
      <c r="E283" s="169" t="str">
        <f>IF(oop!E221=0,"",oop!E221)</f>
        <v/>
      </c>
      <c r="F283" s="169" t="str">
        <f>IF(oop!F221=0,"",oop!F221)</f>
        <v/>
      </c>
      <c r="G283" s="169" t="str">
        <f>IF(oop!G221="","",oop!G221+1)</f>
        <v/>
      </c>
      <c r="H283" s="641" t="str">
        <f>IF(oop!H221="","",oop!H221)</f>
        <v/>
      </c>
      <c r="I283" s="170" t="str">
        <f>IF(oop!I221=0,"",oop!I221)</f>
        <v/>
      </c>
      <c r="J283" s="567" t="str">
        <f>IF(E283="","",(IF(oop!J221+1&gt;LOOKUP(I283,schaal2011,regels2011),oop!J221,oop!J221+1)))</f>
        <v/>
      </c>
      <c r="K283" s="568" t="str">
        <f>IF(oop!K221="","",oop!K221)</f>
        <v/>
      </c>
      <c r="L283" s="569" t="str">
        <f>IF(oop!L221="","",oop!L221)</f>
        <v/>
      </c>
      <c r="M283" s="570" t="str">
        <f t="shared" si="40"/>
        <v/>
      </c>
      <c r="N283" s="551"/>
      <c r="O283" s="573" t="str">
        <f>IF(I283="","",VLOOKUP(I283,tab!$A$119:$W$159,J283+3,FALSE))</f>
        <v/>
      </c>
      <c r="P283" s="572">
        <f t="shared" si="41"/>
        <v>0</v>
      </c>
      <c r="Q283" s="589">
        <f t="shared" si="44"/>
        <v>0.6</v>
      </c>
      <c r="R283" s="573">
        <f t="shared" si="45"/>
        <v>0</v>
      </c>
      <c r="S283" s="332">
        <f>IF(L283="",0,(((O283*12)*L283)*(1+tab!$D$108)*IF(I283&gt;8,tab!$E$110,tab!$E$112)))</f>
        <v>0</v>
      </c>
      <c r="T283" s="580">
        <f t="shared" si="46"/>
        <v>0</v>
      </c>
      <c r="U283" s="243">
        <f t="shared" si="42"/>
        <v>0</v>
      </c>
      <c r="V283" s="332">
        <f t="shared" si="43"/>
        <v>0</v>
      </c>
      <c r="W283" s="624"/>
    </row>
    <row r="284" spans="3:23">
      <c r="C284" s="131"/>
      <c r="D284" s="169" t="str">
        <f>IF(oop!D222=0,"",oop!D222)</f>
        <v/>
      </c>
      <c r="E284" s="169" t="str">
        <f>IF(oop!E222=0,"",oop!E222)</f>
        <v/>
      </c>
      <c r="F284" s="169" t="str">
        <f>IF(oop!F222=0,"",oop!F222)</f>
        <v/>
      </c>
      <c r="G284" s="169" t="str">
        <f>IF(oop!G222="","",oop!G222+1)</f>
        <v/>
      </c>
      <c r="H284" s="641" t="str">
        <f>IF(oop!H222="","",oop!H222)</f>
        <v/>
      </c>
      <c r="I284" s="170" t="str">
        <f>IF(oop!I222=0,"",oop!I222)</f>
        <v/>
      </c>
      <c r="J284" s="567" t="str">
        <f>IF(E284="","",(IF(oop!J222+1&gt;LOOKUP(I284,schaal2011,regels2011),oop!J222,oop!J222+1)))</f>
        <v/>
      </c>
      <c r="K284" s="568" t="str">
        <f>IF(oop!K222="","",oop!K222)</f>
        <v/>
      </c>
      <c r="L284" s="569" t="str">
        <f>IF(oop!L222="","",oop!L222)</f>
        <v/>
      </c>
      <c r="M284" s="570" t="str">
        <f t="shared" si="40"/>
        <v/>
      </c>
      <c r="N284" s="551"/>
      <c r="O284" s="573" t="str">
        <f>IF(I284="","",VLOOKUP(I284,tab!$A$119:$W$159,J284+3,FALSE))</f>
        <v/>
      </c>
      <c r="P284" s="572">
        <f t="shared" si="41"/>
        <v>0</v>
      </c>
      <c r="Q284" s="589">
        <f t="shared" si="44"/>
        <v>0.6</v>
      </c>
      <c r="R284" s="573">
        <f t="shared" si="45"/>
        <v>0</v>
      </c>
      <c r="S284" s="332">
        <f>IF(L284="",0,(((O284*12)*L284)*(1+tab!$D$108)*IF(I284&gt;8,tab!$E$110,tab!$E$112)))</f>
        <v>0</v>
      </c>
      <c r="T284" s="580">
        <f t="shared" si="46"/>
        <v>0</v>
      </c>
      <c r="U284" s="243">
        <f t="shared" si="42"/>
        <v>0</v>
      </c>
      <c r="V284" s="332">
        <f t="shared" si="43"/>
        <v>0</v>
      </c>
      <c r="W284" s="624"/>
    </row>
    <row r="285" spans="3:23">
      <c r="C285" s="131"/>
      <c r="D285" s="169" t="str">
        <f>IF(oop!D223=0,"",oop!D223)</f>
        <v/>
      </c>
      <c r="E285" s="169" t="str">
        <f>IF(oop!E223=0,"",oop!E223)</f>
        <v/>
      </c>
      <c r="F285" s="169" t="str">
        <f>IF(oop!F223=0,"",oop!F223)</f>
        <v/>
      </c>
      <c r="G285" s="169" t="str">
        <f>IF(oop!G223="","",oop!G223+1)</f>
        <v/>
      </c>
      <c r="H285" s="641" t="str">
        <f>IF(oop!H223="","",oop!H223)</f>
        <v/>
      </c>
      <c r="I285" s="170" t="str">
        <f>IF(oop!I223=0,"",oop!I223)</f>
        <v/>
      </c>
      <c r="J285" s="567" t="str">
        <f>IF(E285="","",(IF(oop!J223+1&gt;LOOKUP(I285,schaal2011,regels2011),oop!J223,oop!J223+1)))</f>
        <v/>
      </c>
      <c r="K285" s="568" t="str">
        <f>IF(oop!K223="","",oop!K223)</f>
        <v/>
      </c>
      <c r="L285" s="569" t="str">
        <f>IF(oop!L223="","",oop!L223)</f>
        <v/>
      </c>
      <c r="M285" s="570" t="str">
        <f t="shared" si="40"/>
        <v/>
      </c>
      <c r="N285" s="551"/>
      <c r="O285" s="573" t="str">
        <f>IF(I285="","",VLOOKUP(I285,tab!$A$119:$W$159,J285+3,FALSE))</f>
        <v/>
      </c>
      <c r="P285" s="572">
        <f t="shared" si="41"/>
        <v>0</v>
      </c>
      <c r="Q285" s="589">
        <f t="shared" si="44"/>
        <v>0.6</v>
      </c>
      <c r="R285" s="573">
        <f t="shared" si="45"/>
        <v>0</v>
      </c>
      <c r="S285" s="332">
        <f>IF(L285="",0,(((O285*12)*L285)*(1+tab!$D$108)*IF(I285&gt;8,tab!$E$110,tab!$E$112)))</f>
        <v>0</v>
      </c>
      <c r="T285" s="580">
        <f t="shared" si="46"/>
        <v>0</v>
      </c>
      <c r="U285" s="243">
        <f t="shared" si="42"/>
        <v>0</v>
      </c>
      <c r="V285" s="332">
        <f t="shared" si="43"/>
        <v>0</v>
      </c>
      <c r="W285" s="624"/>
    </row>
    <row r="286" spans="3:23">
      <c r="C286" s="131"/>
      <c r="D286" s="169" t="str">
        <f>IF(oop!D224=0,"",oop!D224)</f>
        <v/>
      </c>
      <c r="E286" s="169" t="str">
        <f>IF(oop!E224=0,"",oop!E224)</f>
        <v/>
      </c>
      <c r="F286" s="169" t="str">
        <f>IF(oop!F224=0,"",oop!F224)</f>
        <v/>
      </c>
      <c r="G286" s="169" t="str">
        <f>IF(oop!G224="","",oop!G224+1)</f>
        <v/>
      </c>
      <c r="H286" s="641" t="str">
        <f>IF(oop!H224="","",oop!H224)</f>
        <v/>
      </c>
      <c r="I286" s="170" t="str">
        <f>IF(oop!I224=0,"",oop!I224)</f>
        <v/>
      </c>
      <c r="J286" s="567" t="str">
        <f>IF(E286="","",(IF(oop!J224+1&gt;LOOKUP(I286,schaal2011,regels2011),oop!J224,oop!J224+1)))</f>
        <v/>
      </c>
      <c r="K286" s="568" t="str">
        <f>IF(oop!K224="","",oop!K224)</f>
        <v/>
      </c>
      <c r="L286" s="569" t="str">
        <f>IF(oop!L224="","",oop!L224)</f>
        <v/>
      </c>
      <c r="M286" s="570" t="str">
        <f t="shared" si="40"/>
        <v/>
      </c>
      <c r="N286" s="551"/>
      <c r="O286" s="573" t="str">
        <f>IF(I286="","",VLOOKUP(I286,tab!$A$119:$W$159,J286+3,FALSE))</f>
        <v/>
      </c>
      <c r="P286" s="572">
        <f t="shared" si="41"/>
        <v>0</v>
      </c>
      <c r="Q286" s="589">
        <f t="shared" si="44"/>
        <v>0.6</v>
      </c>
      <c r="R286" s="573">
        <f t="shared" si="45"/>
        <v>0</v>
      </c>
      <c r="S286" s="332">
        <f>IF(L286="",0,(((O286*12)*L286)*(1+tab!$D$108)*IF(I286&gt;8,tab!$E$110,tab!$E$112)))</f>
        <v>0</v>
      </c>
      <c r="T286" s="580">
        <f t="shared" si="46"/>
        <v>0</v>
      </c>
      <c r="U286" s="243">
        <f t="shared" si="42"/>
        <v>0</v>
      </c>
      <c r="V286" s="332">
        <f t="shared" si="43"/>
        <v>0</v>
      </c>
      <c r="W286" s="624"/>
    </row>
    <row r="287" spans="3:23">
      <c r="C287" s="131"/>
      <c r="D287" s="169" t="str">
        <f>IF(oop!D225=0,"",oop!D225)</f>
        <v/>
      </c>
      <c r="E287" s="169" t="str">
        <f>IF(oop!E225=0,"",oop!E225)</f>
        <v/>
      </c>
      <c r="F287" s="169" t="str">
        <f>IF(oop!F225=0,"",oop!F225)</f>
        <v/>
      </c>
      <c r="G287" s="169" t="str">
        <f>IF(oop!G225="","",oop!G225+1)</f>
        <v/>
      </c>
      <c r="H287" s="641" t="str">
        <f>IF(oop!H225="","",oop!H225)</f>
        <v/>
      </c>
      <c r="I287" s="170" t="str">
        <f>IF(oop!I225=0,"",oop!I225)</f>
        <v/>
      </c>
      <c r="J287" s="567" t="str">
        <f>IF(E287="","",(IF(oop!J225+1&gt;LOOKUP(I287,schaal2011,regels2011),oop!J225,oop!J225+1)))</f>
        <v/>
      </c>
      <c r="K287" s="568" t="str">
        <f>IF(oop!K225="","",oop!K225)</f>
        <v/>
      </c>
      <c r="L287" s="569" t="str">
        <f>IF(oop!L225="","",oop!L225)</f>
        <v/>
      </c>
      <c r="M287" s="570" t="str">
        <f t="shared" si="40"/>
        <v/>
      </c>
      <c r="N287" s="551"/>
      <c r="O287" s="573" t="str">
        <f>IF(I287="","",VLOOKUP(I287,tab!$A$119:$W$159,J287+3,FALSE))</f>
        <v/>
      </c>
      <c r="P287" s="572">
        <f t="shared" si="41"/>
        <v>0</v>
      </c>
      <c r="Q287" s="589">
        <f t="shared" si="44"/>
        <v>0.6</v>
      </c>
      <c r="R287" s="573">
        <f t="shared" si="45"/>
        <v>0</v>
      </c>
      <c r="S287" s="332">
        <f>IF(L287="",0,(((O287*12)*L287)*(1+tab!$D$108)*IF(I287&gt;8,tab!$E$110,tab!$E$112)))</f>
        <v>0</v>
      </c>
      <c r="T287" s="580">
        <f t="shared" si="46"/>
        <v>0</v>
      </c>
      <c r="U287" s="243">
        <f t="shared" si="42"/>
        <v>0</v>
      </c>
      <c r="V287" s="332">
        <f t="shared" si="43"/>
        <v>0</v>
      </c>
      <c r="W287" s="624"/>
    </row>
    <row r="288" spans="3:23">
      <c r="C288" s="131"/>
      <c r="D288" s="169" t="str">
        <f>IF(oop!D226=0,"",oop!D226)</f>
        <v/>
      </c>
      <c r="E288" s="169" t="str">
        <f>IF(oop!E226=0,"",oop!E226)</f>
        <v/>
      </c>
      <c r="F288" s="169" t="str">
        <f>IF(oop!F226=0,"",oop!F226)</f>
        <v/>
      </c>
      <c r="G288" s="169" t="str">
        <f>IF(oop!G226="","",oop!G226+1)</f>
        <v/>
      </c>
      <c r="H288" s="641" t="str">
        <f>IF(oop!H226="","",oop!H226)</f>
        <v/>
      </c>
      <c r="I288" s="170" t="str">
        <f>IF(oop!I226=0,"",oop!I226)</f>
        <v/>
      </c>
      <c r="J288" s="567" t="str">
        <f>IF(E288="","",(IF(oop!J226+1&gt;LOOKUP(I288,schaal2011,regels2011),oop!J226,oop!J226+1)))</f>
        <v/>
      </c>
      <c r="K288" s="568" t="str">
        <f>IF(oop!K226="","",oop!K226)</f>
        <v/>
      </c>
      <c r="L288" s="569" t="str">
        <f>IF(oop!L226="","",oop!L226)</f>
        <v/>
      </c>
      <c r="M288" s="570" t="str">
        <f t="shared" si="40"/>
        <v/>
      </c>
      <c r="N288" s="551"/>
      <c r="O288" s="573" t="str">
        <f>IF(I288="","",VLOOKUP(I288,tab!$A$119:$W$159,J288+3,FALSE))</f>
        <v/>
      </c>
      <c r="P288" s="572">
        <f t="shared" si="41"/>
        <v>0</v>
      </c>
      <c r="Q288" s="589">
        <f t="shared" si="44"/>
        <v>0.6</v>
      </c>
      <c r="R288" s="573">
        <f t="shared" si="45"/>
        <v>0</v>
      </c>
      <c r="S288" s="332">
        <f>IF(L288="",0,(((O288*12)*L288)*(1+tab!$D$108)*IF(I288&gt;8,tab!$E$110,tab!$E$112)))</f>
        <v>0</v>
      </c>
      <c r="T288" s="580">
        <f t="shared" si="46"/>
        <v>0</v>
      </c>
      <c r="U288" s="243">
        <f t="shared" si="42"/>
        <v>0</v>
      </c>
      <c r="V288" s="332">
        <f t="shared" si="43"/>
        <v>0</v>
      </c>
      <c r="W288" s="624"/>
    </row>
    <row r="289" spans="3:23">
      <c r="C289" s="131"/>
      <c r="D289" s="169" t="str">
        <f>IF(oop!D227=0,"",oop!D227)</f>
        <v/>
      </c>
      <c r="E289" s="169" t="str">
        <f>IF(oop!E227=0,"",oop!E227)</f>
        <v/>
      </c>
      <c r="F289" s="169" t="str">
        <f>IF(oop!F227=0,"",oop!F227)</f>
        <v/>
      </c>
      <c r="G289" s="169" t="str">
        <f>IF(oop!G227="","",oop!G227+1)</f>
        <v/>
      </c>
      <c r="H289" s="641" t="str">
        <f>IF(oop!H227="","",oop!H227)</f>
        <v/>
      </c>
      <c r="I289" s="170" t="str">
        <f>IF(oop!I227=0,"",oop!I227)</f>
        <v/>
      </c>
      <c r="J289" s="567" t="str">
        <f>IF(E289="","",(IF(oop!J227+1&gt;LOOKUP(I289,schaal2011,regels2011),oop!J227,oop!J227+1)))</f>
        <v/>
      </c>
      <c r="K289" s="568" t="str">
        <f>IF(oop!K227="","",oop!K227)</f>
        <v/>
      </c>
      <c r="L289" s="569" t="str">
        <f>IF(oop!L227="","",oop!L227)</f>
        <v/>
      </c>
      <c r="M289" s="570" t="str">
        <f t="shared" ref="M289:M313" si="47">(IF(L289="",(K289),(K289)-L289))</f>
        <v/>
      </c>
      <c r="N289" s="551"/>
      <c r="O289" s="573" t="str">
        <f>IF(I289="","",VLOOKUP(I289,tab!$A$119:$W$159,J289+3,FALSE))</f>
        <v/>
      </c>
      <c r="P289" s="572">
        <f t="shared" si="41"/>
        <v>0</v>
      </c>
      <c r="Q289" s="589">
        <f t="shared" si="44"/>
        <v>0.6</v>
      </c>
      <c r="R289" s="573">
        <f t="shared" si="45"/>
        <v>0</v>
      </c>
      <c r="S289" s="332">
        <f>IF(L289="",0,(((O289*12)*L289)*(1+tab!$D$108)*IF(I289&gt;8,tab!$E$110,tab!$E$112)))</f>
        <v>0</v>
      </c>
      <c r="T289" s="580">
        <f t="shared" si="46"/>
        <v>0</v>
      </c>
      <c r="U289" s="243">
        <f t="shared" si="42"/>
        <v>0</v>
      </c>
      <c r="V289" s="332">
        <f t="shared" si="43"/>
        <v>0</v>
      </c>
      <c r="W289" s="624"/>
    </row>
    <row r="290" spans="3:23">
      <c r="C290" s="131"/>
      <c r="D290" s="169" t="str">
        <f>IF(oop!D228=0,"",oop!D228)</f>
        <v/>
      </c>
      <c r="E290" s="169" t="str">
        <f>IF(oop!E228=0,"",oop!E228)</f>
        <v/>
      </c>
      <c r="F290" s="169" t="str">
        <f>IF(oop!F228=0,"",oop!F228)</f>
        <v/>
      </c>
      <c r="G290" s="169" t="str">
        <f>IF(oop!G228="","",oop!G228+1)</f>
        <v/>
      </c>
      <c r="H290" s="641" t="str">
        <f>IF(oop!H228="","",oop!H228)</f>
        <v/>
      </c>
      <c r="I290" s="170" t="str">
        <f>IF(oop!I228=0,"",oop!I228)</f>
        <v/>
      </c>
      <c r="J290" s="567" t="str">
        <f>IF(E290="","",(IF(oop!J228+1&gt;LOOKUP(I290,schaal2011,regels2011),oop!J228,oop!J228+1)))</f>
        <v/>
      </c>
      <c r="K290" s="568" t="str">
        <f>IF(oop!K228="","",oop!K228)</f>
        <v/>
      </c>
      <c r="L290" s="569" t="str">
        <f>IF(oop!L228="","",oop!L228)</f>
        <v/>
      </c>
      <c r="M290" s="570" t="str">
        <f t="shared" si="47"/>
        <v/>
      </c>
      <c r="N290" s="551"/>
      <c r="O290" s="573" t="str">
        <f>IF(I290="","",VLOOKUP(I290,tab!$A$119:$W$159,J290+3,FALSE))</f>
        <v/>
      </c>
      <c r="P290" s="572">
        <f t="shared" si="41"/>
        <v>0</v>
      </c>
      <c r="Q290" s="589">
        <f t="shared" si="44"/>
        <v>0.6</v>
      </c>
      <c r="R290" s="573">
        <f t="shared" si="45"/>
        <v>0</v>
      </c>
      <c r="S290" s="332">
        <f>IF(L290="",0,(((O290*12)*L290)*(1+tab!$D$108)*IF(I290&gt;8,tab!$E$110,tab!$E$112)))</f>
        <v>0</v>
      </c>
      <c r="T290" s="580">
        <f t="shared" si="46"/>
        <v>0</v>
      </c>
      <c r="U290" s="243">
        <f t="shared" si="42"/>
        <v>0</v>
      </c>
      <c r="V290" s="332">
        <f t="shared" si="43"/>
        <v>0</v>
      </c>
      <c r="W290" s="624"/>
    </row>
    <row r="291" spans="3:23">
      <c r="C291" s="131"/>
      <c r="D291" s="169" t="str">
        <f>IF(oop!D229=0,"",oop!D229)</f>
        <v/>
      </c>
      <c r="E291" s="169" t="str">
        <f>IF(oop!E229=0,"",oop!E229)</f>
        <v/>
      </c>
      <c r="F291" s="169" t="str">
        <f>IF(oop!F229=0,"",oop!F229)</f>
        <v/>
      </c>
      <c r="G291" s="169" t="str">
        <f>IF(oop!G229="","",oop!G229+1)</f>
        <v/>
      </c>
      <c r="H291" s="641" t="str">
        <f>IF(oop!H229="","",oop!H229)</f>
        <v/>
      </c>
      <c r="I291" s="170" t="str">
        <f>IF(oop!I229=0,"",oop!I229)</f>
        <v/>
      </c>
      <c r="J291" s="567" t="str">
        <f>IF(E291="","",(IF(oop!J229+1&gt;LOOKUP(I291,schaal2011,regels2011),oop!J229,oop!J229+1)))</f>
        <v/>
      </c>
      <c r="K291" s="568" t="str">
        <f>IF(oop!K229="","",oop!K229)</f>
        <v/>
      </c>
      <c r="L291" s="569" t="str">
        <f>IF(oop!L229="","",oop!L229)</f>
        <v/>
      </c>
      <c r="M291" s="570" t="str">
        <f t="shared" si="47"/>
        <v/>
      </c>
      <c r="N291" s="551"/>
      <c r="O291" s="573" t="str">
        <f>IF(I291="","",VLOOKUP(I291,tab!$A$119:$W$159,J291+3,FALSE))</f>
        <v/>
      </c>
      <c r="P291" s="572">
        <f t="shared" si="41"/>
        <v>0</v>
      </c>
      <c r="Q291" s="589">
        <f t="shared" si="44"/>
        <v>0.6</v>
      </c>
      <c r="R291" s="573">
        <f t="shared" si="45"/>
        <v>0</v>
      </c>
      <c r="S291" s="332">
        <f>IF(L291="",0,(((O291*12)*L291)*(1+tab!$D$108)*IF(I291&gt;8,tab!$E$110,tab!$E$112)))</f>
        <v>0</v>
      </c>
      <c r="T291" s="580">
        <f t="shared" si="46"/>
        <v>0</v>
      </c>
      <c r="U291" s="243">
        <f t="shared" si="42"/>
        <v>0</v>
      </c>
      <c r="V291" s="332">
        <f t="shared" si="43"/>
        <v>0</v>
      </c>
      <c r="W291" s="624"/>
    </row>
    <row r="292" spans="3:23">
      <c r="C292" s="131"/>
      <c r="D292" s="169" t="str">
        <f>IF(oop!D230=0,"",oop!D230)</f>
        <v/>
      </c>
      <c r="E292" s="169" t="str">
        <f>IF(oop!E230=0,"",oop!E230)</f>
        <v/>
      </c>
      <c r="F292" s="169" t="str">
        <f>IF(oop!F230=0,"",oop!F230)</f>
        <v/>
      </c>
      <c r="G292" s="169" t="str">
        <f>IF(oop!G230="","",oop!G230+1)</f>
        <v/>
      </c>
      <c r="H292" s="641" t="str">
        <f>IF(oop!H230="","",oop!H230)</f>
        <v/>
      </c>
      <c r="I292" s="170" t="str">
        <f>IF(oop!I230=0,"",oop!I230)</f>
        <v/>
      </c>
      <c r="J292" s="567" t="str">
        <f>IF(E292="","",(IF(oop!J230+1&gt;LOOKUP(I292,schaal2011,regels2011),oop!J230,oop!J230+1)))</f>
        <v/>
      </c>
      <c r="K292" s="568" t="str">
        <f>IF(oop!K230="","",oop!K230)</f>
        <v/>
      </c>
      <c r="L292" s="569" t="str">
        <f>IF(oop!L230="","",oop!L230)</f>
        <v/>
      </c>
      <c r="M292" s="570" t="str">
        <f t="shared" si="47"/>
        <v/>
      </c>
      <c r="N292" s="551"/>
      <c r="O292" s="573" t="str">
        <f>IF(I292="","",VLOOKUP(I292,tab!$A$119:$W$159,J292+3,FALSE))</f>
        <v/>
      </c>
      <c r="P292" s="572">
        <f t="shared" si="41"/>
        <v>0</v>
      </c>
      <c r="Q292" s="589">
        <f t="shared" si="44"/>
        <v>0.6</v>
      </c>
      <c r="R292" s="573">
        <f t="shared" si="45"/>
        <v>0</v>
      </c>
      <c r="S292" s="332">
        <f>IF(L292="",0,(((O292*12)*L292)*(1+tab!$D$108)*IF(I292&gt;8,tab!$E$110,tab!$E$112)))</f>
        <v>0</v>
      </c>
      <c r="T292" s="580">
        <f t="shared" si="46"/>
        <v>0</v>
      </c>
      <c r="U292" s="243">
        <f t="shared" si="42"/>
        <v>0</v>
      </c>
      <c r="V292" s="332">
        <f t="shared" si="43"/>
        <v>0</v>
      </c>
      <c r="W292" s="624"/>
    </row>
    <row r="293" spans="3:23">
      <c r="C293" s="131"/>
      <c r="D293" s="169" t="str">
        <f>IF(oop!D231=0,"",oop!D231)</f>
        <v/>
      </c>
      <c r="E293" s="169" t="str">
        <f>IF(oop!E231=0,"",oop!E231)</f>
        <v/>
      </c>
      <c r="F293" s="169" t="str">
        <f>IF(oop!F231=0,"",oop!F231)</f>
        <v/>
      </c>
      <c r="G293" s="169" t="str">
        <f>IF(oop!G231="","",oop!G231+1)</f>
        <v/>
      </c>
      <c r="H293" s="641" t="str">
        <f>IF(oop!H231="","",oop!H231)</f>
        <v/>
      </c>
      <c r="I293" s="170" t="str">
        <f>IF(oop!I231=0,"",oop!I231)</f>
        <v/>
      </c>
      <c r="J293" s="567" t="str">
        <f>IF(E293="","",(IF(oop!J231+1&gt;LOOKUP(I293,schaal2011,regels2011),oop!J231,oop!J231+1)))</f>
        <v/>
      </c>
      <c r="K293" s="568" t="str">
        <f>IF(oop!K231="","",oop!K231)</f>
        <v/>
      </c>
      <c r="L293" s="569" t="str">
        <f>IF(oop!L231="","",oop!L231)</f>
        <v/>
      </c>
      <c r="M293" s="570" t="str">
        <f t="shared" si="47"/>
        <v/>
      </c>
      <c r="N293" s="551"/>
      <c r="O293" s="573" t="str">
        <f>IF(I293="","",VLOOKUP(I293,tab!$A$119:$W$159,J293+3,FALSE))</f>
        <v/>
      </c>
      <c r="P293" s="572">
        <f t="shared" si="41"/>
        <v>0</v>
      </c>
      <c r="Q293" s="589">
        <f t="shared" si="44"/>
        <v>0.6</v>
      </c>
      <c r="R293" s="573">
        <f t="shared" si="45"/>
        <v>0</v>
      </c>
      <c r="S293" s="332">
        <f>IF(L293="",0,(((O293*12)*L293)*(1+tab!$D$108)*IF(I293&gt;8,tab!$E$110,tab!$E$112)))</f>
        <v>0</v>
      </c>
      <c r="T293" s="580">
        <f t="shared" si="46"/>
        <v>0</v>
      </c>
      <c r="U293" s="243">
        <f t="shared" si="42"/>
        <v>0</v>
      </c>
      <c r="V293" s="332">
        <f t="shared" si="43"/>
        <v>0</v>
      </c>
      <c r="W293" s="624"/>
    </row>
    <row r="294" spans="3:23">
      <c r="C294" s="131"/>
      <c r="D294" s="169" t="str">
        <f>IF(oop!D232=0,"",oop!D232)</f>
        <v/>
      </c>
      <c r="E294" s="169" t="str">
        <f>IF(oop!E232=0,"",oop!E232)</f>
        <v/>
      </c>
      <c r="F294" s="169" t="str">
        <f>IF(oop!F232=0,"",oop!F232)</f>
        <v/>
      </c>
      <c r="G294" s="169" t="str">
        <f>IF(oop!G232="","",oop!G232+1)</f>
        <v/>
      </c>
      <c r="H294" s="641" t="str">
        <f>IF(oop!H232="","",oop!H232)</f>
        <v/>
      </c>
      <c r="I294" s="170" t="str">
        <f>IF(oop!I232=0,"",oop!I232)</f>
        <v/>
      </c>
      <c r="J294" s="567" t="str">
        <f>IF(E294="","",(IF(oop!J232+1&gt;LOOKUP(I294,schaal2011,regels2011),oop!J232,oop!J232+1)))</f>
        <v/>
      </c>
      <c r="K294" s="568" t="str">
        <f>IF(oop!K232="","",oop!K232)</f>
        <v/>
      </c>
      <c r="L294" s="569" t="str">
        <f>IF(oop!L232="","",oop!L232)</f>
        <v/>
      </c>
      <c r="M294" s="570" t="str">
        <f t="shared" si="47"/>
        <v/>
      </c>
      <c r="N294" s="551"/>
      <c r="O294" s="573" t="str">
        <f>IF(I294="","",VLOOKUP(I294,tab!$A$119:$W$159,J294+3,FALSE))</f>
        <v/>
      </c>
      <c r="P294" s="572">
        <f t="shared" si="41"/>
        <v>0</v>
      </c>
      <c r="Q294" s="589">
        <f t="shared" si="44"/>
        <v>0.6</v>
      </c>
      <c r="R294" s="573">
        <f t="shared" si="45"/>
        <v>0</v>
      </c>
      <c r="S294" s="332">
        <f>IF(L294="",0,(((O294*12)*L294)*(1+tab!$D$108)*IF(I294&gt;8,tab!$E$110,tab!$E$112)))</f>
        <v>0</v>
      </c>
      <c r="T294" s="580">
        <f t="shared" si="46"/>
        <v>0</v>
      </c>
      <c r="U294" s="243">
        <f t="shared" si="42"/>
        <v>0</v>
      </c>
      <c r="V294" s="332">
        <f t="shared" si="43"/>
        <v>0</v>
      </c>
      <c r="W294" s="624"/>
    </row>
    <row r="295" spans="3:23">
      <c r="C295" s="131"/>
      <c r="D295" s="169" t="str">
        <f>IF(oop!D233=0,"",oop!D233)</f>
        <v/>
      </c>
      <c r="E295" s="169" t="str">
        <f>IF(oop!E233=0,"",oop!E233)</f>
        <v/>
      </c>
      <c r="F295" s="169" t="str">
        <f>IF(oop!F233=0,"",oop!F233)</f>
        <v/>
      </c>
      <c r="G295" s="169" t="str">
        <f>IF(oop!G233="","",oop!G233+1)</f>
        <v/>
      </c>
      <c r="H295" s="641" t="str">
        <f>IF(oop!H233="","",oop!H233)</f>
        <v/>
      </c>
      <c r="I295" s="170" t="str">
        <f>IF(oop!I233=0,"",oop!I233)</f>
        <v/>
      </c>
      <c r="J295" s="567" t="str">
        <f>IF(E295="","",(IF(oop!J233+1&gt;LOOKUP(I295,schaal2011,regels2011),oop!J233,oop!J233+1)))</f>
        <v/>
      </c>
      <c r="K295" s="568" t="str">
        <f>IF(oop!K233="","",oop!K233)</f>
        <v/>
      </c>
      <c r="L295" s="569" t="str">
        <f>IF(oop!L233="","",oop!L233)</f>
        <v/>
      </c>
      <c r="M295" s="570" t="str">
        <f t="shared" si="47"/>
        <v/>
      </c>
      <c r="N295" s="551"/>
      <c r="O295" s="573" t="str">
        <f>IF(I295="","",VLOOKUP(I295,tab!$A$119:$W$159,J295+3,FALSE))</f>
        <v/>
      </c>
      <c r="P295" s="572">
        <f t="shared" si="41"/>
        <v>0</v>
      </c>
      <c r="Q295" s="589">
        <f t="shared" si="44"/>
        <v>0.6</v>
      </c>
      <c r="R295" s="573">
        <f t="shared" si="45"/>
        <v>0</v>
      </c>
      <c r="S295" s="332">
        <f>IF(L295="",0,(((O295*12)*L295)*(1+tab!$D$108)*IF(I295&gt;8,tab!$E$110,tab!$E$112)))</f>
        <v>0</v>
      </c>
      <c r="T295" s="580">
        <f t="shared" si="46"/>
        <v>0</v>
      </c>
      <c r="U295" s="243">
        <f t="shared" si="42"/>
        <v>0</v>
      </c>
      <c r="V295" s="332">
        <f t="shared" si="43"/>
        <v>0</v>
      </c>
      <c r="W295" s="624"/>
    </row>
    <row r="296" spans="3:23">
      <c r="C296" s="131"/>
      <c r="D296" s="169" t="str">
        <f>IF(oop!D234=0,"",oop!D234)</f>
        <v/>
      </c>
      <c r="E296" s="169" t="str">
        <f>IF(oop!E234=0,"",oop!E234)</f>
        <v/>
      </c>
      <c r="F296" s="169" t="str">
        <f>IF(oop!F234=0,"",oop!F234)</f>
        <v/>
      </c>
      <c r="G296" s="169" t="str">
        <f>IF(oop!G234="","",oop!G234+1)</f>
        <v/>
      </c>
      <c r="H296" s="641" t="str">
        <f>IF(oop!H234="","",oop!H234)</f>
        <v/>
      </c>
      <c r="I296" s="170" t="str">
        <f>IF(oop!I234=0,"",oop!I234)</f>
        <v/>
      </c>
      <c r="J296" s="567" t="str">
        <f>IF(E296="","",(IF(oop!J234+1&gt;LOOKUP(I296,schaal2011,regels2011),oop!J234,oop!J234+1)))</f>
        <v/>
      </c>
      <c r="K296" s="568" t="str">
        <f>IF(oop!K234="","",oop!K234)</f>
        <v/>
      </c>
      <c r="L296" s="569" t="str">
        <f>IF(oop!L234="","",oop!L234)</f>
        <v/>
      </c>
      <c r="M296" s="570" t="str">
        <f t="shared" si="47"/>
        <v/>
      </c>
      <c r="N296" s="551"/>
      <c r="O296" s="573" t="str">
        <f>IF(I296="","",VLOOKUP(I296,tab!$A$119:$W$159,J296+3,FALSE))</f>
        <v/>
      </c>
      <c r="P296" s="572">
        <f t="shared" ref="P296:P313" si="48">IF(E296="",0,(O296*M296*12))</f>
        <v>0</v>
      </c>
      <c r="Q296" s="589">
        <f t="shared" si="44"/>
        <v>0.6</v>
      </c>
      <c r="R296" s="573">
        <f t="shared" si="45"/>
        <v>0</v>
      </c>
      <c r="S296" s="332">
        <f>IF(L296="",0,(((O296*12)*L296)*(1+tab!$D$108)*IF(I296&gt;8,tab!$E$110,tab!$E$112)))</f>
        <v>0</v>
      </c>
      <c r="T296" s="580">
        <f t="shared" si="46"/>
        <v>0</v>
      </c>
      <c r="U296" s="243">
        <f t="shared" si="42"/>
        <v>0</v>
      </c>
      <c r="V296" s="332">
        <f t="shared" ref="V296:V313" si="49">IF(U296=25,(O296*1.08*(K296)/2),IF(U296=40,(O296*1.08*(K296)),IF(U296=0,0)))</f>
        <v>0</v>
      </c>
      <c r="W296" s="624"/>
    </row>
    <row r="297" spans="3:23">
      <c r="C297" s="131"/>
      <c r="D297" s="169" t="str">
        <f>IF(oop!D235=0,"",oop!D235)</f>
        <v/>
      </c>
      <c r="E297" s="169" t="str">
        <f>IF(oop!E235=0,"",oop!E235)</f>
        <v/>
      </c>
      <c r="F297" s="169" t="str">
        <f>IF(oop!F235=0,"",oop!F235)</f>
        <v/>
      </c>
      <c r="G297" s="169" t="str">
        <f>IF(oop!G235="","",oop!G235+1)</f>
        <v/>
      </c>
      <c r="H297" s="641" t="str">
        <f>IF(oop!H235="","",oop!H235)</f>
        <v/>
      </c>
      <c r="I297" s="170" t="str">
        <f>IF(oop!I235=0,"",oop!I235)</f>
        <v/>
      </c>
      <c r="J297" s="567" t="str">
        <f>IF(E297="","",(IF(oop!J235+1&gt;LOOKUP(I297,schaal2011,regels2011),oop!J235,oop!J235+1)))</f>
        <v/>
      </c>
      <c r="K297" s="568" t="str">
        <f>IF(oop!K235="","",oop!K235)</f>
        <v/>
      </c>
      <c r="L297" s="569" t="str">
        <f>IF(oop!L235="","",oop!L235)</f>
        <v/>
      </c>
      <c r="M297" s="570" t="str">
        <f t="shared" si="47"/>
        <v/>
      </c>
      <c r="N297" s="551"/>
      <c r="O297" s="573" t="str">
        <f>IF(I297="","",VLOOKUP(I297,tab!$A$119:$W$159,J297+3,FALSE))</f>
        <v/>
      </c>
      <c r="P297" s="572">
        <f t="shared" si="48"/>
        <v>0</v>
      </c>
      <c r="Q297" s="589">
        <f t="shared" si="44"/>
        <v>0.6</v>
      </c>
      <c r="R297" s="573">
        <f t="shared" si="45"/>
        <v>0</v>
      </c>
      <c r="S297" s="332">
        <f>IF(L297="",0,(((O297*12)*L297)*(1+tab!$D$108)*IF(I297&gt;8,tab!$E$110,tab!$E$112)))</f>
        <v>0</v>
      </c>
      <c r="T297" s="580">
        <f t="shared" si="46"/>
        <v>0</v>
      </c>
      <c r="U297" s="243">
        <f t="shared" si="42"/>
        <v>0</v>
      </c>
      <c r="V297" s="332">
        <f t="shared" si="49"/>
        <v>0</v>
      </c>
      <c r="W297" s="624"/>
    </row>
    <row r="298" spans="3:23">
      <c r="C298" s="131"/>
      <c r="D298" s="169" t="str">
        <f>IF(oop!D236=0,"",oop!D236)</f>
        <v/>
      </c>
      <c r="E298" s="169" t="str">
        <f>IF(oop!E236=0,"",oop!E236)</f>
        <v/>
      </c>
      <c r="F298" s="169" t="str">
        <f>IF(oop!F236=0,"",oop!F236)</f>
        <v/>
      </c>
      <c r="G298" s="169" t="str">
        <f>IF(oop!G236="","",oop!G236+1)</f>
        <v/>
      </c>
      <c r="H298" s="641" t="str">
        <f>IF(oop!H236="","",oop!H236)</f>
        <v/>
      </c>
      <c r="I298" s="170" t="str">
        <f>IF(oop!I236=0,"",oop!I236)</f>
        <v/>
      </c>
      <c r="J298" s="567" t="str">
        <f>IF(E298="","",(IF(oop!J236+1&gt;LOOKUP(I298,schaal2011,regels2011),oop!J236,oop!J236+1)))</f>
        <v/>
      </c>
      <c r="K298" s="568" t="str">
        <f>IF(oop!K236="","",oop!K236)</f>
        <v/>
      </c>
      <c r="L298" s="569" t="str">
        <f>IF(oop!L236="","",oop!L236)</f>
        <v/>
      </c>
      <c r="M298" s="570" t="str">
        <f t="shared" si="47"/>
        <v/>
      </c>
      <c r="N298" s="551"/>
      <c r="O298" s="573" t="str">
        <f>IF(I298="","",VLOOKUP(I298,tab!$A$119:$W$159,J298+3,FALSE))</f>
        <v/>
      </c>
      <c r="P298" s="572">
        <f t="shared" si="48"/>
        <v>0</v>
      </c>
      <c r="Q298" s="589">
        <f t="shared" si="44"/>
        <v>0.6</v>
      </c>
      <c r="R298" s="573">
        <f t="shared" si="45"/>
        <v>0</v>
      </c>
      <c r="S298" s="332">
        <f>IF(L298="",0,(((O298*12)*L298)*(1+tab!$D$108)*IF(I298&gt;8,tab!$E$110,tab!$E$112)))</f>
        <v>0</v>
      </c>
      <c r="T298" s="580">
        <f t="shared" si="46"/>
        <v>0</v>
      </c>
      <c r="U298" s="243">
        <f t="shared" si="42"/>
        <v>0</v>
      </c>
      <c r="V298" s="332">
        <f t="shared" si="49"/>
        <v>0</v>
      </c>
      <c r="W298" s="624"/>
    </row>
    <row r="299" spans="3:23">
      <c r="C299" s="131"/>
      <c r="D299" s="169" t="str">
        <f>IF(oop!D237=0,"",oop!D237)</f>
        <v/>
      </c>
      <c r="E299" s="169" t="str">
        <f>IF(oop!E237=0,"",oop!E237)</f>
        <v/>
      </c>
      <c r="F299" s="169" t="str">
        <f>IF(oop!F237=0,"",oop!F237)</f>
        <v/>
      </c>
      <c r="G299" s="169" t="str">
        <f>IF(oop!G237="","",oop!G237+1)</f>
        <v/>
      </c>
      <c r="H299" s="641" t="str">
        <f>IF(oop!H237="","",oop!H237)</f>
        <v/>
      </c>
      <c r="I299" s="170" t="str">
        <f>IF(oop!I237=0,"",oop!I237)</f>
        <v/>
      </c>
      <c r="J299" s="567" t="str">
        <f>IF(E299="","",(IF(oop!J237+1&gt;LOOKUP(I299,schaal2011,regels2011),oop!J237,oop!J237+1)))</f>
        <v/>
      </c>
      <c r="K299" s="568" t="str">
        <f>IF(oop!K237="","",oop!K237)</f>
        <v/>
      </c>
      <c r="L299" s="569" t="str">
        <f>IF(oop!L237="","",oop!L237)</f>
        <v/>
      </c>
      <c r="M299" s="570" t="str">
        <f t="shared" si="47"/>
        <v/>
      </c>
      <c r="N299" s="551"/>
      <c r="O299" s="573" t="str">
        <f>IF(I299="","",VLOOKUP(I299,tab!$A$119:$W$159,J299+3,FALSE))</f>
        <v/>
      </c>
      <c r="P299" s="572">
        <f t="shared" si="48"/>
        <v>0</v>
      </c>
      <c r="Q299" s="589">
        <f t="shared" si="44"/>
        <v>0.6</v>
      </c>
      <c r="R299" s="573">
        <f t="shared" si="45"/>
        <v>0</v>
      </c>
      <c r="S299" s="332">
        <f>IF(L299="",0,(((O299*12)*L299)*(1+tab!$D$108)*IF(I299&gt;8,tab!$E$110,tab!$E$112)))</f>
        <v>0</v>
      </c>
      <c r="T299" s="580">
        <f t="shared" si="46"/>
        <v>0</v>
      </c>
      <c r="U299" s="243">
        <f t="shared" si="42"/>
        <v>0</v>
      </c>
      <c r="V299" s="332">
        <f t="shared" si="49"/>
        <v>0</v>
      </c>
      <c r="W299" s="624"/>
    </row>
    <row r="300" spans="3:23">
      <c r="C300" s="131"/>
      <c r="D300" s="169" t="str">
        <f>IF(oop!D238=0,"",oop!D238)</f>
        <v/>
      </c>
      <c r="E300" s="169" t="str">
        <f>IF(oop!E238=0,"",oop!E238)</f>
        <v/>
      </c>
      <c r="F300" s="169" t="str">
        <f>IF(oop!F238=0,"",oop!F238)</f>
        <v/>
      </c>
      <c r="G300" s="169" t="str">
        <f>IF(oop!G238="","",oop!G238+1)</f>
        <v/>
      </c>
      <c r="H300" s="641" t="str">
        <f>IF(oop!H238="","",oop!H238)</f>
        <v/>
      </c>
      <c r="I300" s="170" t="str">
        <f>IF(oop!I238=0,"",oop!I238)</f>
        <v/>
      </c>
      <c r="J300" s="567" t="str">
        <f>IF(E300="","",(IF(oop!J238+1&gt;LOOKUP(I300,schaal2011,regels2011),oop!J238,oop!J238+1)))</f>
        <v/>
      </c>
      <c r="K300" s="568" t="str">
        <f>IF(oop!K238="","",oop!K238)</f>
        <v/>
      </c>
      <c r="L300" s="569" t="str">
        <f>IF(oop!L238="","",oop!L238)</f>
        <v/>
      </c>
      <c r="M300" s="570" t="str">
        <f t="shared" si="47"/>
        <v/>
      </c>
      <c r="N300" s="551"/>
      <c r="O300" s="573" t="str">
        <f>IF(I300="","",VLOOKUP(I300,tab!$A$119:$W$159,J300+3,FALSE))</f>
        <v/>
      </c>
      <c r="P300" s="572">
        <f t="shared" si="48"/>
        <v>0</v>
      </c>
      <c r="Q300" s="589">
        <f t="shared" si="44"/>
        <v>0.6</v>
      </c>
      <c r="R300" s="573">
        <f t="shared" si="45"/>
        <v>0</v>
      </c>
      <c r="S300" s="332">
        <f>IF(L300="",0,(((O300*12)*L300)*(1+tab!$D$108)*IF(I300&gt;8,tab!$E$110,tab!$E$112)))</f>
        <v>0</v>
      </c>
      <c r="T300" s="580">
        <f t="shared" si="46"/>
        <v>0</v>
      </c>
      <c r="U300" s="243">
        <f t="shared" si="42"/>
        <v>0</v>
      </c>
      <c r="V300" s="332">
        <f t="shared" si="49"/>
        <v>0</v>
      </c>
      <c r="W300" s="624"/>
    </row>
    <row r="301" spans="3:23">
      <c r="C301" s="131"/>
      <c r="D301" s="169" t="str">
        <f>IF(oop!D239=0,"",oop!D239)</f>
        <v/>
      </c>
      <c r="E301" s="169" t="str">
        <f>IF(oop!E239=0,"",oop!E239)</f>
        <v/>
      </c>
      <c r="F301" s="169" t="str">
        <f>IF(oop!F239=0,"",oop!F239)</f>
        <v/>
      </c>
      <c r="G301" s="169" t="str">
        <f>IF(oop!G239="","",oop!G239+1)</f>
        <v/>
      </c>
      <c r="H301" s="641" t="str">
        <f>IF(oop!H239="","",oop!H239)</f>
        <v/>
      </c>
      <c r="I301" s="170" t="str">
        <f>IF(oop!I239=0,"",oop!I239)</f>
        <v/>
      </c>
      <c r="J301" s="567" t="str">
        <f>IF(E301="","",(IF(oop!J239+1&gt;LOOKUP(I301,schaal2011,regels2011),oop!J239,oop!J239+1)))</f>
        <v/>
      </c>
      <c r="K301" s="568" t="str">
        <f>IF(oop!K239="","",oop!K239)</f>
        <v/>
      </c>
      <c r="L301" s="569" t="str">
        <f>IF(oop!L239="","",oop!L239)</f>
        <v/>
      </c>
      <c r="M301" s="570" t="str">
        <f t="shared" si="47"/>
        <v/>
      </c>
      <c r="N301" s="551"/>
      <c r="O301" s="573" t="str">
        <f>IF(I301="","",VLOOKUP(I301,tab!$A$119:$W$159,J301+3,FALSE))</f>
        <v/>
      </c>
      <c r="P301" s="572">
        <f t="shared" si="48"/>
        <v>0</v>
      </c>
      <c r="Q301" s="589">
        <f t="shared" si="44"/>
        <v>0.6</v>
      </c>
      <c r="R301" s="573">
        <f t="shared" si="45"/>
        <v>0</v>
      </c>
      <c r="S301" s="332">
        <f>IF(L301="",0,(((O301*12)*L301)*(1+tab!$D$108)*IF(I301&gt;8,tab!$E$110,tab!$E$112)))</f>
        <v>0</v>
      </c>
      <c r="T301" s="580">
        <f t="shared" si="46"/>
        <v>0</v>
      </c>
      <c r="U301" s="243">
        <f t="shared" si="42"/>
        <v>0</v>
      </c>
      <c r="V301" s="332">
        <f t="shared" si="49"/>
        <v>0</v>
      </c>
      <c r="W301" s="624"/>
    </row>
    <row r="302" spans="3:23">
      <c r="C302" s="131"/>
      <c r="D302" s="169" t="str">
        <f>IF(oop!D240=0,"",oop!D240)</f>
        <v/>
      </c>
      <c r="E302" s="169" t="str">
        <f>IF(oop!E240=0,"",oop!E240)</f>
        <v/>
      </c>
      <c r="F302" s="169" t="str">
        <f>IF(oop!F240=0,"",oop!F240)</f>
        <v/>
      </c>
      <c r="G302" s="169" t="str">
        <f>IF(oop!G240="","",oop!G240+1)</f>
        <v/>
      </c>
      <c r="H302" s="641" t="str">
        <f>IF(oop!H240="","",oop!H240)</f>
        <v/>
      </c>
      <c r="I302" s="170" t="str">
        <f>IF(oop!I240=0,"",oop!I240)</f>
        <v/>
      </c>
      <c r="J302" s="567" t="str">
        <f>IF(E302="","",(IF(oop!J240+1&gt;LOOKUP(I302,schaal2011,regels2011),oop!J240,oop!J240+1)))</f>
        <v/>
      </c>
      <c r="K302" s="568" t="str">
        <f>IF(oop!K240="","",oop!K240)</f>
        <v/>
      </c>
      <c r="L302" s="569" t="str">
        <f>IF(oop!L240="","",oop!L240)</f>
        <v/>
      </c>
      <c r="M302" s="570" t="str">
        <f t="shared" si="47"/>
        <v/>
      </c>
      <c r="N302" s="551"/>
      <c r="O302" s="573" t="str">
        <f>IF(I302="","",VLOOKUP(I302,tab!$A$119:$W$159,J302+3,FALSE))</f>
        <v/>
      </c>
      <c r="P302" s="572">
        <f t="shared" si="48"/>
        <v>0</v>
      </c>
      <c r="Q302" s="589">
        <f t="shared" si="44"/>
        <v>0.6</v>
      </c>
      <c r="R302" s="573">
        <f t="shared" si="45"/>
        <v>0</v>
      </c>
      <c r="S302" s="332">
        <f>IF(L302="",0,(((O302*12)*L302)*(1+tab!$D$108)*IF(I302&gt;8,tab!$E$110,tab!$E$112)))</f>
        <v>0</v>
      </c>
      <c r="T302" s="580">
        <f t="shared" si="46"/>
        <v>0</v>
      </c>
      <c r="U302" s="243">
        <f t="shared" si="42"/>
        <v>0</v>
      </c>
      <c r="V302" s="332">
        <f t="shared" si="49"/>
        <v>0</v>
      </c>
      <c r="W302" s="624"/>
    </row>
    <row r="303" spans="3:23">
      <c r="C303" s="131"/>
      <c r="D303" s="169" t="str">
        <f>IF(oop!D241=0,"",oop!D241)</f>
        <v/>
      </c>
      <c r="E303" s="169" t="str">
        <f>IF(oop!E241=0,"",oop!E241)</f>
        <v/>
      </c>
      <c r="F303" s="169" t="str">
        <f>IF(oop!F241=0,"",oop!F241)</f>
        <v/>
      </c>
      <c r="G303" s="169" t="str">
        <f>IF(oop!G241="","",oop!G241+1)</f>
        <v/>
      </c>
      <c r="H303" s="641" t="str">
        <f>IF(oop!H241="","",oop!H241)</f>
        <v/>
      </c>
      <c r="I303" s="170" t="str">
        <f>IF(oop!I241=0,"",oop!I241)</f>
        <v/>
      </c>
      <c r="J303" s="567" t="str">
        <f>IF(E303="","",(IF(oop!J241+1&gt;LOOKUP(I303,schaal2011,regels2011),oop!J241,oop!J241+1)))</f>
        <v/>
      </c>
      <c r="K303" s="568" t="str">
        <f>IF(oop!K241="","",oop!K241)</f>
        <v/>
      </c>
      <c r="L303" s="569" t="str">
        <f>IF(oop!L241="","",oop!L241)</f>
        <v/>
      </c>
      <c r="M303" s="570" t="str">
        <f t="shared" si="47"/>
        <v/>
      </c>
      <c r="N303" s="551"/>
      <c r="O303" s="573" t="str">
        <f>IF(I303="","",VLOOKUP(I303,tab!$A$119:$W$159,J303+3,FALSE))</f>
        <v/>
      </c>
      <c r="P303" s="572">
        <f t="shared" si="48"/>
        <v>0</v>
      </c>
      <c r="Q303" s="589">
        <f t="shared" si="44"/>
        <v>0.6</v>
      </c>
      <c r="R303" s="573">
        <f t="shared" si="45"/>
        <v>0</v>
      </c>
      <c r="S303" s="332">
        <f>IF(L303="",0,(((O303*12)*L303)*(1+tab!$D$108)*IF(I303&gt;8,tab!$E$110,tab!$E$112)))</f>
        <v>0</v>
      </c>
      <c r="T303" s="580">
        <f t="shared" si="46"/>
        <v>0</v>
      </c>
      <c r="U303" s="243">
        <f t="shared" si="42"/>
        <v>0</v>
      </c>
      <c r="V303" s="332">
        <f t="shared" si="49"/>
        <v>0</v>
      </c>
      <c r="W303" s="624"/>
    </row>
    <row r="304" spans="3:23">
      <c r="C304" s="131"/>
      <c r="D304" s="169" t="str">
        <f>IF(oop!D242=0,"",oop!D242)</f>
        <v/>
      </c>
      <c r="E304" s="169" t="str">
        <f>IF(oop!E242=0,"",oop!E242)</f>
        <v/>
      </c>
      <c r="F304" s="169" t="str">
        <f>IF(oop!F242=0,"",oop!F242)</f>
        <v/>
      </c>
      <c r="G304" s="169" t="str">
        <f>IF(oop!G242="","",oop!G242+1)</f>
        <v/>
      </c>
      <c r="H304" s="641" t="str">
        <f>IF(oop!H242="","",oop!H242)</f>
        <v/>
      </c>
      <c r="I304" s="170" t="str">
        <f>IF(oop!I242=0,"",oop!I242)</f>
        <v/>
      </c>
      <c r="J304" s="567" t="str">
        <f>IF(E304="","",(IF(oop!J242+1&gt;LOOKUP(I304,schaal2011,regels2011),oop!J242,oop!J242+1)))</f>
        <v/>
      </c>
      <c r="K304" s="568" t="str">
        <f>IF(oop!K242="","",oop!K242)</f>
        <v/>
      </c>
      <c r="L304" s="569" t="str">
        <f>IF(oop!L242="","",oop!L242)</f>
        <v/>
      </c>
      <c r="M304" s="570" t="str">
        <f t="shared" si="47"/>
        <v/>
      </c>
      <c r="N304" s="551"/>
      <c r="O304" s="573" t="str">
        <f>IF(I304="","",VLOOKUP(I304,tab!$A$119:$W$159,J304+3,FALSE))</f>
        <v/>
      </c>
      <c r="P304" s="572">
        <f t="shared" si="48"/>
        <v>0</v>
      </c>
      <c r="Q304" s="589">
        <f t="shared" si="44"/>
        <v>0.6</v>
      </c>
      <c r="R304" s="573">
        <f t="shared" si="45"/>
        <v>0</v>
      </c>
      <c r="S304" s="332">
        <f>IF(L304="",0,(((O304*12)*L304)*(1+tab!$D$108)*IF(I304&gt;8,tab!$E$110,tab!$E$112)))</f>
        <v>0</v>
      </c>
      <c r="T304" s="580">
        <f t="shared" si="46"/>
        <v>0</v>
      </c>
      <c r="U304" s="243">
        <f t="shared" si="42"/>
        <v>0</v>
      </c>
      <c r="V304" s="332">
        <f t="shared" si="49"/>
        <v>0</v>
      </c>
      <c r="W304" s="624"/>
    </row>
    <row r="305" spans="3:23">
      <c r="C305" s="131"/>
      <c r="D305" s="169" t="str">
        <f>IF(oop!D243=0,"",oop!D243)</f>
        <v/>
      </c>
      <c r="E305" s="169" t="str">
        <f>IF(oop!E243=0,"",oop!E243)</f>
        <v/>
      </c>
      <c r="F305" s="169" t="str">
        <f>IF(oop!F243=0,"",oop!F243)</f>
        <v/>
      </c>
      <c r="G305" s="169" t="str">
        <f>IF(oop!G243="","",oop!G243+1)</f>
        <v/>
      </c>
      <c r="H305" s="641" t="str">
        <f>IF(oop!H243="","",oop!H243)</f>
        <v/>
      </c>
      <c r="I305" s="170" t="str">
        <f>IF(oop!I243=0,"",oop!I243)</f>
        <v/>
      </c>
      <c r="J305" s="567" t="str">
        <f>IF(E305="","",(IF(oop!J243+1&gt;LOOKUP(I305,schaal2011,regels2011),oop!J243,oop!J243+1)))</f>
        <v/>
      </c>
      <c r="K305" s="568" t="str">
        <f>IF(oop!K243="","",oop!K243)</f>
        <v/>
      </c>
      <c r="L305" s="569" t="str">
        <f>IF(oop!L243="","",oop!L243)</f>
        <v/>
      </c>
      <c r="M305" s="570" t="str">
        <f t="shared" si="47"/>
        <v/>
      </c>
      <c r="N305" s="551"/>
      <c r="O305" s="573" t="str">
        <f>IF(I305="","",VLOOKUP(I305,tab!$A$119:$W$159,J305+3,FALSE))</f>
        <v/>
      </c>
      <c r="P305" s="572">
        <f t="shared" si="48"/>
        <v>0</v>
      </c>
      <c r="Q305" s="589">
        <f t="shared" si="44"/>
        <v>0.6</v>
      </c>
      <c r="R305" s="573">
        <f t="shared" si="45"/>
        <v>0</v>
      </c>
      <c r="S305" s="332">
        <f>IF(L305="",0,(((O305*12)*L305)*(1+tab!$D$108)*IF(I305&gt;8,tab!$E$110,tab!$E$112)))</f>
        <v>0</v>
      </c>
      <c r="T305" s="580">
        <f t="shared" si="46"/>
        <v>0</v>
      </c>
      <c r="U305" s="243">
        <f t="shared" si="42"/>
        <v>0</v>
      </c>
      <c r="V305" s="332">
        <f t="shared" si="49"/>
        <v>0</v>
      </c>
      <c r="W305" s="624"/>
    </row>
    <row r="306" spans="3:23">
      <c r="C306" s="131"/>
      <c r="D306" s="169" t="str">
        <f>IF(oop!D244=0,"",oop!D244)</f>
        <v/>
      </c>
      <c r="E306" s="169" t="str">
        <f>IF(oop!E244=0,"",oop!E244)</f>
        <v/>
      </c>
      <c r="F306" s="169" t="str">
        <f>IF(oop!F244=0,"",oop!F244)</f>
        <v/>
      </c>
      <c r="G306" s="169" t="str">
        <f>IF(oop!G244="","",oop!G244+1)</f>
        <v/>
      </c>
      <c r="H306" s="641" t="str">
        <f>IF(oop!H244="","",oop!H244)</f>
        <v/>
      </c>
      <c r="I306" s="170" t="str">
        <f>IF(oop!I244=0,"",oop!I244)</f>
        <v/>
      </c>
      <c r="J306" s="567" t="str">
        <f>IF(E306="","",(IF(oop!J244+1&gt;LOOKUP(I306,schaal2011,regels2011),oop!J244,oop!J244+1)))</f>
        <v/>
      </c>
      <c r="K306" s="568" t="str">
        <f>IF(oop!K244="","",oop!K244)</f>
        <v/>
      </c>
      <c r="L306" s="569" t="str">
        <f>IF(oop!L244="","",oop!L244)</f>
        <v/>
      </c>
      <c r="M306" s="570" t="str">
        <f t="shared" si="47"/>
        <v/>
      </c>
      <c r="N306" s="551"/>
      <c r="O306" s="573" t="str">
        <f>IF(I306="","",VLOOKUP(I306,tab!$A$119:$W$159,J306+3,FALSE))</f>
        <v/>
      </c>
      <c r="P306" s="572">
        <f t="shared" si="48"/>
        <v>0</v>
      </c>
      <c r="Q306" s="589">
        <f t="shared" si="44"/>
        <v>0.6</v>
      </c>
      <c r="R306" s="573">
        <f t="shared" si="45"/>
        <v>0</v>
      </c>
      <c r="S306" s="332">
        <f>IF(L306="",0,(((O306*12)*L306)*(1+tab!$D$108)*IF(I306&gt;8,tab!$E$110,tab!$E$112)))</f>
        <v>0</v>
      </c>
      <c r="T306" s="580">
        <f t="shared" si="46"/>
        <v>0</v>
      </c>
      <c r="U306" s="243">
        <f t="shared" si="42"/>
        <v>0</v>
      </c>
      <c r="V306" s="332">
        <f t="shared" si="49"/>
        <v>0</v>
      </c>
      <c r="W306" s="624"/>
    </row>
    <row r="307" spans="3:23">
      <c r="C307" s="131"/>
      <c r="D307" s="169" t="str">
        <f>IF(oop!D245=0,"",oop!D245)</f>
        <v/>
      </c>
      <c r="E307" s="169" t="str">
        <f>IF(oop!E245=0,"",oop!E245)</f>
        <v/>
      </c>
      <c r="F307" s="169" t="str">
        <f>IF(oop!F245=0,"",oop!F245)</f>
        <v/>
      </c>
      <c r="G307" s="169" t="str">
        <f>IF(oop!G245="","",oop!G245+1)</f>
        <v/>
      </c>
      <c r="H307" s="641" t="str">
        <f>IF(oop!H245="","",oop!H245)</f>
        <v/>
      </c>
      <c r="I307" s="170" t="str">
        <f>IF(oop!I245=0,"",oop!I245)</f>
        <v/>
      </c>
      <c r="J307" s="567" t="str">
        <f>IF(E307="","",(IF(oop!J245+1&gt;LOOKUP(I307,schaal2011,regels2011),oop!J245,oop!J245+1)))</f>
        <v/>
      </c>
      <c r="K307" s="568" t="str">
        <f>IF(oop!K245="","",oop!K245)</f>
        <v/>
      </c>
      <c r="L307" s="569" t="str">
        <f>IF(oop!L245="","",oop!L245)</f>
        <v/>
      </c>
      <c r="M307" s="570" t="str">
        <f t="shared" si="47"/>
        <v/>
      </c>
      <c r="N307" s="551"/>
      <c r="O307" s="573" t="str">
        <f>IF(I307="","",VLOOKUP(I307,tab!$A$119:$W$159,J307+3,FALSE))</f>
        <v/>
      </c>
      <c r="P307" s="572">
        <f t="shared" si="48"/>
        <v>0</v>
      </c>
      <c r="Q307" s="589">
        <f t="shared" si="44"/>
        <v>0.6</v>
      </c>
      <c r="R307" s="573">
        <f t="shared" si="45"/>
        <v>0</v>
      </c>
      <c r="S307" s="332">
        <f>IF(L307="",0,(((O307*12)*L307)*(1+tab!$D$108)*IF(I307&gt;8,tab!$E$110,tab!$E$112)))</f>
        <v>0</v>
      </c>
      <c r="T307" s="580">
        <f t="shared" si="46"/>
        <v>0</v>
      </c>
      <c r="U307" s="243">
        <f t="shared" si="42"/>
        <v>0</v>
      </c>
      <c r="V307" s="332">
        <f t="shared" si="49"/>
        <v>0</v>
      </c>
      <c r="W307" s="624"/>
    </row>
    <row r="308" spans="3:23">
      <c r="C308" s="131"/>
      <c r="D308" s="169" t="str">
        <f>IF(oop!D246=0,"",oop!D246)</f>
        <v/>
      </c>
      <c r="E308" s="169" t="str">
        <f>IF(oop!E246=0,"",oop!E246)</f>
        <v/>
      </c>
      <c r="F308" s="169" t="str">
        <f>IF(oop!F246=0,"",oop!F246)</f>
        <v/>
      </c>
      <c r="G308" s="169" t="str">
        <f>IF(oop!G246="","",oop!G246+1)</f>
        <v/>
      </c>
      <c r="H308" s="641" t="str">
        <f>IF(oop!H246="","",oop!H246)</f>
        <v/>
      </c>
      <c r="I308" s="170" t="str">
        <f>IF(oop!I246=0,"",oop!I246)</f>
        <v/>
      </c>
      <c r="J308" s="567" t="str">
        <f>IF(E308="","",(IF(oop!J246+1&gt;LOOKUP(I308,schaal2011,regels2011),oop!J246,oop!J246+1)))</f>
        <v/>
      </c>
      <c r="K308" s="568" t="str">
        <f>IF(oop!K246="","",oop!K246)</f>
        <v/>
      </c>
      <c r="L308" s="569" t="str">
        <f>IF(oop!L246="","",oop!L246)</f>
        <v/>
      </c>
      <c r="M308" s="570" t="str">
        <f t="shared" si="47"/>
        <v/>
      </c>
      <c r="N308" s="551"/>
      <c r="O308" s="573" t="str">
        <f>IF(I308="","",VLOOKUP(I308,tab!$A$119:$W$159,J308+3,FALSE))</f>
        <v/>
      </c>
      <c r="P308" s="572">
        <f t="shared" si="48"/>
        <v>0</v>
      </c>
      <c r="Q308" s="589">
        <f t="shared" si="44"/>
        <v>0.6</v>
      </c>
      <c r="R308" s="573">
        <f t="shared" si="45"/>
        <v>0</v>
      </c>
      <c r="S308" s="332">
        <f>IF(L308="",0,(((O308*12)*L308)*(1+tab!$D$108)*IF(I308&gt;8,tab!$E$110,tab!$E$112)))</f>
        <v>0</v>
      </c>
      <c r="T308" s="580">
        <f t="shared" si="46"/>
        <v>0</v>
      </c>
      <c r="U308" s="243">
        <f t="shared" si="42"/>
        <v>0</v>
      </c>
      <c r="V308" s="332">
        <f t="shared" si="49"/>
        <v>0</v>
      </c>
      <c r="W308" s="624"/>
    </row>
    <row r="309" spans="3:23">
      <c r="C309" s="131"/>
      <c r="D309" s="169" t="str">
        <f>IF(oop!D247=0,"",oop!D247)</f>
        <v/>
      </c>
      <c r="E309" s="169" t="str">
        <f>IF(oop!E247=0,"",oop!E247)</f>
        <v/>
      </c>
      <c r="F309" s="169" t="str">
        <f>IF(oop!F247=0,"",oop!F247)</f>
        <v/>
      </c>
      <c r="G309" s="169" t="str">
        <f>IF(oop!G247="","",oop!G247+1)</f>
        <v/>
      </c>
      <c r="H309" s="641" t="str">
        <f>IF(oop!H247="","",oop!H247)</f>
        <v/>
      </c>
      <c r="I309" s="170" t="str">
        <f>IF(oop!I247=0,"",oop!I247)</f>
        <v/>
      </c>
      <c r="J309" s="567" t="str">
        <f>IF(E309="","",(IF(oop!J247+1&gt;LOOKUP(I309,schaal2011,regels2011),oop!J247,oop!J247+1)))</f>
        <v/>
      </c>
      <c r="K309" s="568" t="str">
        <f>IF(oop!K247="","",oop!K247)</f>
        <v/>
      </c>
      <c r="L309" s="569" t="str">
        <f>IF(oop!L247="","",oop!L247)</f>
        <v/>
      </c>
      <c r="M309" s="570" t="str">
        <f t="shared" si="47"/>
        <v/>
      </c>
      <c r="N309" s="551"/>
      <c r="O309" s="573" t="str">
        <f>IF(I309="","",VLOOKUP(I309,tab!$A$119:$W$159,J309+3,FALSE))</f>
        <v/>
      </c>
      <c r="P309" s="572">
        <f t="shared" si="48"/>
        <v>0</v>
      </c>
      <c r="Q309" s="589">
        <f t="shared" si="44"/>
        <v>0.6</v>
      </c>
      <c r="R309" s="573">
        <f t="shared" si="45"/>
        <v>0</v>
      </c>
      <c r="S309" s="332">
        <f>IF(L309="",0,(((O309*12)*L309)*(1+tab!$D$108)*IF(I309&gt;8,tab!$E$110,tab!$E$112)))</f>
        <v>0</v>
      </c>
      <c r="T309" s="580">
        <f t="shared" si="46"/>
        <v>0</v>
      </c>
      <c r="U309" s="243">
        <f t="shared" si="42"/>
        <v>0</v>
      </c>
      <c r="V309" s="332">
        <f t="shared" si="49"/>
        <v>0</v>
      </c>
      <c r="W309" s="624"/>
    </row>
    <row r="310" spans="3:23">
      <c r="C310" s="131"/>
      <c r="D310" s="169" t="str">
        <f>IF(oop!D248=0,"",oop!D248)</f>
        <v/>
      </c>
      <c r="E310" s="169" t="str">
        <f>IF(oop!E248=0,"",oop!E248)</f>
        <v/>
      </c>
      <c r="F310" s="169" t="str">
        <f>IF(oop!F248=0,"",oop!F248)</f>
        <v/>
      </c>
      <c r="G310" s="169" t="str">
        <f>IF(oop!G248="","",oop!G248+1)</f>
        <v/>
      </c>
      <c r="H310" s="641" t="str">
        <f>IF(oop!H248="","",oop!H248)</f>
        <v/>
      </c>
      <c r="I310" s="170" t="str">
        <f>IF(oop!I248=0,"",oop!I248)</f>
        <v/>
      </c>
      <c r="J310" s="567" t="str">
        <f>IF(E310="","",(IF(oop!J248+1&gt;LOOKUP(I310,schaal2011,regels2011),oop!J248,oop!J248+1)))</f>
        <v/>
      </c>
      <c r="K310" s="568" t="str">
        <f>IF(oop!K248="","",oop!K248)</f>
        <v/>
      </c>
      <c r="L310" s="569" t="str">
        <f>IF(oop!L248="","",oop!L248)</f>
        <v/>
      </c>
      <c r="M310" s="570" t="str">
        <f t="shared" si="47"/>
        <v/>
      </c>
      <c r="N310" s="551"/>
      <c r="O310" s="573" t="str">
        <f>IF(I310="","",VLOOKUP(I310,tab!$A$119:$W$159,J310+3,FALSE))</f>
        <v/>
      </c>
      <c r="P310" s="572">
        <f t="shared" si="48"/>
        <v>0</v>
      </c>
      <c r="Q310" s="589">
        <f t="shared" si="44"/>
        <v>0.6</v>
      </c>
      <c r="R310" s="573">
        <f t="shared" si="45"/>
        <v>0</v>
      </c>
      <c r="S310" s="332">
        <f>IF(L310="",0,(((O310*12)*L310)*(1+tab!$D$108)*IF(I310&gt;8,tab!$E$110,tab!$E$112)))</f>
        <v>0</v>
      </c>
      <c r="T310" s="580">
        <f t="shared" si="46"/>
        <v>0</v>
      </c>
      <c r="U310" s="243">
        <f t="shared" si="42"/>
        <v>0</v>
      </c>
      <c r="V310" s="332">
        <f t="shared" si="49"/>
        <v>0</v>
      </c>
      <c r="W310" s="624"/>
    </row>
    <row r="311" spans="3:23">
      <c r="C311" s="131"/>
      <c r="D311" s="169" t="str">
        <f>IF(oop!D249=0,"",oop!D249)</f>
        <v/>
      </c>
      <c r="E311" s="169" t="str">
        <f>IF(oop!E249=0,"",oop!E249)</f>
        <v/>
      </c>
      <c r="F311" s="169" t="str">
        <f>IF(oop!F249=0,"",oop!F249)</f>
        <v/>
      </c>
      <c r="G311" s="169" t="str">
        <f>IF(oop!G249="","",oop!G249+1)</f>
        <v/>
      </c>
      <c r="H311" s="641" t="str">
        <f>IF(oop!H249="","",oop!H249)</f>
        <v/>
      </c>
      <c r="I311" s="170" t="str">
        <f>IF(oop!I249=0,"",oop!I249)</f>
        <v/>
      </c>
      <c r="J311" s="567" t="str">
        <f>IF(E311="","",(IF(oop!J249+1&gt;LOOKUP(I311,schaal2011,regels2011),oop!J249,oop!J249+1)))</f>
        <v/>
      </c>
      <c r="K311" s="568" t="str">
        <f>IF(oop!K249="","",oop!K249)</f>
        <v/>
      </c>
      <c r="L311" s="569" t="str">
        <f>IF(oop!L249="","",oop!L249)</f>
        <v/>
      </c>
      <c r="M311" s="570" t="str">
        <f t="shared" si="47"/>
        <v/>
      </c>
      <c r="N311" s="551"/>
      <c r="O311" s="573" t="str">
        <f>IF(I311="","",VLOOKUP(I311,tab!$A$119:$W$159,J311+3,FALSE))</f>
        <v/>
      </c>
      <c r="P311" s="572">
        <f t="shared" si="48"/>
        <v>0</v>
      </c>
      <c r="Q311" s="589">
        <f t="shared" si="44"/>
        <v>0.6</v>
      </c>
      <c r="R311" s="573">
        <f t="shared" si="45"/>
        <v>0</v>
      </c>
      <c r="S311" s="332">
        <f>IF(L311="",0,(((O311*12)*L311)*(1+tab!$D$108)*IF(I311&gt;8,tab!$E$110,tab!$E$112)))</f>
        <v>0</v>
      </c>
      <c r="T311" s="580">
        <f t="shared" si="46"/>
        <v>0</v>
      </c>
      <c r="U311" s="243">
        <f t="shared" si="42"/>
        <v>0</v>
      </c>
      <c r="V311" s="332">
        <f t="shared" si="49"/>
        <v>0</v>
      </c>
      <c r="W311" s="624"/>
    </row>
    <row r="312" spans="3:23">
      <c r="C312" s="131"/>
      <c r="D312" s="169" t="str">
        <f>IF(oop!D250=0,"",oop!D250)</f>
        <v/>
      </c>
      <c r="E312" s="169" t="str">
        <f>IF(oop!E250=0,"",oop!E250)</f>
        <v/>
      </c>
      <c r="F312" s="169" t="str">
        <f>IF(oop!F250=0,"",oop!F250)</f>
        <v/>
      </c>
      <c r="G312" s="169" t="str">
        <f>IF(oop!G250="","",oop!G250+1)</f>
        <v/>
      </c>
      <c r="H312" s="641" t="str">
        <f>IF(oop!H250="","",oop!H250)</f>
        <v/>
      </c>
      <c r="I312" s="170" t="str">
        <f>IF(oop!I250=0,"",oop!I250)</f>
        <v/>
      </c>
      <c r="J312" s="567" t="str">
        <f>IF(E312="","",(IF(oop!J250+1&gt;LOOKUP(I312,schaal2011,regels2011),oop!J250,oop!J250+1)))</f>
        <v/>
      </c>
      <c r="K312" s="568" t="str">
        <f>IF(oop!K250="","",oop!K250)</f>
        <v/>
      </c>
      <c r="L312" s="569" t="str">
        <f>IF(oop!L250="","",oop!L250)</f>
        <v/>
      </c>
      <c r="M312" s="570" t="str">
        <f t="shared" si="47"/>
        <v/>
      </c>
      <c r="N312" s="551"/>
      <c r="O312" s="573" t="str">
        <f>IF(I312="","",VLOOKUP(I312,tab!$A$119:$W$159,J312+3,FALSE))</f>
        <v/>
      </c>
      <c r="P312" s="572">
        <f t="shared" si="48"/>
        <v>0</v>
      </c>
      <c r="Q312" s="589">
        <f t="shared" si="44"/>
        <v>0.6</v>
      </c>
      <c r="R312" s="573">
        <f t="shared" si="45"/>
        <v>0</v>
      </c>
      <c r="S312" s="332">
        <f>IF(L312="",0,(((O312*12)*L312)*(1+tab!$D$108)*IF(I312&gt;8,tab!$E$110,tab!$E$112)))</f>
        <v>0</v>
      </c>
      <c r="T312" s="580">
        <f t="shared" si="46"/>
        <v>0</v>
      </c>
      <c r="U312" s="243">
        <f t="shared" si="42"/>
        <v>0</v>
      </c>
      <c r="V312" s="332">
        <f t="shared" si="49"/>
        <v>0</v>
      </c>
      <c r="W312" s="624"/>
    </row>
    <row r="313" spans="3:23">
      <c r="C313" s="131"/>
      <c r="D313" s="169" t="str">
        <f>IF(oop!D251=0,"",oop!D251)</f>
        <v/>
      </c>
      <c r="E313" s="169" t="str">
        <f>IF(oop!E251=0,"",oop!E251)</f>
        <v/>
      </c>
      <c r="F313" s="169" t="str">
        <f>IF(oop!F251=0,"",oop!F251)</f>
        <v/>
      </c>
      <c r="G313" s="169" t="str">
        <f>IF(oop!G251="","",oop!G251+1)</f>
        <v/>
      </c>
      <c r="H313" s="641" t="str">
        <f>IF(oop!H251="","",oop!H251)</f>
        <v/>
      </c>
      <c r="I313" s="170" t="str">
        <f>IF(oop!I251=0,"",oop!I251)</f>
        <v/>
      </c>
      <c r="J313" s="567" t="str">
        <f>IF(E313="","",(IF(oop!J251+1&gt;LOOKUP(I313,schaal2011,regels2011),oop!J251,oop!J251+1)))</f>
        <v/>
      </c>
      <c r="K313" s="568" t="str">
        <f>IF(oop!K251="","",oop!K251)</f>
        <v/>
      </c>
      <c r="L313" s="569" t="str">
        <f>IF(oop!L251="","",oop!L251)</f>
        <v/>
      </c>
      <c r="M313" s="570" t="str">
        <f t="shared" si="47"/>
        <v/>
      </c>
      <c r="N313" s="551"/>
      <c r="O313" s="573" t="str">
        <f>IF(I313="","",VLOOKUP(I313,tab!$A$119:$W$159,J313+3,FALSE))</f>
        <v/>
      </c>
      <c r="P313" s="572">
        <f t="shared" si="48"/>
        <v>0</v>
      </c>
      <c r="Q313" s="589">
        <f t="shared" si="44"/>
        <v>0.6</v>
      </c>
      <c r="R313" s="573">
        <f t="shared" si="45"/>
        <v>0</v>
      </c>
      <c r="S313" s="332">
        <f>IF(L313="",0,(((O313*12)*L313)*(1+tab!$D$108)*IF(I313&gt;8,tab!$E$110,tab!$E$112)))</f>
        <v>0</v>
      </c>
      <c r="T313" s="580">
        <f t="shared" si="46"/>
        <v>0</v>
      </c>
      <c r="U313" s="243">
        <f t="shared" si="42"/>
        <v>0</v>
      </c>
      <c r="V313" s="332">
        <f t="shared" si="49"/>
        <v>0</v>
      </c>
      <c r="W313" s="624"/>
    </row>
    <row r="314" spans="3:23">
      <c r="C314" s="131"/>
      <c r="D314" s="319"/>
      <c r="E314" s="319"/>
      <c r="F314" s="319"/>
      <c r="G314" s="319"/>
      <c r="H314" s="319"/>
      <c r="I314" s="139"/>
      <c r="J314" s="625"/>
      <c r="K314" s="575">
        <f>SUM(K264:K313)</f>
        <v>0</v>
      </c>
      <c r="L314" s="575">
        <f>SUM(L264:L313)</f>
        <v>0</v>
      </c>
      <c r="M314" s="575">
        <f>SUM(M264:M313)</f>
        <v>0</v>
      </c>
      <c r="N314" s="550"/>
      <c r="O314" s="309">
        <f t="shared" ref="O314:V314" si="50">SUM(O264:O313)</f>
        <v>0</v>
      </c>
      <c r="P314" s="309">
        <f t="shared" si="50"/>
        <v>0</v>
      </c>
      <c r="Q314" s="299"/>
      <c r="R314" s="344">
        <f>SUM(R264:R313)</f>
        <v>0</v>
      </c>
      <c r="S314" s="344">
        <f>SUM(S264:S313)</f>
        <v>0</v>
      </c>
      <c r="T314" s="309">
        <f>SUM(T264:T313)</f>
        <v>0</v>
      </c>
      <c r="U314" s="574">
        <f t="shared" si="50"/>
        <v>0</v>
      </c>
      <c r="V314" s="344">
        <f t="shared" si="50"/>
        <v>0</v>
      </c>
      <c r="W314" s="626"/>
    </row>
    <row r="315" spans="3:23">
      <c r="C315" s="141"/>
      <c r="D315" s="557"/>
      <c r="E315" s="557"/>
      <c r="F315" s="557"/>
      <c r="G315" s="557"/>
      <c r="H315" s="557"/>
      <c r="I315" s="146"/>
      <c r="J315" s="559"/>
      <c r="K315" s="560"/>
      <c r="L315" s="559"/>
      <c r="M315" s="560"/>
      <c r="N315" s="559"/>
      <c r="O315" s="559"/>
      <c r="P315" s="299"/>
      <c r="Q315" s="299"/>
      <c r="R315" s="299"/>
      <c r="S315" s="562"/>
      <c r="T315" s="299"/>
      <c r="U315" s="563"/>
      <c r="V315" s="562"/>
      <c r="W315" s="627"/>
    </row>
  </sheetData>
  <sheetProtection password="DFB1" sheet="1" objects="1" scenarios="1"/>
  <mergeCells count="10">
    <mergeCell ref="D260:M260"/>
    <mergeCell ref="D12:M12"/>
    <mergeCell ref="D74:M74"/>
    <mergeCell ref="D136:M136"/>
    <mergeCell ref="D198:M198"/>
    <mergeCell ref="O12:T12"/>
    <mergeCell ref="O74:T74"/>
    <mergeCell ref="O136:T136"/>
    <mergeCell ref="O198:T198"/>
    <mergeCell ref="O260:T260"/>
  </mergeCells>
  <phoneticPr fontId="0" type="noConversion"/>
  <dataValidations count="1">
    <dataValidation type="list" allowBlank="1" showInputMessage="1" showErrorMessage="1" sqref="I264:I313 I78:I127 I140:I189 I202:I251 I16:I65">
      <formula1>"LIOa,LIOb,1,2,3,4,5,6,7,8,9,10,11,12,13,14,ID1,ID2,ID3"</formula1>
    </dataValidation>
  </dataValidations>
  <pageMargins left="0.78740157480314965" right="0.78740157480314965" top="0.98425196850393704" bottom="0.98425196850393704" header="0.51181102362204722" footer="0.51181102362204722"/>
  <pageSetup paperSize="9" scale="54" orientation="landscape" r:id="rId1"/>
  <headerFooter alignWithMargins="0">
    <oddHeader>&amp;L&amp;"Arial,Vet"&amp;F&amp;R&amp;"Arial,Vet"&amp;A</oddHeader>
    <oddFooter>&amp;L&amp;"Arial,Vet"keizer / goedhart&amp;C&amp;"Arial,Vet"&amp;D&amp;R&amp;"Arial,Vet"pagina &amp;P</oddFooter>
  </headerFooter>
  <rowBreaks count="2" manualBreakCount="2">
    <brk id="68" min="1" max="51" man="1"/>
    <brk id="142" min="1" max="37" man="1"/>
  </rowBreaks>
  <drawing r:id="rId2"/>
  <legacyDrawing r:id="rId3"/>
</worksheet>
</file>

<file path=xl/worksheets/sheet8.xml><?xml version="1.0" encoding="utf-8"?>
<worksheet xmlns="http://schemas.openxmlformats.org/spreadsheetml/2006/main" xmlns:r="http://schemas.openxmlformats.org/officeDocument/2006/relationships">
  <dimension ref="B2:R288"/>
  <sheetViews>
    <sheetView zoomScale="85" zoomScaleNormal="85" zoomScaleSheetLayoutView="85" workbookViewId="0">
      <pane ySplit="10" topLeftCell="A11" activePane="bottomLeft" state="frozen"/>
      <selection activeCell="B2" sqref="B2"/>
      <selection pane="bottomLeft" activeCell="B2" sqref="B2"/>
    </sheetView>
  </sheetViews>
  <sheetFormatPr defaultRowHeight="12.75"/>
  <cols>
    <col min="1" max="1" width="3.7109375" style="65" customWidth="1"/>
    <col min="2" max="3" width="2.7109375" style="65" customWidth="1"/>
    <col min="4" max="4" width="6.85546875" style="65" customWidth="1"/>
    <col min="5" max="6" width="16.85546875" style="65" customWidth="1"/>
    <col min="7" max="7" width="1.7109375" style="65" customWidth="1"/>
    <col min="8" max="8" width="10.7109375" style="75" customWidth="1"/>
    <col min="9" max="9" width="2.7109375" style="65" customWidth="1"/>
    <col min="10" max="10" width="12.85546875" style="65" customWidth="1"/>
    <col min="11" max="14" width="12.85546875" style="75" customWidth="1"/>
    <col min="15" max="16" width="2.7109375" style="65" customWidth="1"/>
    <col min="17" max="17" width="9.140625" style="65"/>
    <col min="18" max="18" width="2.7109375" style="65" customWidth="1"/>
    <col min="19" max="19" width="4.140625" style="65" customWidth="1"/>
    <col min="20" max="22" width="9.28515625" style="65" customWidth="1"/>
    <col min="23" max="23" width="10.28515625" style="65" customWidth="1"/>
    <col min="24" max="24" width="9.140625" style="65"/>
    <col min="25" max="25" width="2.7109375" style="65" customWidth="1"/>
    <col min="26" max="29" width="18.42578125" style="65" customWidth="1"/>
    <col min="30" max="31" width="2.7109375" style="65" customWidth="1"/>
    <col min="32" max="16384" width="9.140625" style="65"/>
  </cols>
  <sheetData>
    <row r="2" spans="2:16">
      <c r="B2" s="87"/>
      <c r="C2" s="88"/>
      <c r="D2" s="88"/>
      <c r="E2" s="88"/>
      <c r="F2" s="88"/>
      <c r="G2" s="88"/>
      <c r="H2" s="90"/>
      <c r="I2" s="88"/>
      <c r="J2" s="88"/>
      <c r="K2" s="90"/>
      <c r="L2" s="90"/>
      <c r="M2" s="90"/>
      <c r="N2" s="90"/>
      <c r="O2" s="88"/>
      <c r="P2" s="91"/>
    </row>
    <row r="3" spans="2:16">
      <c r="B3" s="92"/>
      <c r="C3" s="93"/>
      <c r="D3" s="93"/>
      <c r="E3" s="93"/>
      <c r="F3" s="93"/>
      <c r="G3" s="93"/>
      <c r="H3" s="95"/>
      <c r="I3" s="93"/>
      <c r="J3" s="93"/>
      <c r="K3" s="95"/>
      <c r="L3" s="95"/>
      <c r="M3" s="95"/>
      <c r="N3" s="95"/>
      <c r="O3" s="93"/>
      <c r="P3" s="97"/>
    </row>
    <row r="4" spans="2:16" s="73" customFormat="1" ht="18.75">
      <c r="B4" s="98"/>
      <c r="C4" s="168" t="s">
        <v>10</v>
      </c>
      <c r="D4" s="729"/>
      <c r="E4" s="100"/>
      <c r="F4" s="100"/>
      <c r="G4" s="100"/>
      <c r="H4" s="102"/>
      <c r="I4" s="100"/>
      <c r="J4" s="100"/>
      <c r="K4" s="103"/>
      <c r="L4" s="102"/>
      <c r="M4" s="102"/>
      <c r="N4" s="102"/>
      <c r="O4" s="100"/>
      <c r="P4" s="104"/>
    </row>
    <row r="5" spans="2:16" s="73" customFormat="1" ht="18.75">
      <c r="B5" s="98"/>
      <c r="C5" s="105" t="str">
        <f>geg!I12</f>
        <v>De speciale school</v>
      </c>
      <c r="D5" s="729"/>
      <c r="E5" s="100"/>
      <c r="F5" s="100"/>
      <c r="G5" s="100"/>
      <c r="H5" s="102"/>
      <c r="I5" s="100"/>
      <c r="J5" s="100"/>
      <c r="K5" s="103"/>
      <c r="L5" s="102"/>
      <c r="M5" s="102"/>
      <c r="N5" s="102"/>
      <c r="O5" s="100"/>
      <c r="P5" s="104"/>
    </row>
    <row r="6" spans="2:16">
      <c r="B6" s="92"/>
      <c r="C6" s="93"/>
      <c r="D6" s="93"/>
      <c r="E6" s="93"/>
      <c r="F6" s="93"/>
      <c r="G6" s="93"/>
      <c r="H6" s="95"/>
      <c r="I6" s="93"/>
      <c r="J6" s="93"/>
      <c r="K6" s="95"/>
      <c r="L6" s="95"/>
      <c r="M6" s="95"/>
      <c r="N6" s="95"/>
      <c r="O6" s="93"/>
      <c r="P6" s="97"/>
    </row>
    <row r="7" spans="2:16">
      <c r="B7" s="92"/>
      <c r="C7" s="93"/>
      <c r="D7" s="93"/>
      <c r="E7" s="93"/>
      <c r="F7" s="93"/>
      <c r="G7" s="93"/>
      <c r="H7" s="95"/>
      <c r="I7" s="93"/>
      <c r="J7" s="93"/>
      <c r="K7" s="95"/>
      <c r="L7" s="95"/>
      <c r="M7" s="95"/>
      <c r="N7" s="95"/>
      <c r="O7" s="93"/>
      <c r="P7" s="97"/>
    </row>
    <row r="8" spans="2:16">
      <c r="B8" s="92"/>
      <c r="C8" s="93"/>
      <c r="D8" s="93"/>
      <c r="E8" s="93"/>
      <c r="F8" s="93"/>
      <c r="G8" s="93"/>
      <c r="H8" s="675" t="s">
        <v>414</v>
      </c>
      <c r="I8" s="167"/>
      <c r="J8" s="164">
        <f>tab!D4</f>
        <v>2012</v>
      </c>
      <c r="K8" s="164">
        <f>tab!E4</f>
        <v>2013</v>
      </c>
      <c r="L8" s="164">
        <f>tab!F4</f>
        <v>2014</v>
      </c>
      <c r="M8" s="1069">
        <f>tab!G4</f>
        <v>2015</v>
      </c>
      <c r="N8" s="1069">
        <f>tab!H4</f>
        <v>2016</v>
      </c>
      <c r="O8" s="93"/>
      <c r="P8" s="97"/>
    </row>
    <row r="9" spans="2:16">
      <c r="B9" s="92"/>
      <c r="C9" s="93"/>
      <c r="D9" s="93"/>
      <c r="E9" s="93"/>
      <c r="F9" s="93"/>
      <c r="G9" s="93"/>
      <c r="H9" s="675" t="s">
        <v>324</v>
      </c>
      <c r="I9" s="333"/>
      <c r="J9" s="166">
        <f>tab!D3</f>
        <v>40817</v>
      </c>
      <c r="K9" s="166">
        <f>tab!E3</f>
        <v>41183</v>
      </c>
      <c r="L9" s="166">
        <f>tab!F3</f>
        <v>41548</v>
      </c>
      <c r="M9" s="166">
        <f>tab!G3</f>
        <v>41913</v>
      </c>
      <c r="N9" s="166">
        <f>tab!H3</f>
        <v>42278</v>
      </c>
      <c r="O9" s="93"/>
      <c r="P9" s="97"/>
    </row>
    <row r="10" spans="2:16" ht="12" customHeight="1">
      <c r="B10" s="92"/>
      <c r="C10" s="93"/>
      <c r="D10" s="110"/>
      <c r="E10" s="93"/>
      <c r="F10" s="93"/>
      <c r="G10" s="93"/>
      <c r="H10" s="165"/>
      <c r="I10" s="167"/>
      <c r="J10" s="167"/>
      <c r="K10" s="165"/>
      <c r="L10" s="165"/>
      <c r="M10" s="1068"/>
      <c r="N10" s="1068"/>
      <c r="O10" s="93"/>
      <c r="P10" s="97"/>
    </row>
    <row r="11" spans="2:16" ht="12" customHeight="1">
      <c r="B11" s="92"/>
      <c r="C11" s="138"/>
      <c r="D11" s="138"/>
      <c r="E11" s="133"/>
      <c r="F11" s="133"/>
      <c r="G11" s="133"/>
      <c r="H11" s="135"/>
      <c r="I11" s="133"/>
      <c r="J11" s="133"/>
      <c r="K11" s="135"/>
      <c r="L11" s="135"/>
      <c r="M11" s="135"/>
      <c r="N11" s="135"/>
      <c r="O11" s="133"/>
      <c r="P11" s="97"/>
    </row>
    <row r="12" spans="2:16" ht="12" customHeight="1">
      <c r="B12" s="92"/>
      <c r="C12" s="138"/>
      <c r="D12" s="174" t="s">
        <v>90</v>
      </c>
      <c r="E12" s="133"/>
      <c r="F12" s="133"/>
      <c r="G12" s="133"/>
      <c r="H12" s="135"/>
      <c r="I12" s="133"/>
      <c r="J12" s="133"/>
      <c r="K12" s="135"/>
      <c r="L12" s="135"/>
      <c r="M12" s="135"/>
      <c r="N12" s="135"/>
      <c r="O12" s="133"/>
      <c r="P12" s="97"/>
    </row>
    <row r="13" spans="2:16" ht="12" customHeight="1">
      <c r="B13" s="92"/>
      <c r="C13" s="138"/>
      <c r="D13" s="138"/>
      <c r="E13" s="133"/>
      <c r="F13" s="133"/>
      <c r="G13" s="133"/>
      <c r="H13" s="135"/>
      <c r="I13" s="133"/>
      <c r="J13" s="133"/>
      <c r="K13" s="135"/>
      <c r="L13" s="135"/>
      <c r="M13" s="135"/>
      <c r="N13" s="135"/>
      <c r="O13" s="133"/>
      <c r="P13" s="97"/>
    </row>
    <row r="14" spans="2:16">
      <c r="B14" s="92"/>
      <c r="C14" s="138"/>
      <c r="D14" s="138" t="s">
        <v>598</v>
      </c>
      <c r="E14" s="133"/>
      <c r="F14" s="133"/>
      <c r="G14" s="133"/>
      <c r="H14" s="135"/>
      <c r="I14" s="133"/>
      <c r="J14" s="133"/>
      <c r="K14" s="133"/>
      <c r="L14" s="133"/>
      <c r="M14" s="133"/>
      <c r="N14" s="133"/>
      <c r="O14" s="133"/>
      <c r="P14" s="97"/>
    </row>
    <row r="15" spans="2:16">
      <c r="B15" s="92"/>
      <c r="C15" s="138"/>
      <c r="D15" s="138"/>
      <c r="E15" s="133"/>
      <c r="F15" s="133"/>
      <c r="G15" s="133"/>
      <c r="H15" s="135"/>
      <c r="I15" s="133"/>
      <c r="J15" s="133"/>
      <c r="K15" s="133"/>
      <c r="L15" s="133"/>
      <c r="M15" s="133"/>
      <c r="N15" s="133"/>
      <c r="O15" s="133"/>
      <c r="P15" s="97"/>
    </row>
    <row r="16" spans="2:16">
      <c r="B16" s="92"/>
      <c r="C16" s="138"/>
      <c r="D16" s="213" t="s">
        <v>102</v>
      </c>
      <c r="E16" s="133"/>
      <c r="F16" s="133"/>
      <c r="G16" s="133"/>
      <c r="H16" s="135"/>
      <c r="I16" s="133"/>
      <c r="J16" s="133"/>
      <c r="K16" s="133"/>
      <c r="L16" s="133"/>
      <c r="M16" s="133"/>
      <c r="N16" s="133"/>
      <c r="O16" s="133"/>
      <c r="P16" s="97"/>
    </row>
    <row r="17" spans="2:16">
      <c r="B17" s="92"/>
      <c r="C17" s="133"/>
      <c r="D17" s="133" t="str">
        <f>+geg!C24</f>
        <v>1.</v>
      </c>
      <c r="E17" s="155">
        <f>+geg!$D$24</f>
        <v>0</v>
      </c>
      <c r="F17" s="155">
        <f>+geg!$E$24</f>
        <v>0</v>
      </c>
      <c r="G17" s="155"/>
      <c r="H17" s="135"/>
      <c r="I17" s="133"/>
      <c r="J17" s="710">
        <f>IF($E17=0,0,IF(geg!I34=0,0,VLOOKUP(geg!$I$16,MIgroep,2,FALSE)+VLOOKUP($F17,MIgroep,IF($E17="SO",3,5),FALSE)+IF((geg!J$153-geg!I$153)&gt;geg!$I$17/2,geg!J181,geg!I181)*((VLOOKUP($F17,MIgroep,IF($E17="SO",4,6),FALSE)))))*tab!$A242</f>
        <v>0</v>
      </c>
      <c r="K17" s="710">
        <f>IF($E17=0,0,IF(geg!L34=0,0,VLOOKUP(geg!$I$16,MIgroep,2,FALSE)+VLOOKUP($F17,MIgroep,IF($E17="SO",3,5),FALSE)+IF((geg!M$153-geg!L$153)&gt;geg!$I$17/2,geg!M181,geg!L181)*((VLOOKUP($F17,MIgroep,IF($E17="SO",4,6),FALSE)))))</f>
        <v>0</v>
      </c>
      <c r="L17" s="710">
        <f>IF($E17=0,0,IF(geg!O34=0,0,VLOOKUP(geg!$I$16,MIgroep,2,FALSE)+VLOOKUP($F17,MIgroep,IF($E17="SO",3,5),FALSE)+IF((geg!P$153-geg!O$153)&gt;geg!$I$17/2,geg!P181,geg!O181)*((VLOOKUP($F17,MIgroep,IF($E17="SO",4,6),FALSE)))))</f>
        <v>0</v>
      </c>
      <c r="M17" s="710">
        <f>IF($E17=0,0,IF(geg!R34=0,0,VLOOKUP(geg!$I$16,MIgroep,2,FALSE)+VLOOKUP($F17,MIgroep,IF($E17="SO",3,5),FALSE)+IF((geg!S$153-geg!R$153)&gt;geg!$I$17/2,geg!S181,geg!R181)*((VLOOKUP($F17,MIgroep,IF($E17="SO",4,6),FALSE)))))</f>
        <v>0</v>
      </c>
      <c r="N17" s="710">
        <f>IF($E17=0,0,IF(geg!U34=0,0,VLOOKUP(geg!$I$16,MIgroep,2,FALSE)+VLOOKUP($F17,MIgroep,IF($E17="SO",3,5),FALSE)+IF((geg!V$153-geg!U$153)&gt;geg!$I$17/2,geg!V181,geg!U181)*((VLOOKUP($F17,MIgroep,IF($E17="SO",4,6),FALSE)))))</f>
        <v>0</v>
      </c>
      <c r="O17" s="139"/>
      <c r="P17" s="97"/>
    </row>
    <row r="18" spans="2:16">
      <c r="B18" s="92"/>
      <c r="C18" s="133"/>
      <c r="D18" s="133" t="str">
        <f>+geg!C38</f>
        <v>2.</v>
      </c>
      <c r="E18" s="155">
        <f>+geg!$D$38</f>
        <v>0</v>
      </c>
      <c r="F18" s="155">
        <f>+geg!$E$38</f>
        <v>0</v>
      </c>
      <c r="G18" s="155"/>
      <c r="H18" s="135"/>
      <c r="I18" s="133"/>
      <c r="J18" s="710">
        <v>0</v>
      </c>
      <c r="K18" s="710">
        <v>0</v>
      </c>
      <c r="L18" s="710">
        <v>0</v>
      </c>
      <c r="M18" s="710">
        <v>0</v>
      </c>
      <c r="N18" s="710">
        <v>0</v>
      </c>
      <c r="O18" s="139"/>
      <c r="P18" s="97"/>
    </row>
    <row r="19" spans="2:16">
      <c r="B19" s="92"/>
      <c r="C19" s="133"/>
      <c r="D19" s="133" t="str">
        <f>+geg!C52</f>
        <v>3.</v>
      </c>
      <c r="E19" s="155">
        <f>+geg!$D$52</f>
        <v>0</v>
      </c>
      <c r="F19" s="155">
        <f>+geg!$E$52</f>
        <v>0</v>
      </c>
      <c r="G19" s="155"/>
      <c r="H19" s="135"/>
      <c r="I19" s="133"/>
      <c r="J19" s="710">
        <v>0</v>
      </c>
      <c r="K19" s="710">
        <v>0</v>
      </c>
      <c r="L19" s="710">
        <v>0</v>
      </c>
      <c r="M19" s="710">
        <v>0</v>
      </c>
      <c r="N19" s="710">
        <v>0</v>
      </c>
      <c r="O19" s="139"/>
      <c r="P19" s="97"/>
    </row>
    <row r="20" spans="2:16" ht="12.75" customHeight="1">
      <c r="B20" s="92"/>
      <c r="C20" s="133"/>
      <c r="D20" s="213" t="s">
        <v>836</v>
      </c>
      <c r="E20" s="155"/>
      <c r="F20" s="155"/>
      <c r="G20" s="155"/>
      <c r="H20" s="135"/>
      <c r="I20" s="133"/>
      <c r="J20" s="155"/>
      <c r="K20" s="155"/>
      <c r="L20" s="155"/>
      <c r="M20" s="155"/>
      <c r="N20" s="155"/>
      <c r="O20" s="139"/>
      <c r="P20" s="97"/>
    </row>
    <row r="21" spans="2:16">
      <c r="B21" s="92"/>
      <c r="C21" s="133"/>
      <c r="D21" s="133" t="str">
        <f>+geg!C76</f>
        <v>1.</v>
      </c>
      <c r="E21" s="155" t="str">
        <f>+geg!$D$76</f>
        <v>VSO</v>
      </c>
      <c r="F21" s="155" t="str">
        <f>+geg!$E$76</f>
        <v>ZMOK</v>
      </c>
      <c r="G21" s="155"/>
      <c r="H21" s="135"/>
      <c r="I21" s="133"/>
      <c r="J21" s="710">
        <f>IF($E21=0,0,IF(geg!I86=0,0,IF(J17=0,VLOOKUP(geg!$I$16,MIgroep,2,FALSE),0)+IF(geg!I86=0,0,IF(geg!I184=0,0,VLOOKUP($F21,MIgroep,IF($E21="SO",3,5),FALSE))+IF((geg!J$153-geg!I$153)&gt;geg!$I$17/2,geg!J191,geg!I191)*((VLOOKUP($F21,MIgroep,IF($E21="SO",4,6),FALSE))))))*tab!A242</f>
        <v>125950.41257367388</v>
      </c>
      <c r="K21" s="710">
        <f>IF($E21=0,0,IF(geg!L86=0,0,IF(K17=0,VLOOKUP(geg!$I$16,MIgroep,2,FALSE),0)+IF(geg!L86=0,0,IF(geg!L184=0,0,VLOOKUP($F21,MIgroep,IF($E21="SO",3,5),FALSE))+IF((geg!M$153-geg!L$153)&gt;geg!$I$17/2,geg!M191,geg!L191)*((VLOOKUP($F21,MIgroep,IF($E21="SO",4,6),FALSE))))))</f>
        <v>128217.52</v>
      </c>
      <c r="L21" s="710">
        <f>IF($E21=0,0,IF(geg!O86=0,0,IF(L17=0,VLOOKUP(geg!$I$16,MIgroep,2,FALSE),0)+IF(geg!O86=0,0,IF(geg!O184=0,0,VLOOKUP($F21,MIgroep,IF($E21="SO",3,5),FALSE))+IF((geg!P$153-geg!O$153)&gt;geg!$I$17/2,geg!P191,geg!O191)*((VLOOKUP($F21,MIgroep,IF($E21="SO",4,6),FALSE))))))</f>
        <v>128217.52</v>
      </c>
      <c r="M21" s="710">
        <f>IF($E21=0,0,IF(geg!R86=0,0,IF(M17=0,VLOOKUP(geg!$I$16,MIgroep,2,FALSE),0)+IF(geg!R86=0,0,IF(geg!R184=0,0,VLOOKUP($F21,MIgroep,IF($E21="SO",3,5),FALSE))+IF((geg!S$153-geg!R$153)&gt;geg!$I$17/2,geg!S191,geg!R191)*((VLOOKUP($F21,MIgroep,IF($E21="SO",4,6),FALSE))))))</f>
        <v>128217.52</v>
      </c>
      <c r="N21" s="710">
        <f>IF($E21=0,0,IF(geg!U86=0,0,IF(N17=0,VLOOKUP(geg!$I$16,MIgroep,2,FALSE),0)+IF(geg!U86=0,0,IF(geg!U184=0,0,VLOOKUP($F21,MIgroep,IF($E21="SO",3,5),FALSE))+IF((geg!V$153-geg!U$153)&gt;geg!$I$17/2,geg!V191,geg!U191)*((VLOOKUP($F21,MIgroep,IF($E21="SO",4,6),FALSE))))))</f>
        <v>128217.52</v>
      </c>
      <c r="O21" s="139"/>
      <c r="P21" s="97"/>
    </row>
    <row r="22" spans="2:16">
      <c r="B22" s="92"/>
      <c r="C22" s="133"/>
      <c r="D22" s="133" t="str">
        <f>+geg!C90</f>
        <v>2.</v>
      </c>
      <c r="E22" s="155">
        <f>+geg!$D$90</f>
        <v>0</v>
      </c>
      <c r="F22" s="155">
        <f>+geg!$E$90</f>
        <v>0</v>
      </c>
      <c r="G22" s="155"/>
      <c r="H22" s="135"/>
      <c r="I22" s="133"/>
      <c r="J22" s="710">
        <v>0</v>
      </c>
      <c r="K22" s="710">
        <v>0</v>
      </c>
      <c r="L22" s="710">
        <v>0</v>
      </c>
      <c r="M22" s="710">
        <v>0</v>
      </c>
      <c r="N22" s="710">
        <v>0</v>
      </c>
      <c r="O22" s="139"/>
      <c r="P22" s="97"/>
    </row>
    <row r="23" spans="2:16">
      <c r="B23" s="92"/>
      <c r="C23" s="133"/>
      <c r="D23" s="133" t="str">
        <f>+geg!C107</f>
        <v>3.</v>
      </c>
      <c r="E23" s="155">
        <f>+geg!$D$107</f>
        <v>0</v>
      </c>
      <c r="F23" s="155">
        <f>+geg!$E$107</f>
        <v>0</v>
      </c>
      <c r="G23" s="155"/>
      <c r="H23" s="135"/>
      <c r="I23" s="133"/>
      <c r="J23" s="710">
        <v>0</v>
      </c>
      <c r="K23" s="710">
        <v>0</v>
      </c>
      <c r="L23" s="710">
        <v>0</v>
      </c>
      <c r="M23" s="710">
        <v>0</v>
      </c>
      <c r="N23" s="710">
        <v>0</v>
      </c>
      <c r="O23" s="139"/>
      <c r="P23" s="97"/>
    </row>
    <row r="24" spans="2:16">
      <c r="B24" s="92"/>
      <c r="C24" s="133"/>
      <c r="D24" s="133"/>
      <c r="E24" s="155"/>
      <c r="F24" s="155"/>
      <c r="G24" s="155"/>
      <c r="H24" s="135"/>
      <c r="I24" s="133"/>
      <c r="J24" s="331"/>
      <c r="K24" s="331"/>
      <c r="L24" s="331"/>
      <c r="M24" s="331"/>
      <c r="N24" s="331"/>
      <c r="O24" s="139"/>
      <c r="P24" s="97"/>
    </row>
    <row r="25" spans="2:16">
      <c r="B25" s="92"/>
      <c r="C25" s="133"/>
      <c r="D25" s="155" t="s">
        <v>597</v>
      </c>
      <c r="E25" s="133"/>
      <c r="F25" s="133"/>
      <c r="G25" s="133"/>
      <c r="H25" s="135"/>
      <c r="I25" s="137"/>
      <c r="J25" s="715">
        <f>+J17+J21</f>
        <v>125950.41257367388</v>
      </c>
      <c r="K25" s="715">
        <f>+K17+K21</f>
        <v>128217.52</v>
      </c>
      <c r="L25" s="715">
        <f>+L17+L21</f>
        <v>128217.52</v>
      </c>
      <c r="M25" s="715">
        <f>+M17+M21</f>
        <v>128217.52</v>
      </c>
      <c r="N25" s="715">
        <f>+N17+N21</f>
        <v>128217.52</v>
      </c>
      <c r="O25" s="135"/>
      <c r="P25" s="97"/>
    </row>
    <row r="26" spans="2:16">
      <c r="B26" s="92"/>
      <c r="C26" s="138"/>
      <c r="D26" s="138"/>
      <c r="E26" s="133"/>
      <c r="F26" s="133"/>
      <c r="G26" s="133"/>
      <c r="H26" s="135"/>
      <c r="I26" s="133"/>
      <c r="J26" s="133"/>
      <c r="K26" s="331"/>
      <c r="L26" s="331"/>
      <c r="M26" s="331"/>
      <c r="N26" s="331"/>
      <c r="O26" s="133"/>
      <c r="P26" s="97"/>
    </row>
    <row r="27" spans="2:16">
      <c r="B27" s="92"/>
      <c r="C27" s="133"/>
      <c r="D27" s="319" t="s">
        <v>259</v>
      </c>
      <c r="E27" s="133"/>
      <c r="F27" s="133"/>
      <c r="G27" s="133"/>
      <c r="H27" s="135"/>
      <c r="I27" s="232"/>
      <c r="J27" s="232"/>
      <c r="K27" s="547"/>
      <c r="L27" s="547"/>
      <c r="M27" s="547"/>
      <c r="N27" s="547"/>
      <c r="O27" s="133"/>
      <c r="P27" s="97"/>
    </row>
    <row r="28" spans="2:16">
      <c r="B28" s="92"/>
      <c r="C28" s="133"/>
      <c r="D28" s="213" t="s">
        <v>102</v>
      </c>
      <c r="E28" s="133"/>
      <c r="F28" s="133"/>
      <c r="G28" s="133"/>
      <c r="H28" s="135"/>
      <c r="I28" s="232"/>
      <c r="J28" s="232"/>
      <c r="K28" s="547"/>
      <c r="L28" s="547"/>
      <c r="M28" s="547"/>
      <c r="N28" s="547"/>
      <c r="O28" s="133"/>
      <c r="P28" s="97"/>
    </row>
    <row r="29" spans="2:16" ht="12" customHeight="1">
      <c r="B29" s="92"/>
      <c r="C29" s="133"/>
      <c r="D29" s="133" t="s">
        <v>211</v>
      </c>
      <c r="E29" s="155">
        <f>+geg!$D$24</f>
        <v>0</v>
      </c>
      <c r="F29" s="155">
        <f>+geg!$E$24</f>
        <v>0</v>
      </c>
      <c r="G29" s="155"/>
      <c r="H29" s="170" t="s">
        <v>195</v>
      </c>
      <c r="I29" s="133"/>
      <c r="J29" s="711">
        <f>IF($H29="nee",0,VLOOKUP($F29,toeslag_geb_ond,2,FALSE))*tab!A$242</f>
        <v>0</v>
      </c>
      <c r="K29" s="711">
        <f t="shared" ref="K29:N35" si="0">IF($H29="nee",0,VLOOKUP($F29,toeslag_geb_ond,2,FALSE))</f>
        <v>0</v>
      </c>
      <c r="L29" s="711">
        <f t="shared" si="0"/>
        <v>0</v>
      </c>
      <c r="M29" s="711">
        <f t="shared" si="0"/>
        <v>0</v>
      </c>
      <c r="N29" s="711">
        <f t="shared" si="0"/>
        <v>0</v>
      </c>
      <c r="O29" s="133"/>
      <c r="P29" s="97"/>
    </row>
    <row r="30" spans="2:16" ht="12" customHeight="1">
      <c r="B30" s="92"/>
      <c r="C30" s="133"/>
      <c r="D30" s="133" t="s">
        <v>212</v>
      </c>
      <c r="E30" s="155">
        <f>+geg!$D$38</f>
        <v>0</v>
      </c>
      <c r="F30" s="155">
        <f>+geg!$E$38</f>
        <v>0</v>
      </c>
      <c r="G30" s="155"/>
      <c r="H30" s="170" t="s">
        <v>195</v>
      </c>
      <c r="I30" s="133"/>
      <c r="J30" s="711">
        <f>IF($H30="nee",0,VLOOKUP($F30,toeslag_geb_ond,2,FALSE))*tab!A$242</f>
        <v>0</v>
      </c>
      <c r="K30" s="711">
        <f t="shared" si="0"/>
        <v>0</v>
      </c>
      <c r="L30" s="711">
        <f t="shared" si="0"/>
        <v>0</v>
      </c>
      <c r="M30" s="711">
        <f t="shared" si="0"/>
        <v>0</v>
      </c>
      <c r="N30" s="711">
        <f t="shared" si="0"/>
        <v>0</v>
      </c>
      <c r="O30" s="133"/>
      <c r="P30" s="97"/>
    </row>
    <row r="31" spans="2:16" ht="12" customHeight="1">
      <c r="B31" s="92"/>
      <c r="C31" s="133"/>
      <c r="D31" s="133" t="s">
        <v>228</v>
      </c>
      <c r="E31" s="155">
        <f>+geg!$D$52</f>
        <v>0</v>
      </c>
      <c r="F31" s="155">
        <f>+geg!$E$52</f>
        <v>0</v>
      </c>
      <c r="G31" s="155"/>
      <c r="H31" s="170" t="s">
        <v>195</v>
      </c>
      <c r="I31" s="133"/>
      <c r="J31" s="711">
        <f>IF($H31="nee",0,VLOOKUP($F31,toeslag_geb_ond,2,FALSE))*tab!A$242</f>
        <v>0</v>
      </c>
      <c r="K31" s="711">
        <f t="shared" si="0"/>
        <v>0</v>
      </c>
      <c r="L31" s="711">
        <f t="shared" si="0"/>
        <v>0</v>
      </c>
      <c r="M31" s="711">
        <f t="shared" si="0"/>
        <v>0</v>
      </c>
      <c r="N31" s="711">
        <f t="shared" si="0"/>
        <v>0</v>
      </c>
      <c r="O31" s="133"/>
      <c r="P31" s="97"/>
    </row>
    <row r="32" spans="2:16" ht="12" customHeight="1">
      <c r="B32" s="92"/>
      <c r="C32" s="133"/>
      <c r="D32" s="213" t="s">
        <v>836</v>
      </c>
      <c r="E32" s="155"/>
      <c r="F32" s="155"/>
      <c r="G32" s="155"/>
      <c r="H32" s="135"/>
      <c r="I32" s="133"/>
      <c r="J32" s="155"/>
      <c r="K32" s="155"/>
      <c r="L32" s="155"/>
      <c r="M32" s="155"/>
      <c r="N32" s="155"/>
      <c r="O32" s="133"/>
      <c r="P32" s="97"/>
    </row>
    <row r="33" spans="2:16" ht="12" customHeight="1">
      <c r="B33" s="92"/>
      <c r="C33" s="133"/>
      <c r="D33" s="133" t="s">
        <v>211</v>
      </c>
      <c r="E33" s="155" t="str">
        <f>+geg!$D$76</f>
        <v>VSO</v>
      </c>
      <c r="F33" s="155" t="str">
        <f>+geg!$E$76</f>
        <v>ZMOK</v>
      </c>
      <c r="G33" s="155"/>
      <c r="H33" s="170" t="s">
        <v>195</v>
      </c>
      <c r="I33" s="133"/>
      <c r="J33" s="711">
        <f>IF($H33="nee",0,VLOOKUP($F33,toeslag_geb_ond,2,FALSE))*tab!A$242</f>
        <v>0</v>
      </c>
      <c r="K33" s="711">
        <f t="shared" si="0"/>
        <v>0</v>
      </c>
      <c r="L33" s="711">
        <f t="shared" si="0"/>
        <v>0</v>
      </c>
      <c r="M33" s="711">
        <f t="shared" si="0"/>
        <v>0</v>
      </c>
      <c r="N33" s="711">
        <f t="shared" si="0"/>
        <v>0</v>
      </c>
      <c r="O33" s="133"/>
      <c r="P33" s="97"/>
    </row>
    <row r="34" spans="2:16" ht="12" customHeight="1">
      <c r="B34" s="92"/>
      <c r="C34" s="133"/>
      <c r="D34" s="133" t="s">
        <v>212</v>
      </c>
      <c r="E34" s="155">
        <f>+geg!$D$90</f>
        <v>0</v>
      </c>
      <c r="F34" s="155">
        <f>+geg!$E$90</f>
        <v>0</v>
      </c>
      <c r="G34" s="155"/>
      <c r="H34" s="170" t="s">
        <v>195</v>
      </c>
      <c r="I34" s="133"/>
      <c r="J34" s="711">
        <f>IF($H34="nee",0,VLOOKUP($F34,toeslag_geb_ond,2,FALSE))*tab!A$242</f>
        <v>0</v>
      </c>
      <c r="K34" s="711">
        <f t="shared" si="0"/>
        <v>0</v>
      </c>
      <c r="L34" s="711">
        <f t="shared" si="0"/>
        <v>0</v>
      </c>
      <c r="M34" s="711">
        <f t="shared" si="0"/>
        <v>0</v>
      </c>
      <c r="N34" s="711">
        <f t="shared" si="0"/>
        <v>0</v>
      </c>
      <c r="O34" s="133"/>
      <c r="P34" s="97"/>
    </row>
    <row r="35" spans="2:16" ht="12" customHeight="1">
      <c r="B35" s="92"/>
      <c r="C35" s="133"/>
      <c r="D35" s="133" t="s">
        <v>228</v>
      </c>
      <c r="E35" s="155">
        <f>+geg!$D$107</f>
        <v>0</v>
      </c>
      <c r="F35" s="155">
        <f>+geg!$E$107</f>
        <v>0</v>
      </c>
      <c r="G35" s="155"/>
      <c r="H35" s="170" t="s">
        <v>195</v>
      </c>
      <c r="I35" s="133"/>
      <c r="J35" s="711">
        <f>IF($H35="nee",0,VLOOKUP($F35,toeslag_geb_ond,2,FALSE))*tab!A$242</f>
        <v>0</v>
      </c>
      <c r="K35" s="711">
        <f t="shared" si="0"/>
        <v>0</v>
      </c>
      <c r="L35" s="711">
        <f t="shared" si="0"/>
        <v>0</v>
      </c>
      <c r="M35" s="711">
        <f t="shared" si="0"/>
        <v>0</v>
      </c>
      <c r="N35" s="711">
        <f t="shared" si="0"/>
        <v>0</v>
      </c>
      <c r="O35" s="133"/>
      <c r="P35" s="97"/>
    </row>
    <row r="36" spans="2:16" ht="12" customHeight="1">
      <c r="B36" s="92"/>
      <c r="C36" s="133"/>
      <c r="D36" s="133"/>
      <c r="E36" s="155"/>
      <c r="F36" s="155"/>
      <c r="G36" s="155"/>
      <c r="H36" s="331"/>
      <c r="I36" s="133"/>
      <c r="J36" s="331"/>
      <c r="K36" s="331"/>
      <c r="L36" s="331"/>
      <c r="M36" s="331"/>
      <c r="N36" s="331"/>
      <c r="O36" s="133"/>
      <c r="P36" s="97"/>
    </row>
    <row r="37" spans="2:16" ht="12" customHeight="1">
      <c r="B37" s="92"/>
      <c r="C37" s="133"/>
      <c r="D37" s="133"/>
      <c r="E37" s="213"/>
      <c r="F37" s="213"/>
      <c r="G37" s="213"/>
      <c r="H37" s="238"/>
      <c r="I37" s="295"/>
      <c r="J37" s="716">
        <f>SUM(J29:J35)</f>
        <v>0</v>
      </c>
      <c r="K37" s="716">
        <f>SUM(K29:K35)</f>
        <v>0</v>
      </c>
      <c r="L37" s="716">
        <f>SUM(L29:L35)</f>
        <v>0</v>
      </c>
      <c r="M37" s="716">
        <f>SUM(M29:M35)</f>
        <v>0</v>
      </c>
      <c r="N37" s="716">
        <f>SUM(N29:N35)</f>
        <v>0</v>
      </c>
      <c r="O37" s="133"/>
      <c r="P37" s="97"/>
    </row>
    <row r="38" spans="2:16" ht="12" customHeight="1">
      <c r="B38" s="92"/>
      <c r="C38" s="133"/>
      <c r="D38" s="184"/>
      <c r="E38" s="186"/>
      <c r="F38" s="1099"/>
      <c r="G38" s="1099"/>
      <c r="H38" s="187"/>
      <c r="I38" s="186"/>
      <c r="J38" s="186"/>
      <c r="K38" s="187"/>
      <c r="L38" s="187"/>
      <c r="M38" s="187"/>
      <c r="N38" s="187"/>
      <c r="O38" s="133"/>
      <c r="P38" s="97"/>
    </row>
    <row r="39" spans="2:16" ht="12" customHeight="1">
      <c r="B39" s="92"/>
      <c r="C39" s="133"/>
      <c r="D39" s="125"/>
      <c r="E39" s="127"/>
      <c r="F39" s="1098"/>
      <c r="G39" s="1098"/>
      <c r="H39" s="129"/>
      <c r="I39" s="127"/>
      <c r="J39" s="127"/>
      <c r="K39" s="129"/>
      <c r="L39" s="129"/>
      <c r="M39" s="129"/>
      <c r="N39" s="129"/>
      <c r="O39" s="133"/>
      <c r="P39" s="97"/>
    </row>
    <row r="40" spans="2:16" ht="12" customHeight="1">
      <c r="B40" s="92"/>
      <c r="C40" s="138"/>
      <c r="D40" s="138" t="s">
        <v>599</v>
      </c>
      <c r="E40" s="133"/>
      <c r="F40" s="133"/>
      <c r="G40" s="133"/>
      <c r="H40" s="135"/>
      <c r="I40" s="133"/>
      <c r="J40" s="133"/>
      <c r="K40" s="331"/>
      <c r="L40" s="331"/>
      <c r="M40" s="331"/>
      <c r="N40" s="331"/>
      <c r="O40" s="133"/>
      <c r="P40" s="97"/>
    </row>
    <row r="41" spans="2:16" ht="12" customHeight="1">
      <c r="B41" s="92"/>
      <c r="C41" s="138"/>
      <c r="D41" s="138"/>
      <c r="E41" s="133"/>
      <c r="F41" s="133"/>
      <c r="G41" s="133"/>
      <c r="H41" s="135"/>
      <c r="I41" s="133"/>
      <c r="J41" s="133"/>
      <c r="K41" s="331"/>
      <c r="L41" s="331"/>
      <c r="M41" s="331"/>
      <c r="N41" s="331"/>
      <c r="O41" s="133"/>
      <c r="P41" s="97"/>
    </row>
    <row r="42" spans="2:16" ht="12" customHeight="1">
      <c r="B42" s="92"/>
      <c r="C42" s="138"/>
      <c r="D42" s="213" t="s">
        <v>102</v>
      </c>
      <c r="E42" s="133"/>
      <c r="F42" s="133"/>
      <c r="G42" s="133"/>
      <c r="H42" s="135"/>
      <c r="I42" s="133"/>
      <c r="J42" s="133"/>
      <c r="K42" s="331"/>
      <c r="L42" s="331"/>
      <c r="M42" s="331"/>
      <c r="N42" s="331"/>
      <c r="O42" s="133"/>
      <c r="P42" s="97"/>
    </row>
    <row r="43" spans="2:16" ht="12" customHeight="1">
      <c r="B43" s="92"/>
      <c r="C43" s="138"/>
      <c r="D43" s="133" t="s">
        <v>211</v>
      </c>
      <c r="E43" s="155">
        <f>+geg!$D$24</f>
        <v>0</v>
      </c>
      <c r="F43" s="155">
        <f>+geg!$E$24</f>
        <v>0</v>
      </c>
      <c r="G43" s="155"/>
      <c r="H43" s="135"/>
      <c r="I43" s="133"/>
      <c r="J43" s="711">
        <f>IF($E43=0,0,IF(geg!I27=0,0,VLOOKUP(geg!$I$16,MIleerling,2,FALSE)+VLOOKUP($F43,MIleerling,IF($E43="SO",3,5),FALSE)+IF((geg!J$153-geg!I$153)&gt;geg!$I$17/2,(geg!J27+geg!J29),(geg!I27+geg!I29))*((VLOOKUP($F43,MIleerling,IF($E43="SO",4,6),FALSE)))))*tab!A242</f>
        <v>0</v>
      </c>
      <c r="K43" s="711">
        <f>IF($E43=0,0,IF(geg!L27=0,0,VLOOKUP(geg!$I$16,MIleerling,2,FALSE)+VLOOKUP($F43,MIleerling,IF($E43="SO",3,5),FALSE)+IF((geg!M$153-geg!L$153)&gt;geg!$I$17/2,(geg!M27+geg!M29),(geg!L27+geg!L29))*((VLOOKUP($F43,MIleerling,IF($E43="SO",4,6),FALSE)))))</f>
        <v>0</v>
      </c>
      <c r="L43" s="711">
        <f>IF($E43=0,0,IF(geg!O27=0,0,VLOOKUP(geg!$I$16,MIleerling,2,FALSE)+VLOOKUP($F43,MIleerling,IF($E43="SO",3,5),FALSE)+IF((geg!P$153-geg!O$153)&gt;geg!$I$17/2,(geg!P27+geg!P29),(geg!O27+geg!O29))*((VLOOKUP($F43,MIleerling,IF($E43="SO",4,6),FALSE)))))</f>
        <v>0</v>
      </c>
      <c r="M43" s="711">
        <f>IF($E43=0,0,IF(geg!R27=0,0,VLOOKUP(geg!$I$16,MIleerling,2,FALSE)+VLOOKUP($F43,MIleerling,IF($E43="SO",3,5),FALSE)+IF((geg!S$153-geg!R$153)&gt;geg!$I$17/2,(geg!S27+geg!S29),(geg!R27+geg!R29))*((VLOOKUP($F43,MIleerling,IF($E43="SO",4,6),FALSE)))))</f>
        <v>0</v>
      </c>
      <c r="N43" s="711">
        <f>IF($E43=0,0,IF(geg!U27=0,0,VLOOKUP(geg!$I$16,MIleerling,2,FALSE)+VLOOKUP($F43,MIleerling,IF($E43="SO",3,5),FALSE)+IF((geg!V$153-geg!U$153)&gt;geg!$I$17/2,(geg!V27+geg!V29),(geg!U27+geg!U29))*((VLOOKUP($F43,MIleerling,IF($E43="SO",4,6),FALSE)))))</f>
        <v>0</v>
      </c>
      <c r="O43" s="133"/>
      <c r="P43" s="97"/>
    </row>
    <row r="44" spans="2:16" ht="12" customHeight="1">
      <c r="B44" s="92"/>
      <c r="C44" s="138"/>
      <c r="D44" s="133" t="s">
        <v>212</v>
      </c>
      <c r="E44" s="155">
        <f>+geg!$D$38</f>
        <v>0</v>
      </c>
      <c r="F44" s="155">
        <f>+geg!$E$38</f>
        <v>0</v>
      </c>
      <c r="G44" s="155"/>
      <c r="H44" s="135"/>
      <c r="I44" s="133"/>
      <c r="J44" s="711">
        <f>IF($E44=0,0,IF(geg!I41=0,0,IF(geg!G38="ja",0,VLOOKUP($F44,MIleerling,IF($E44="SO",3,5),FALSE))+IF((geg!J$153-geg!I$153)&gt;geg!$I$17/2,(geg!J41+geg!J43),(geg!I41+geg!I43))*((VLOOKUP($F44,MIleerling,IF($E44="SO",4,6),FALSE)))))*tab!A242</f>
        <v>0</v>
      </c>
      <c r="K44" s="711">
        <f>IF($E44=0,0,IF(geg!L41=0,0,IF(geg!G38="ja",0,VLOOKUP($F44,MIleerling,IF($E44="SO",3,5),FALSE))+IF((geg!M$153-geg!L$153)&gt;geg!$I$17/2,(geg!M41+geg!M43),(geg!L41+geg!L43))*((VLOOKUP($F44,MIleerling,IF($E44="SO",4,6),FALSE)))))</f>
        <v>0</v>
      </c>
      <c r="L44" s="711">
        <f>IF($E44=0,0,IF(geg!O41=0,0,IF(geg!G38="ja",0,VLOOKUP($F44,MIleerling,IF($E44="SO",3,5),FALSE))+IF((geg!P$153-geg!O$153)&gt;geg!$I$17/2,(geg!P41+geg!P43),(geg!O41+geg!O43))*((VLOOKUP($F44,MIleerling,IF($E44="SO",4,6),FALSE)))))</f>
        <v>0</v>
      </c>
      <c r="M44" s="711">
        <f>IF($E44=0,0,IF(geg!R41=0,0,IF(geg!G38="ja",0,VLOOKUP($F44,MIleerling,IF($E44="SO",3,5),FALSE))+IF((geg!S$153-geg!R$153)&gt;geg!$I$17/2,(geg!S41+geg!S43),(geg!R41+geg!R43))*((VLOOKUP($F44,MIleerling,IF($E44="SO",4,6),FALSE)))))</f>
        <v>0</v>
      </c>
      <c r="N44" s="711">
        <f>IF($E44=0,0,IF(geg!U41=0,0,IF(geg!G38="ja",0,VLOOKUP($F44,MIleerling,IF($E44="SO",3,5),FALSE))+IF((geg!V$153-geg!U$153)&gt;geg!$I$17/2,(geg!V41+geg!V43),(geg!U41+geg!U43))*((VLOOKUP($F44,MIleerling,IF($E44="SO",4,6),FALSE)))))</f>
        <v>0</v>
      </c>
      <c r="O44" s="133"/>
      <c r="P44" s="97"/>
    </row>
    <row r="45" spans="2:16" ht="12" customHeight="1">
      <c r="B45" s="92"/>
      <c r="C45" s="138"/>
      <c r="D45" s="133" t="s">
        <v>228</v>
      </c>
      <c r="E45" s="155">
        <f>+geg!$D$52</f>
        <v>0</v>
      </c>
      <c r="F45" s="155">
        <f>+geg!$E$52</f>
        <v>0</v>
      </c>
      <c r="G45" s="155"/>
      <c r="H45" s="135"/>
      <c r="I45" s="133"/>
      <c r="J45" s="711">
        <f>IF($E45=0,0,IF(geg!I55=0,0,IF(geg!G52="ja",0,VLOOKUP($F45,MIleerling,IF($E45="SO",3,5),FALSE))+IF((geg!J$153-geg!I$153)&gt;geg!$I$17/2,(geg!J55+geg!J57),(geg!I55+geg!I57))*((VLOOKUP($F45,MIleerling,IF($E45="SO",4,6),FALSE)))))*tab!A242</f>
        <v>0</v>
      </c>
      <c r="K45" s="711">
        <f>IF($E45=0,0,IF(geg!L55=0,0,IF(geg!G52="ja",0,VLOOKUP($F45,MIleerling,IF($E45="SO",3,5),FALSE))+IF((geg!M$153-geg!L$153)&gt;geg!$I$17/2,(geg!M55+geg!M57),(geg!L55+geg!L57))*((VLOOKUP($F45,MIleerling,IF($E45="SO",4,6),FALSE)))))</f>
        <v>0</v>
      </c>
      <c r="L45" s="711">
        <f>IF($E45=0,0,IF(geg!O55=0,0,IF(geg!G52="ja",0,VLOOKUP($F45,MIleerling,IF($E45="SO",3,5),FALSE))+IF((geg!P$153-geg!O$153)&gt;geg!$I$17/2,(geg!P55+geg!P57),(geg!O55+geg!O57))*((VLOOKUP($F45,MIleerling,IF($E45="SO",4,6),FALSE)))))</f>
        <v>0</v>
      </c>
      <c r="M45" s="711">
        <f>IF($E45=0,0,IF(geg!R55=0,0,IF(geg!G52="ja",0,VLOOKUP($F45,MIleerling,IF($E45="SO",3,5),FALSE))+IF((geg!S$153-geg!R$153)&gt;geg!$I$17/2,(geg!S55+geg!S57),(geg!R55+geg!R57))*((VLOOKUP($F45,MIleerling,IF($E45="SO",4,6),FALSE)))))</f>
        <v>0</v>
      </c>
      <c r="N45" s="711">
        <f>IF($E45=0,0,IF(geg!U55=0,0,IF(geg!G52="ja",0,VLOOKUP($F45,MIleerling,IF($E45="SO",3,5),FALSE))+IF((geg!V$153-geg!U$153)&gt;geg!$I$17/2,(geg!V55+geg!V57),(geg!U55+geg!U57))*((VLOOKUP($F45,MIleerling,IF($E45="SO",4,6),FALSE)))))</f>
        <v>0</v>
      </c>
      <c r="O45" s="133"/>
      <c r="P45" s="97"/>
    </row>
    <row r="46" spans="2:16" ht="12" customHeight="1">
      <c r="B46" s="92"/>
      <c r="C46" s="138"/>
      <c r="D46" s="213" t="s">
        <v>836</v>
      </c>
      <c r="E46" s="155"/>
      <c r="F46" s="155"/>
      <c r="G46" s="155"/>
      <c r="H46" s="135"/>
      <c r="I46" s="133"/>
      <c r="J46" s="155"/>
      <c r="K46" s="155"/>
      <c r="L46" s="155"/>
      <c r="M46" s="155"/>
      <c r="N46" s="155"/>
      <c r="O46" s="133"/>
      <c r="P46" s="97"/>
    </row>
    <row r="47" spans="2:16" ht="12" customHeight="1">
      <c r="B47" s="92"/>
      <c r="C47" s="138"/>
      <c r="D47" s="133" t="s">
        <v>211</v>
      </c>
      <c r="E47" s="155" t="str">
        <f>+geg!$D$76</f>
        <v>VSO</v>
      </c>
      <c r="F47" s="155" t="str">
        <f>+geg!$E$76</f>
        <v>ZMOK</v>
      </c>
      <c r="G47" s="155"/>
      <c r="H47" s="135"/>
      <c r="I47" s="133"/>
      <c r="J47" s="711">
        <f>IF($E47=0,0,IF(geg!I79=0,0,IF(J43=0,VLOOKUP(geg!$I$16,MIleerling,2,FALSE),0)+IF(geg!G76="ja",0,VLOOKUP($F47,MIleerling,IF($E47="SO",3,5),FALSE))+IF((geg!J$153-geg!I$153)&gt;geg!$I$17/2,(geg!J79+geg!J81),(geg!I79+geg!I81))*((VLOOKUP($F47,MIleerling,IF($E47="SO",4,6),FALSE)))))*tab!A242</f>
        <v>188494.40078585464</v>
      </c>
      <c r="K47" s="711">
        <f>IF($E47=0,0,IF(geg!L79=0,0,IF(K43=0,VLOOKUP(geg!$I$16,MIleerling,2,FALSE),0)+IF(geg!G76="ja",0,VLOOKUP($F47,MIleerling,IF($E47="SO",3,5),FALSE))+IF((geg!M$153-geg!L$153)&gt;geg!$I$17/2,(geg!M79+geg!M81),(geg!L79+geg!L81))*((VLOOKUP($F47,MIleerling,IF($E47="SO",4,6),FALSE)))))</f>
        <v>191887.30000000002</v>
      </c>
      <c r="L47" s="711">
        <f>IF($E47=0,0,IF(geg!O79=0,0,IF(L43=0,VLOOKUP(geg!$I$16,MIleerling,2,FALSE),0)+IF(geg!O79=0,0,IF(geg!G76="ja",0,VLOOKUP($F47,MIleerling,IF($E47="SO",3,5),FALSE))+IF((geg!P$153-geg!O$153)&gt;geg!$I$17/2,(geg!P79+geg!P81),(geg!O79+geg!O81))*((VLOOKUP($F47,MIleerling,IF($E47="SO",4,6),FALSE))))))</f>
        <v>191887.30000000002</v>
      </c>
      <c r="M47" s="711">
        <f>IF($E47=0,0,IF(geg!R79=0,0,IF(M43=0,VLOOKUP(geg!$I$16,MIleerling,2,FALSE),0)+IF(geg!R79=0,0,IF(geg!G76="ja",0,VLOOKUP($F47,MIleerling,IF($E47="SO",3,5),FALSE))+IF((geg!S$153-geg!R$153)&gt;geg!$I$17/2,(geg!S79+geg!S81),(geg!R79+geg!R81))*((VLOOKUP($F47,MIleerling,IF($E47="SO",4,6),FALSE))))))</f>
        <v>191887.30000000002</v>
      </c>
      <c r="N47" s="711">
        <f>IF($E47=0,0,IF(geg!U79=0,0,IF(N43=0,VLOOKUP(geg!$I$16,MIleerling,2,FALSE),0)+IF(geg!U79=0,0,IF(geg!G76="ja",0,VLOOKUP($F47,MIleerling,IF($E47="SO",3,5),FALSE))+IF((geg!V$153-geg!U$153)&gt;geg!$I$17/2,(geg!V79+geg!V81),(geg!U79+geg!U81))*((VLOOKUP($F47,MIleerling,IF($E47="SO",4,6),FALSE))))))</f>
        <v>191887.30000000002</v>
      </c>
      <c r="O47" s="133"/>
      <c r="P47" s="97"/>
    </row>
    <row r="48" spans="2:16" ht="12" customHeight="1">
      <c r="B48" s="92"/>
      <c r="C48" s="138"/>
      <c r="D48" s="133" t="s">
        <v>212</v>
      </c>
      <c r="E48" s="155">
        <f>+geg!$D$90</f>
        <v>0</v>
      </c>
      <c r="F48" s="155">
        <f>+geg!$E$90</f>
        <v>0</v>
      </c>
      <c r="G48" s="155"/>
      <c r="H48" s="135"/>
      <c r="I48" s="133"/>
      <c r="J48" s="711">
        <f>IF($E48=0,0,IF(geg!I93=0,0,IF(geg!G90="ja",0,VLOOKUP($F48,MIleerling,IF($E48="SO",3,5),FALSE))+IF((geg!J$153-geg!I$153)&gt;geg!$I$17/2,(geg!J93+geg!J95),(geg!I93+geg!I95))*((VLOOKUP($F48,MIleerling,IF($E48="SO",4,6),FALSE)))))*tab!A242</f>
        <v>0</v>
      </c>
      <c r="K48" s="711">
        <f>IF($E48=0,0,IF(geg!L93=0,0,IF(geg!G90="ja",0,VLOOKUP($F48,MIleerling,IF($E48="SO",3,5),FALSE))+IF((geg!M$153-geg!L$153)&gt;geg!$I$17/2,(geg!M93+geg!M95),(geg!L93+geg!L95))*((VLOOKUP($F48,MIleerling,IF($E48="SO",4,6),FALSE)))))</f>
        <v>0</v>
      </c>
      <c r="L48" s="711">
        <f>IF($E48=0,0,IF(geg!O93=0,0,IF(geg!G90="ja",0,VLOOKUP($F48,MIleerling,IF($E48="SO",3,5),FALSE))+IF((geg!P$153-geg!O$153)&gt;geg!$I$17/2,(geg!P93+geg!P95),(geg!O93+geg!O95))*((VLOOKUP($F48,MIleerling,IF($E48="SO",4,6),FALSE)))))</f>
        <v>0</v>
      </c>
      <c r="M48" s="711">
        <f>IF($E48=0,0,IF(geg!R93=0,0,IF(geg!G90="ja",0,VLOOKUP($F48,MIleerling,IF($E48="SO",3,5),FALSE))+IF((geg!S$153-geg!R$153)&gt;geg!$I$17/2,(geg!S93+geg!S95),(geg!R93+geg!R95))*((VLOOKUP($F48,MIleerling,IF($E48="SO",4,6),FALSE)))))</f>
        <v>0</v>
      </c>
      <c r="N48" s="711">
        <f>IF($E48=0,0,IF(geg!U93=0,0,IF(geg!G90="ja",0,VLOOKUP($F48,MIleerling,IF($E48="SO",3,5),FALSE))+IF((geg!V$153-geg!U$153)&gt;geg!$I$17/2,(geg!V93+geg!V95),(geg!U93+geg!U95))*((VLOOKUP($F48,MIleerling,IF($E48="SO",4,6),FALSE)))))</f>
        <v>0</v>
      </c>
      <c r="O48" s="133"/>
      <c r="P48" s="97"/>
    </row>
    <row r="49" spans="2:16" ht="12" customHeight="1">
      <c r="B49" s="92"/>
      <c r="C49" s="138"/>
      <c r="D49" s="133" t="s">
        <v>228</v>
      </c>
      <c r="E49" s="155">
        <f>+geg!$D$107</f>
        <v>0</v>
      </c>
      <c r="F49" s="155">
        <f>+geg!$E$107</f>
        <v>0</v>
      </c>
      <c r="G49" s="155"/>
      <c r="H49" s="135"/>
      <c r="I49" s="133"/>
      <c r="J49" s="711">
        <f>IF($E49=0,0,IF(geg!I110=0,0,IF(geg!G107="ja",0,VLOOKUP($F49,MIleerling,IF($E49="SO",3,5),FALSE))+IF((geg!J$153-geg!K$153)&gt;geg!$I$17/2,(geg!J110+geg!J112),(geg!K110+geg!K112))*((VLOOKUP($F49,MIleerling,IF($E49="SO",4,6),FALSE)))))*tab!A242</f>
        <v>0</v>
      </c>
      <c r="K49" s="711">
        <f>IF($E49=0,0,IF(geg!L110=0,0,IF(geg!G107="ja",0,VLOOKUP($F49,MIleerling,IF($E49="SO",3,5),FALSE))+IF((geg!M$153-geg!L$153)&gt;geg!$I$17/2,(geg!M110+geg!M112),(geg!L110+geg!L112))*((VLOOKUP($F49,MIleerling,IF($E49="SO",4,6),FALSE)))))</f>
        <v>0</v>
      </c>
      <c r="L49" s="711">
        <f>IF($E49=0,0,IF(geg!O110=0,0,IF(geg!G107="ja",0,VLOOKUP($F49,MIleerling,IF($E49="SO",3,5),FALSE))+IF((geg!P$153-geg!O$153)&gt;geg!$I$17/2,(geg!P110+geg!P112),(geg!O110+geg!O112))*((VLOOKUP($F49,MIleerling,IF($E49="SO",4,6),FALSE)))))</f>
        <v>0</v>
      </c>
      <c r="M49" s="711">
        <f>IF($E49=0,0,IF(geg!R110=0,0,IF(geg!G107="ja",0,VLOOKUP($F49,MIleerling,IF($E49="SO",3,5),FALSE))+IF((geg!S$153-geg!R$153)&gt;geg!$I$17/2,(geg!S110+geg!S112),(geg!R110+geg!R112))*((VLOOKUP($F49,MIleerling,IF($E49="SO",4,6),FALSE)))))</f>
        <v>0</v>
      </c>
      <c r="N49" s="711">
        <f>IF($E49=0,0,IF(geg!U110=0,0,IF(geg!G107="ja",0,VLOOKUP($F49,MIleerling,IF($E49="SO",3,5),FALSE))+IF((geg!V$153-geg!U$153)&gt;geg!$I$17/2,(geg!V110+geg!V112),(geg!U110+geg!U112))*((VLOOKUP($F49,MIleerling,IF($E49="SO",4,6),FALSE)))))</f>
        <v>0</v>
      </c>
      <c r="O49" s="133"/>
      <c r="P49" s="97"/>
    </row>
    <row r="50" spans="2:16" ht="12" customHeight="1">
      <c r="B50" s="92"/>
      <c r="C50" s="138"/>
      <c r="D50" s="133"/>
      <c r="E50" s="155"/>
      <c r="F50" s="155"/>
      <c r="G50" s="155"/>
      <c r="H50" s="135"/>
      <c r="I50" s="133"/>
      <c r="J50" s="331"/>
      <c r="K50" s="331"/>
      <c r="L50" s="331"/>
      <c r="M50" s="331"/>
      <c r="N50" s="331"/>
      <c r="O50" s="133"/>
      <c r="P50" s="97"/>
    </row>
    <row r="51" spans="2:16" s="256" customFormat="1" ht="12" customHeight="1">
      <c r="B51" s="269"/>
      <c r="C51" s="213"/>
      <c r="D51" s="292" t="s">
        <v>597</v>
      </c>
      <c r="E51" s="213"/>
      <c r="F51" s="213"/>
      <c r="G51" s="213"/>
      <c r="H51" s="238"/>
      <c r="I51" s="295"/>
      <c r="J51" s="716">
        <f>SUM(J43:J49)</f>
        <v>188494.40078585464</v>
      </c>
      <c r="K51" s="716">
        <f>SUM(K43:K49)</f>
        <v>191887.30000000002</v>
      </c>
      <c r="L51" s="716">
        <f>SUM(L43:L49)</f>
        <v>191887.30000000002</v>
      </c>
      <c r="M51" s="716">
        <f>SUM(M43:M49)</f>
        <v>191887.30000000002</v>
      </c>
      <c r="N51" s="716">
        <f>SUM(N43:N49)</f>
        <v>191887.30000000002</v>
      </c>
      <c r="O51" s="213"/>
      <c r="P51" s="270"/>
    </row>
    <row r="52" spans="2:16" ht="12" customHeight="1">
      <c r="B52" s="92"/>
      <c r="C52" s="133"/>
      <c r="D52" s="319"/>
      <c r="E52" s="213"/>
      <c r="F52" s="213"/>
      <c r="G52" s="213"/>
      <c r="H52" s="238"/>
      <c r="I52" s="707"/>
      <c r="J52" s="707"/>
      <c r="K52" s="331"/>
      <c r="L52" s="331"/>
      <c r="M52" s="331"/>
      <c r="N52" s="331"/>
      <c r="O52" s="133"/>
      <c r="P52" s="97"/>
    </row>
    <row r="53" spans="2:16" ht="12" customHeight="1">
      <c r="B53" s="92"/>
      <c r="C53" s="133"/>
      <c r="D53" s="319" t="s">
        <v>252</v>
      </c>
      <c r="E53" s="213"/>
      <c r="F53" s="213"/>
      <c r="G53" s="213"/>
      <c r="H53" s="238"/>
      <c r="I53" s="707"/>
      <c r="J53" s="343">
        <f>+J25+J37+J51</f>
        <v>314444.81335952855</v>
      </c>
      <c r="K53" s="343">
        <f>+K25+K37+K51</f>
        <v>320104.82</v>
      </c>
      <c r="L53" s="343">
        <f>+L25+L37+L51</f>
        <v>320104.82</v>
      </c>
      <c r="M53" s="343">
        <f>+M25+M37+M51</f>
        <v>320104.82</v>
      </c>
      <c r="N53" s="343">
        <f>+N25+N37+N51</f>
        <v>320104.82</v>
      </c>
      <c r="O53" s="133"/>
      <c r="P53" s="97"/>
    </row>
    <row r="54" spans="2:16" ht="12" customHeight="1">
      <c r="B54" s="92"/>
      <c r="C54" s="133"/>
      <c r="D54" s="184"/>
      <c r="E54" s="186"/>
      <c r="F54" s="1099"/>
      <c r="G54" s="1099"/>
      <c r="H54" s="187"/>
      <c r="I54" s="186"/>
      <c r="J54" s="186"/>
      <c r="K54" s="187"/>
      <c r="L54" s="187"/>
      <c r="M54" s="187"/>
      <c r="N54" s="187"/>
      <c r="O54" s="133"/>
      <c r="P54" s="97"/>
    </row>
    <row r="55" spans="2:16" ht="12" customHeight="1">
      <c r="B55" s="92"/>
      <c r="C55" s="133"/>
      <c r="D55" s="125"/>
      <c r="E55" s="127"/>
      <c r="F55" s="1098"/>
      <c r="G55" s="1098"/>
      <c r="H55" s="129"/>
      <c r="I55" s="127"/>
      <c r="J55" s="127"/>
      <c r="K55" s="129"/>
      <c r="L55" s="129"/>
      <c r="M55" s="129"/>
      <c r="N55" s="129"/>
      <c r="O55" s="133"/>
      <c r="P55" s="97"/>
    </row>
    <row r="56" spans="2:16" ht="12" customHeight="1">
      <c r="B56" s="92"/>
      <c r="C56" s="138"/>
      <c r="D56" s="138" t="s">
        <v>600</v>
      </c>
      <c r="E56" s="133"/>
      <c r="F56" s="133"/>
      <c r="G56" s="133"/>
      <c r="H56" s="135"/>
      <c r="I56" s="133"/>
      <c r="J56" s="133"/>
      <c r="K56" s="331"/>
      <c r="L56" s="331"/>
      <c r="M56" s="331"/>
      <c r="N56" s="331"/>
      <c r="O56" s="133"/>
      <c r="P56" s="97"/>
    </row>
    <row r="57" spans="2:16" ht="12" customHeight="1">
      <c r="B57" s="92"/>
      <c r="C57" s="138"/>
      <c r="D57" s="138"/>
      <c r="E57" s="133"/>
      <c r="F57" s="133"/>
      <c r="G57" s="133"/>
      <c r="H57" s="135"/>
      <c r="I57" s="133"/>
      <c r="J57" s="133"/>
      <c r="K57" s="331"/>
      <c r="L57" s="331"/>
      <c r="M57" s="331"/>
      <c r="N57" s="331"/>
      <c r="O57" s="133"/>
      <c r="P57" s="97"/>
    </row>
    <row r="58" spans="2:16" ht="12" customHeight="1">
      <c r="B58" s="92"/>
      <c r="C58" s="133"/>
      <c r="D58" s="138" t="s">
        <v>253</v>
      </c>
      <c r="E58" s="133"/>
      <c r="F58" s="133"/>
      <c r="G58" s="133"/>
      <c r="H58" s="135"/>
      <c r="I58" s="133"/>
      <c r="J58" s="133"/>
      <c r="K58" s="547"/>
      <c r="L58" s="547"/>
      <c r="M58" s="547"/>
      <c r="N58" s="547"/>
      <c r="O58" s="133"/>
      <c r="P58" s="97"/>
    </row>
    <row r="59" spans="2:16" ht="12" customHeight="1">
      <c r="B59" s="92"/>
      <c r="C59" s="133"/>
      <c r="D59" s="213" t="s">
        <v>102</v>
      </c>
      <c r="E59" s="133"/>
      <c r="F59" s="133"/>
      <c r="G59" s="133"/>
      <c r="H59" s="135"/>
      <c r="I59" s="133"/>
      <c r="J59" s="133"/>
      <c r="K59" s="547"/>
      <c r="L59" s="547"/>
      <c r="M59" s="547"/>
      <c r="N59" s="547"/>
      <c r="O59" s="133"/>
      <c r="P59" s="97"/>
    </row>
    <row r="60" spans="2:16" ht="12" customHeight="1">
      <c r="B60" s="92"/>
      <c r="C60" s="133"/>
      <c r="D60" s="133" t="s">
        <v>211</v>
      </c>
      <c r="E60" s="155">
        <f>+geg!$D$24</f>
        <v>0</v>
      </c>
      <c r="F60" s="155">
        <f>+geg!$E$24</f>
        <v>0</v>
      </c>
      <c r="G60" s="155"/>
      <c r="H60" s="170" t="s">
        <v>195</v>
      </c>
      <c r="I60" s="133"/>
      <c r="J60" s="711">
        <f>IF($E60=0,0,IF($H60="nee",0,tab!$G$293))*tab!A$242</f>
        <v>0</v>
      </c>
      <c r="K60" s="711">
        <f>IF($E60=0,0,IF($H60="nee",0,tab!$G$293))</f>
        <v>0</v>
      </c>
      <c r="L60" s="711">
        <f>IF($E60=0,0,IF($H60="nee",0,tab!$G$293))</f>
        <v>0</v>
      </c>
      <c r="M60" s="711">
        <f>IF($E60=0,0,IF($H60="nee",0,tab!$G$293))</f>
        <v>0</v>
      </c>
      <c r="N60" s="711">
        <f>IF($E60=0,0,IF($H60="nee",0,tab!$G$293))</f>
        <v>0</v>
      </c>
      <c r="O60" s="133"/>
      <c r="P60" s="97"/>
    </row>
    <row r="61" spans="2:16" ht="12" customHeight="1">
      <c r="B61" s="92"/>
      <c r="C61" s="133"/>
      <c r="D61" s="133" t="s">
        <v>212</v>
      </c>
      <c r="E61" s="155">
        <f>+geg!$D$38</f>
        <v>0</v>
      </c>
      <c r="F61" s="155">
        <f>+geg!$E$38</f>
        <v>0</v>
      </c>
      <c r="G61" s="155"/>
      <c r="H61" s="170" t="s">
        <v>195</v>
      </c>
      <c r="I61" s="133"/>
      <c r="J61" s="711">
        <f>IF($E61=0,0,IF($H61="nee",0,tab!$G$293))*tab!A$242</f>
        <v>0</v>
      </c>
      <c r="K61" s="711">
        <f>IF($E61=0,0,IF($H61="nee",0,tab!$G$293))</f>
        <v>0</v>
      </c>
      <c r="L61" s="711">
        <f>IF($E61=0,0,IF($H61="nee",0,tab!$G$293))</f>
        <v>0</v>
      </c>
      <c r="M61" s="711">
        <f>IF($E61=0,0,IF($H61="nee",0,tab!$G$293))</f>
        <v>0</v>
      </c>
      <c r="N61" s="711">
        <f>IF($E61=0,0,IF($H61="nee",0,tab!$G$293))</f>
        <v>0</v>
      </c>
      <c r="O61" s="133"/>
      <c r="P61" s="97"/>
    </row>
    <row r="62" spans="2:16" ht="12" customHeight="1">
      <c r="B62" s="92"/>
      <c r="C62" s="133"/>
      <c r="D62" s="133" t="s">
        <v>228</v>
      </c>
      <c r="E62" s="155">
        <f>+geg!$D$52</f>
        <v>0</v>
      </c>
      <c r="F62" s="155">
        <f>+geg!$E$52</f>
        <v>0</v>
      </c>
      <c r="G62" s="155"/>
      <c r="H62" s="170" t="s">
        <v>195</v>
      </c>
      <c r="I62" s="133"/>
      <c r="J62" s="711">
        <f>IF($E62=0,0,IF($H62="nee",0,tab!$G$293))*tab!A$242</f>
        <v>0</v>
      </c>
      <c r="K62" s="711">
        <f>IF($E62=0,0,IF($H62="nee",0,tab!$G$293))</f>
        <v>0</v>
      </c>
      <c r="L62" s="711">
        <f>IF($E62=0,0,IF($H62="nee",0,tab!$G$293))</f>
        <v>0</v>
      </c>
      <c r="M62" s="711">
        <f>IF($E62=0,0,IF($H62="nee",0,tab!$G$293))</f>
        <v>0</v>
      </c>
      <c r="N62" s="711">
        <f>IF($E62=0,0,IF($H62="nee",0,tab!$G$293))</f>
        <v>0</v>
      </c>
      <c r="O62" s="133"/>
      <c r="P62" s="97"/>
    </row>
    <row r="63" spans="2:16" ht="12" customHeight="1">
      <c r="B63" s="92"/>
      <c r="C63" s="133"/>
      <c r="D63" s="213" t="s">
        <v>836</v>
      </c>
      <c r="E63" s="155"/>
      <c r="F63" s="155"/>
      <c r="G63" s="155"/>
      <c r="H63" s="135"/>
      <c r="I63" s="133"/>
      <c r="J63" s="155"/>
      <c r="K63" s="155"/>
      <c r="L63" s="155"/>
      <c r="M63" s="155"/>
      <c r="N63" s="155"/>
      <c r="O63" s="133"/>
      <c r="P63" s="97"/>
    </row>
    <row r="64" spans="2:16" ht="12" customHeight="1">
      <c r="B64" s="92"/>
      <c r="C64" s="133"/>
      <c r="D64" s="133" t="s">
        <v>211</v>
      </c>
      <c r="E64" s="155" t="str">
        <f>+geg!$D$76</f>
        <v>VSO</v>
      </c>
      <c r="F64" s="155" t="str">
        <f>+geg!$E$76</f>
        <v>ZMOK</v>
      </c>
      <c r="G64" s="155"/>
      <c r="H64" s="170" t="s">
        <v>195</v>
      </c>
      <c r="I64" s="133"/>
      <c r="J64" s="711">
        <f>IF($E64=0,0,IF($H64="nee",0,tab!$G$293))*tab!A$242</f>
        <v>0</v>
      </c>
      <c r="K64" s="711">
        <f>IF($E64=0,0,IF($H64="nee",0,tab!$G$293))</f>
        <v>0</v>
      </c>
      <c r="L64" s="711">
        <f>IF($E64=0,0,IF($H64="nee",0,tab!$G$293))</f>
        <v>0</v>
      </c>
      <c r="M64" s="711">
        <f>IF($E64=0,0,IF($H64="nee",0,tab!$G$293))</f>
        <v>0</v>
      </c>
      <c r="N64" s="711">
        <f>IF($E64=0,0,IF($H64="nee",0,tab!$G$293))</f>
        <v>0</v>
      </c>
      <c r="O64" s="133"/>
      <c r="P64" s="97"/>
    </row>
    <row r="65" spans="2:16" ht="12" customHeight="1">
      <c r="B65" s="92"/>
      <c r="C65" s="133"/>
      <c r="D65" s="133" t="s">
        <v>212</v>
      </c>
      <c r="E65" s="155">
        <f>+geg!$D$90</f>
        <v>0</v>
      </c>
      <c r="F65" s="155">
        <f>+geg!$E$90</f>
        <v>0</v>
      </c>
      <c r="G65" s="155"/>
      <c r="H65" s="170" t="s">
        <v>195</v>
      </c>
      <c r="I65" s="133"/>
      <c r="J65" s="711">
        <f>IF($E65=0,0,IF($H65="nee",0,tab!$G$293))*tab!A$242</f>
        <v>0</v>
      </c>
      <c r="K65" s="711">
        <f>IF($E65=0,0,IF($H65="nee",0,tab!$G$293))</f>
        <v>0</v>
      </c>
      <c r="L65" s="711">
        <f>IF($E65=0,0,IF($H65="nee",0,tab!$G$293))</f>
        <v>0</v>
      </c>
      <c r="M65" s="711">
        <f>IF($E65=0,0,IF($H65="nee",0,tab!$G$293))</f>
        <v>0</v>
      </c>
      <c r="N65" s="711">
        <f>IF($E65=0,0,IF($H65="nee",0,tab!$G$293))</f>
        <v>0</v>
      </c>
      <c r="O65" s="133"/>
      <c r="P65" s="97"/>
    </row>
    <row r="66" spans="2:16" ht="12" customHeight="1">
      <c r="B66" s="92"/>
      <c r="C66" s="133"/>
      <c r="D66" s="133" t="s">
        <v>228</v>
      </c>
      <c r="E66" s="155">
        <f>+geg!$D$107</f>
        <v>0</v>
      </c>
      <c r="F66" s="155">
        <f>+geg!$E$107</f>
        <v>0</v>
      </c>
      <c r="G66" s="155"/>
      <c r="H66" s="170" t="s">
        <v>195</v>
      </c>
      <c r="I66" s="133"/>
      <c r="J66" s="711">
        <f>IF($E66=0,0,IF($H66="nee",0,tab!$G$293))*tab!A$242</f>
        <v>0</v>
      </c>
      <c r="K66" s="711">
        <f>IF($E66=0,0,IF($H66="nee",0,tab!$G$293))</f>
        <v>0</v>
      </c>
      <c r="L66" s="711">
        <f>IF($E66=0,0,IF($H66="nee",0,tab!$G$293))</f>
        <v>0</v>
      </c>
      <c r="M66" s="711">
        <f>IF($E66=0,0,IF($H66="nee",0,tab!$G$293))</f>
        <v>0</v>
      </c>
      <c r="N66" s="711">
        <f>IF($E66=0,0,IF($H66="nee",0,tab!$G$293))</f>
        <v>0</v>
      </c>
      <c r="O66" s="133"/>
      <c r="P66" s="97"/>
    </row>
    <row r="67" spans="2:16" ht="12" customHeight="1">
      <c r="B67" s="92"/>
      <c r="C67" s="133"/>
      <c r="D67" s="133"/>
      <c r="E67" s="155"/>
      <c r="F67" s="155"/>
      <c r="G67" s="155"/>
      <c r="H67" s="135"/>
      <c r="I67" s="133"/>
      <c r="J67" s="133"/>
      <c r="K67" s="547"/>
      <c r="L67" s="547"/>
      <c r="M67" s="547"/>
      <c r="N67" s="547"/>
      <c r="O67" s="133"/>
      <c r="P67" s="97"/>
    </row>
    <row r="68" spans="2:16" ht="12" customHeight="1">
      <c r="B68" s="92"/>
      <c r="C68" s="133"/>
      <c r="D68" s="138"/>
      <c r="E68" s="133"/>
      <c r="F68" s="133"/>
      <c r="G68" s="133"/>
      <c r="H68" s="139"/>
      <c r="I68" s="133"/>
      <c r="J68" s="717">
        <f>SUM(J60:J66)</f>
        <v>0</v>
      </c>
      <c r="K68" s="717">
        <f>SUM(K60:K66)</f>
        <v>0</v>
      </c>
      <c r="L68" s="717">
        <f>SUM(L60:L66)</f>
        <v>0</v>
      </c>
      <c r="M68" s="717">
        <f>SUM(M60:M66)</f>
        <v>0</v>
      </c>
      <c r="N68" s="717">
        <f>SUM(N60:N66)</f>
        <v>0</v>
      </c>
      <c r="O68" s="133"/>
      <c r="P68" s="97"/>
    </row>
    <row r="69" spans="2:16" ht="12" customHeight="1">
      <c r="B69" s="92"/>
      <c r="C69" s="133"/>
      <c r="D69" s="138" t="s">
        <v>254</v>
      </c>
      <c r="E69" s="133"/>
      <c r="F69" s="133"/>
      <c r="G69" s="133"/>
      <c r="H69" s="135"/>
      <c r="I69" s="133"/>
      <c r="J69" s="547"/>
      <c r="K69" s="547"/>
      <c r="L69" s="547"/>
      <c r="M69" s="547"/>
      <c r="N69" s="547"/>
      <c r="O69" s="133"/>
      <c r="P69" s="97"/>
    </row>
    <row r="70" spans="2:16" ht="12" customHeight="1">
      <c r="B70" s="92"/>
      <c r="C70" s="133"/>
      <c r="D70" s="213" t="s">
        <v>102</v>
      </c>
      <c r="E70" s="133"/>
      <c r="F70" s="133"/>
      <c r="G70" s="133"/>
      <c r="H70" s="135"/>
      <c r="I70" s="133"/>
      <c r="J70" s="547"/>
      <c r="K70" s="547"/>
      <c r="L70" s="547"/>
      <c r="M70" s="547"/>
      <c r="N70" s="547"/>
      <c r="O70" s="133"/>
      <c r="P70" s="97"/>
    </row>
    <row r="71" spans="2:16" ht="12" customHeight="1">
      <c r="B71" s="92"/>
      <c r="C71" s="133"/>
      <c r="D71" s="133" t="s">
        <v>211</v>
      </c>
      <c r="E71" s="155">
        <f>+geg!$D$24</f>
        <v>0</v>
      </c>
      <c r="F71" s="155">
        <f>+geg!$E$24</f>
        <v>0</v>
      </c>
      <c r="G71" s="155"/>
      <c r="H71" s="170" t="s">
        <v>195</v>
      </c>
      <c r="I71" s="133"/>
      <c r="J71" s="711">
        <f>IF($E71=0,0,IF($H71="nee",0,VLOOKUP($F71,baden,2,FALSE)))*tab!A$242</f>
        <v>0</v>
      </c>
      <c r="K71" s="711">
        <f t="shared" ref="K71:N77" si="1">IF($E71=0,0,IF($H71="nee",0,VLOOKUP($F71,baden,2,FALSE)))</f>
        <v>0</v>
      </c>
      <c r="L71" s="711">
        <f t="shared" si="1"/>
        <v>0</v>
      </c>
      <c r="M71" s="711">
        <f t="shared" si="1"/>
        <v>0</v>
      </c>
      <c r="N71" s="711">
        <f t="shared" si="1"/>
        <v>0</v>
      </c>
      <c r="O71" s="133"/>
      <c r="P71" s="97"/>
    </row>
    <row r="72" spans="2:16" ht="12" customHeight="1">
      <c r="B72" s="92"/>
      <c r="C72" s="133"/>
      <c r="D72" s="133" t="s">
        <v>212</v>
      </c>
      <c r="E72" s="155">
        <f>+geg!$D$38</f>
        <v>0</v>
      </c>
      <c r="F72" s="155">
        <f>+geg!$E$38</f>
        <v>0</v>
      </c>
      <c r="G72" s="155"/>
      <c r="H72" s="170" t="s">
        <v>195</v>
      </c>
      <c r="I72" s="133"/>
      <c r="J72" s="711">
        <f>IF($E72=0,0,IF($H72="nee",0,VLOOKUP($F72,baden,2,FALSE)))*tab!A$242</f>
        <v>0</v>
      </c>
      <c r="K72" s="711">
        <f t="shared" si="1"/>
        <v>0</v>
      </c>
      <c r="L72" s="711">
        <f t="shared" si="1"/>
        <v>0</v>
      </c>
      <c r="M72" s="711">
        <f t="shared" si="1"/>
        <v>0</v>
      </c>
      <c r="N72" s="711">
        <f t="shared" si="1"/>
        <v>0</v>
      </c>
      <c r="O72" s="133"/>
      <c r="P72" s="97"/>
    </row>
    <row r="73" spans="2:16" ht="12" customHeight="1">
      <c r="B73" s="92"/>
      <c r="C73" s="133"/>
      <c r="D73" s="133" t="s">
        <v>228</v>
      </c>
      <c r="E73" s="155">
        <f>+geg!$D$52</f>
        <v>0</v>
      </c>
      <c r="F73" s="155">
        <f>+geg!$E$52</f>
        <v>0</v>
      </c>
      <c r="G73" s="155"/>
      <c r="H73" s="170" t="s">
        <v>195</v>
      </c>
      <c r="I73" s="133"/>
      <c r="J73" s="711">
        <f>IF($E73=0,0,IF($H73="nee",0,VLOOKUP($F73,baden,2,FALSE)))*tab!A$242</f>
        <v>0</v>
      </c>
      <c r="K73" s="711">
        <f t="shared" si="1"/>
        <v>0</v>
      </c>
      <c r="L73" s="711">
        <f t="shared" si="1"/>
        <v>0</v>
      </c>
      <c r="M73" s="711">
        <f t="shared" si="1"/>
        <v>0</v>
      </c>
      <c r="N73" s="711">
        <f t="shared" si="1"/>
        <v>0</v>
      </c>
      <c r="O73" s="133"/>
      <c r="P73" s="97"/>
    </row>
    <row r="74" spans="2:16" ht="12" customHeight="1">
      <c r="B74" s="92"/>
      <c r="C74" s="133"/>
      <c r="D74" s="213" t="s">
        <v>836</v>
      </c>
      <c r="E74" s="155"/>
      <c r="F74" s="155"/>
      <c r="G74" s="155"/>
      <c r="H74" s="135"/>
      <c r="I74" s="133"/>
      <c r="J74" s="155"/>
      <c r="K74" s="155"/>
      <c r="L74" s="155"/>
      <c r="M74" s="155"/>
      <c r="N74" s="155"/>
      <c r="O74" s="133"/>
      <c r="P74" s="97"/>
    </row>
    <row r="75" spans="2:16" ht="12" customHeight="1">
      <c r="B75" s="92"/>
      <c r="C75" s="133"/>
      <c r="D75" s="133" t="s">
        <v>211</v>
      </c>
      <c r="E75" s="155" t="str">
        <f>+geg!$D$76</f>
        <v>VSO</v>
      </c>
      <c r="F75" s="155" t="str">
        <f>+geg!$E$76</f>
        <v>ZMOK</v>
      </c>
      <c r="G75" s="155"/>
      <c r="H75" s="170" t="s">
        <v>195</v>
      </c>
      <c r="I75" s="133"/>
      <c r="J75" s="711">
        <f>IF($E75=0,0,IF($H75="nee",0,VLOOKUP($F75,baden,2,FALSE)))*tab!A$242</f>
        <v>0</v>
      </c>
      <c r="K75" s="711">
        <f t="shared" si="1"/>
        <v>0</v>
      </c>
      <c r="L75" s="711">
        <f t="shared" si="1"/>
        <v>0</v>
      </c>
      <c r="M75" s="711">
        <f t="shared" si="1"/>
        <v>0</v>
      </c>
      <c r="N75" s="711">
        <f t="shared" si="1"/>
        <v>0</v>
      </c>
      <c r="O75" s="133"/>
      <c r="P75" s="97"/>
    </row>
    <row r="76" spans="2:16" ht="12" customHeight="1">
      <c r="B76" s="92"/>
      <c r="C76" s="133"/>
      <c r="D76" s="133" t="s">
        <v>212</v>
      </c>
      <c r="E76" s="155">
        <f>+geg!$D$90</f>
        <v>0</v>
      </c>
      <c r="F76" s="155">
        <f>+geg!$E$90</f>
        <v>0</v>
      </c>
      <c r="G76" s="155"/>
      <c r="H76" s="170" t="s">
        <v>195</v>
      </c>
      <c r="I76" s="133"/>
      <c r="J76" s="711">
        <f>IF($E76=0,0,IF($H76="nee",0,VLOOKUP($F76,baden,2,FALSE)))*tab!A$242</f>
        <v>0</v>
      </c>
      <c r="K76" s="711">
        <f t="shared" si="1"/>
        <v>0</v>
      </c>
      <c r="L76" s="711">
        <f t="shared" si="1"/>
        <v>0</v>
      </c>
      <c r="M76" s="711">
        <f t="shared" si="1"/>
        <v>0</v>
      </c>
      <c r="N76" s="711">
        <f t="shared" si="1"/>
        <v>0</v>
      </c>
      <c r="O76" s="133"/>
      <c r="P76" s="97"/>
    </row>
    <row r="77" spans="2:16">
      <c r="B77" s="92"/>
      <c r="C77" s="133"/>
      <c r="D77" s="133" t="s">
        <v>228</v>
      </c>
      <c r="E77" s="155">
        <f>+geg!$D$107</f>
        <v>0</v>
      </c>
      <c r="F77" s="155">
        <f>+geg!$E$107</f>
        <v>0</v>
      </c>
      <c r="G77" s="155"/>
      <c r="H77" s="170" t="s">
        <v>195</v>
      </c>
      <c r="I77" s="133"/>
      <c r="J77" s="711">
        <f>IF($E77=0,0,IF($H77="nee",0,VLOOKUP($F77,baden,2,FALSE)))*tab!A$242</f>
        <v>0</v>
      </c>
      <c r="K77" s="711">
        <f t="shared" si="1"/>
        <v>0</v>
      </c>
      <c r="L77" s="711">
        <f t="shared" si="1"/>
        <v>0</v>
      </c>
      <c r="M77" s="711">
        <f t="shared" si="1"/>
        <v>0</v>
      </c>
      <c r="N77" s="711">
        <f t="shared" si="1"/>
        <v>0</v>
      </c>
      <c r="O77" s="133"/>
      <c r="P77" s="97"/>
    </row>
    <row r="78" spans="2:16">
      <c r="B78" s="92"/>
      <c r="C78" s="133"/>
      <c r="D78" s="133"/>
      <c r="E78" s="155"/>
      <c r="F78" s="155"/>
      <c r="G78" s="155"/>
      <c r="H78" s="139"/>
      <c r="I78" s="139"/>
      <c r="J78" s="139"/>
      <c r="K78" s="139"/>
      <c r="L78" s="139"/>
      <c r="M78" s="139"/>
      <c r="N78" s="139"/>
      <c r="O78" s="133"/>
      <c r="P78" s="97"/>
    </row>
    <row r="79" spans="2:16">
      <c r="B79" s="92"/>
      <c r="C79" s="322"/>
      <c r="D79" s="138"/>
      <c r="E79" s="133"/>
      <c r="F79" s="133"/>
      <c r="G79" s="133"/>
      <c r="H79" s="139"/>
      <c r="I79" s="133"/>
      <c r="J79" s="717">
        <f>SUM(J71:J77)</f>
        <v>0</v>
      </c>
      <c r="K79" s="717">
        <f>SUM(K71:K77)</f>
        <v>0</v>
      </c>
      <c r="L79" s="717">
        <f>SUM(L71:L77)</f>
        <v>0</v>
      </c>
      <c r="M79" s="717">
        <f>SUM(M71:M77)</f>
        <v>0</v>
      </c>
      <c r="N79" s="717">
        <f>SUM(N71:N77)</f>
        <v>0</v>
      </c>
      <c r="O79" s="133"/>
      <c r="P79" s="97"/>
    </row>
    <row r="80" spans="2:16">
      <c r="B80" s="92"/>
      <c r="C80" s="138"/>
      <c r="D80" s="184"/>
      <c r="E80" s="186"/>
      <c r="F80" s="1099"/>
      <c r="G80" s="1099"/>
      <c r="H80" s="187"/>
      <c r="I80" s="186"/>
      <c r="J80" s="186"/>
      <c r="K80" s="187"/>
      <c r="L80" s="187"/>
      <c r="M80" s="187"/>
      <c r="N80" s="187"/>
      <c r="O80" s="133"/>
      <c r="P80" s="97"/>
    </row>
    <row r="81" spans="2:16">
      <c r="B81" s="92"/>
      <c r="C81" s="138"/>
      <c r="D81" s="125"/>
      <c r="E81" s="127"/>
      <c r="F81" s="1098"/>
      <c r="G81" s="1098"/>
      <c r="H81" s="129"/>
      <c r="I81" s="127"/>
      <c r="J81" s="127"/>
      <c r="K81" s="129"/>
      <c r="L81" s="129"/>
      <c r="M81" s="129"/>
      <c r="N81" s="129"/>
      <c r="O81" s="133"/>
      <c r="P81" s="97"/>
    </row>
    <row r="82" spans="2:16">
      <c r="B82" s="92"/>
      <c r="C82" s="138"/>
      <c r="D82" s="138" t="s">
        <v>636</v>
      </c>
      <c r="E82" s="133"/>
      <c r="F82" s="133"/>
      <c r="G82" s="133"/>
      <c r="H82" s="135"/>
      <c r="I82" s="133"/>
      <c r="J82" s="133"/>
      <c r="K82" s="135"/>
      <c r="L82" s="135"/>
      <c r="M82" s="135"/>
      <c r="N82" s="135"/>
      <c r="O82" s="133"/>
      <c r="P82" s="97"/>
    </row>
    <row r="83" spans="2:16">
      <c r="B83" s="92"/>
      <c r="C83" s="138"/>
      <c r="D83" s="138"/>
      <c r="E83" s="133"/>
      <c r="F83" s="133"/>
      <c r="G83" s="133"/>
      <c r="H83" s="135"/>
      <c r="I83" s="133"/>
      <c r="J83" s="133"/>
      <c r="K83" s="135"/>
      <c r="L83" s="135"/>
      <c r="M83" s="135"/>
      <c r="N83" s="135"/>
      <c r="O83" s="133"/>
      <c r="P83" s="97"/>
    </row>
    <row r="84" spans="2:16">
      <c r="B84" s="92"/>
      <c r="C84" s="138"/>
      <c r="D84" s="133" t="s">
        <v>260</v>
      </c>
      <c r="E84" s="133"/>
      <c r="F84" s="133"/>
      <c r="G84" s="133"/>
      <c r="H84" s="712">
        <f>+tab!G297</f>
        <v>1042.1199999999999</v>
      </c>
      <c r="I84" s="315"/>
      <c r="J84" s="135" t="s">
        <v>255</v>
      </c>
      <c r="K84" s="135" t="s">
        <v>255</v>
      </c>
      <c r="L84" s="135" t="s">
        <v>255</v>
      </c>
      <c r="M84" s="135" t="s">
        <v>255</v>
      </c>
      <c r="N84" s="135" t="s">
        <v>255</v>
      </c>
      <c r="O84" s="133"/>
      <c r="P84" s="97"/>
    </row>
    <row r="85" spans="2:16">
      <c r="B85" s="92"/>
      <c r="C85" s="138"/>
      <c r="D85" s="133" t="s">
        <v>256</v>
      </c>
      <c r="E85" s="133"/>
      <c r="F85" s="133"/>
      <c r="G85" s="133"/>
      <c r="H85" s="552"/>
      <c r="I85" s="133"/>
      <c r="J85" s="714">
        <v>0</v>
      </c>
      <c r="K85" s="714">
        <f>J85</f>
        <v>0</v>
      </c>
      <c r="L85" s="714">
        <f>K85</f>
        <v>0</v>
      </c>
      <c r="M85" s="714">
        <f>L85</f>
        <v>0</v>
      </c>
      <c r="N85" s="714">
        <f>M85</f>
        <v>0</v>
      </c>
      <c r="O85" s="133"/>
      <c r="P85" s="97"/>
    </row>
    <row r="86" spans="2:16">
      <c r="B86" s="92"/>
      <c r="C86" s="138"/>
      <c r="D86" s="133" t="s">
        <v>587</v>
      </c>
      <c r="E86" s="133"/>
      <c r="F86" s="133"/>
      <c r="G86" s="133"/>
      <c r="H86" s="552"/>
      <c r="I86" s="133"/>
      <c r="J86" s="133"/>
      <c r="K86" s="331"/>
      <c r="L86" s="331"/>
      <c r="M86" s="331"/>
      <c r="N86" s="331"/>
      <c r="O86" s="133"/>
      <c r="P86" s="97"/>
    </row>
    <row r="87" spans="2:16">
      <c r="B87" s="92"/>
      <c r="C87" s="138"/>
      <c r="D87" s="155" t="s">
        <v>257</v>
      </c>
      <c r="E87" s="133"/>
      <c r="F87" s="133"/>
      <c r="G87" s="133"/>
      <c r="H87" s="579">
        <v>0</v>
      </c>
      <c r="I87" s="133"/>
      <c r="J87" s="717">
        <f>+$H87*tab!K302</f>
        <v>0</v>
      </c>
      <c r="K87" s="717">
        <f>+$H87*tab!L302</f>
        <v>0</v>
      </c>
      <c r="L87" s="717">
        <f>+$H87*tab!M302</f>
        <v>0</v>
      </c>
      <c r="M87" s="717">
        <f>+$H87*tab!N302</f>
        <v>0</v>
      </c>
      <c r="N87" s="717">
        <f>+$H87*tab!O302</f>
        <v>0</v>
      </c>
      <c r="O87" s="133"/>
      <c r="P87" s="97"/>
    </row>
    <row r="88" spans="2:16">
      <c r="B88" s="92"/>
      <c r="H88" s="65"/>
      <c r="K88" s="65"/>
      <c r="L88" s="65"/>
      <c r="M88" s="65"/>
      <c r="N88" s="65"/>
      <c r="P88" s="97"/>
    </row>
    <row r="89" spans="2:16">
      <c r="B89" s="92"/>
      <c r="H89" s="65"/>
      <c r="K89" s="65"/>
      <c r="L89" s="65"/>
      <c r="M89" s="65"/>
      <c r="N89" s="65"/>
      <c r="P89" s="97"/>
    </row>
    <row r="90" spans="2:16">
      <c r="B90" s="92"/>
      <c r="C90" s="93"/>
      <c r="D90" s="110"/>
      <c r="E90" s="93"/>
      <c r="F90" s="676"/>
      <c r="G90" s="676"/>
      <c r="H90" s="95"/>
      <c r="I90" s="93"/>
      <c r="J90" s="93"/>
      <c r="K90" s="479"/>
      <c r="L90" s="479"/>
      <c r="M90" s="479"/>
      <c r="N90" s="479"/>
      <c r="O90" s="93"/>
      <c r="P90" s="97"/>
    </row>
    <row r="91" spans="2:16" ht="15">
      <c r="B91" s="677"/>
      <c r="C91" s="678"/>
      <c r="D91" s="1095"/>
      <c r="E91" s="678"/>
      <c r="F91" s="679"/>
      <c r="G91" s="679"/>
      <c r="H91" s="680"/>
      <c r="I91" s="678"/>
      <c r="J91" s="678"/>
      <c r="K91" s="681"/>
      <c r="L91" s="681"/>
      <c r="M91" s="681"/>
      <c r="N91" s="681"/>
      <c r="O91" s="119" t="s">
        <v>555</v>
      </c>
      <c r="P91" s="682"/>
    </row>
    <row r="92" spans="2:16">
      <c r="B92" s="87"/>
      <c r="C92" s="88"/>
      <c r="D92" s="121"/>
      <c r="E92" s="88"/>
      <c r="F92" s="683"/>
      <c r="G92" s="683"/>
      <c r="H92" s="90"/>
      <c r="I92" s="88"/>
      <c r="J92" s="88"/>
      <c r="K92" s="684"/>
      <c r="L92" s="684"/>
      <c r="M92" s="684"/>
      <c r="N92" s="684"/>
      <c r="O92" s="88"/>
      <c r="P92" s="91"/>
    </row>
    <row r="93" spans="2:16">
      <c r="B93" s="92"/>
      <c r="C93" s="93"/>
      <c r="D93" s="110"/>
      <c r="E93" s="93"/>
      <c r="F93" s="676"/>
      <c r="G93" s="676"/>
      <c r="H93" s="95"/>
      <c r="I93" s="93"/>
      <c r="J93" s="93"/>
      <c r="K93" s="479"/>
      <c r="L93" s="479"/>
      <c r="M93" s="479"/>
      <c r="N93" s="479"/>
      <c r="O93" s="93"/>
      <c r="P93" s="97"/>
    </row>
    <row r="94" spans="2:16">
      <c r="B94" s="92"/>
      <c r="C94" s="93"/>
      <c r="D94" s="110"/>
      <c r="E94" s="93"/>
      <c r="F94" s="676"/>
      <c r="G94" s="676"/>
      <c r="H94" s="95"/>
      <c r="I94" s="93"/>
      <c r="J94" s="164">
        <f>J8</f>
        <v>2012</v>
      </c>
      <c r="K94" s="164">
        <f>K8</f>
        <v>2013</v>
      </c>
      <c r="L94" s="164">
        <f>L8</f>
        <v>2014</v>
      </c>
      <c r="M94" s="1069">
        <f>M8</f>
        <v>2015</v>
      </c>
      <c r="N94" s="1069">
        <f>N8</f>
        <v>2016</v>
      </c>
      <c r="O94" s="93"/>
      <c r="P94" s="97"/>
    </row>
    <row r="95" spans="2:16">
      <c r="B95" s="92"/>
      <c r="C95" s="93"/>
      <c r="D95" s="110"/>
      <c r="E95" s="93"/>
      <c r="F95" s="676"/>
      <c r="G95" s="676"/>
      <c r="H95" s="95"/>
      <c r="I95" s="93"/>
      <c r="J95" s="93"/>
      <c r="K95" s="479"/>
      <c r="L95" s="479"/>
      <c r="M95" s="479"/>
      <c r="N95" s="479"/>
      <c r="O95" s="93"/>
      <c r="P95" s="97"/>
    </row>
    <row r="96" spans="2:16">
      <c r="B96" s="92"/>
      <c r="C96" s="138"/>
      <c r="D96" s="138"/>
      <c r="E96" s="133"/>
      <c r="F96" s="706"/>
      <c r="G96" s="706"/>
      <c r="H96" s="135"/>
      <c r="I96" s="133"/>
      <c r="J96" s="133"/>
      <c r="K96" s="547"/>
      <c r="L96" s="547"/>
      <c r="M96" s="547"/>
      <c r="N96" s="547"/>
      <c r="O96" s="133"/>
      <c r="P96" s="97"/>
    </row>
    <row r="97" spans="2:16">
      <c r="B97" s="92"/>
      <c r="C97" s="138"/>
      <c r="D97" s="125"/>
      <c r="E97" s="127"/>
      <c r="F97" s="1098"/>
      <c r="G97" s="1098"/>
      <c r="H97" s="129"/>
      <c r="I97" s="127"/>
      <c r="J97" s="127"/>
      <c r="K97" s="129"/>
      <c r="L97" s="129"/>
      <c r="M97" s="129"/>
      <c r="N97" s="129"/>
      <c r="O97" s="133"/>
      <c r="P97" s="97"/>
    </row>
    <row r="98" spans="2:16">
      <c r="B98" s="92"/>
      <c r="C98" s="138"/>
      <c r="D98" s="138" t="s">
        <v>637</v>
      </c>
      <c r="E98" s="133"/>
      <c r="F98" s="133"/>
      <c r="G98" s="133"/>
      <c r="H98" s="135"/>
      <c r="I98" s="133"/>
      <c r="J98" s="133"/>
      <c r="K98" s="135"/>
      <c r="L98" s="135"/>
      <c r="M98" s="135"/>
      <c r="N98" s="135"/>
      <c r="O98" s="133"/>
      <c r="P98" s="97"/>
    </row>
    <row r="99" spans="2:16">
      <c r="B99" s="92"/>
      <c r="C99" s="138"/>
      <c r="D99" s="138"/>
      <c r="E99" s="133"/>
      <c r="F99" s="133"/>
      <c r="G99" s="133"/>
      <c r="H99" s="135"/>
      <c r="I99" s="133"/>
      <c r="J99" s="133"/>
      <c r="K99" s="135"/>
      <c r="L99" s="135"/>
      <c r="M99" s="135"/>
      <c r="N99" s="135"/>
      <c r="O99" s="133"/>
      <c r="P99" s="97"/>
    </row>
    <row r="100" spans="2:16">
      <c r="B100" s="92"/>
      <c r="C100" s="138"/>
      <c r="D100" s="133" t="s">
        <v>264</v>
      </c>
      <c r="E100" s="133"/>
      <c r="F100" s="133"/>
      <c r="G100" s="133"/>
      <c r="H100" s="135"/>
      <c r="I100" s="133"/>
      <c r="J100" s="713">
        <v>0</v>
      </c>
      <c r="K100" s="713">
        <f t="shared" ref="K100:N101" si="2">+J100</f>
        <v>0</v>
      </c>
      <c r="L100" s="713">
        <f t="shared" si="2"/>
        <v>0</v>
      </c>
      <c r="M100" s="713">
        <f t="shared" si="2"/>
        <v>0</v>
      </c>
      <c r="N100" s="713">
        <f t="shared" si="2"/>
        <v>0</v>
      </c>
      <c r="O100" s="133"/>
      <c r="P100" s="97"/>
    </row>
    <row r="101" spans="2:16">
      <c r="B101" s="92"/>
      <c r="C101" s="138"/>
      <c r="D101" s="133" t="s">
        <v>683</v>
      </c>
      <c r="E101" s="133"/>
      <c r="F101" s="133"/>
      <c r="G101" s="706"/>
      <c r="H101" s="135"/>
      <c r="I101" s="133"/>
      <c r="J101" s="713">
        <v>0</v>
      </c>
      <c r="K101" s="713">
        <f t="shared" si="2"/>
        <v>0</v>
      </c>
      <c r="L101" s="713">
        <f t="shared" si="2"/>
        <v>0</v>
      </c>
      <c r="M101" s="713">
        <f t="shared" si="2"/>
        <v>0</v>
      </c>
      <c r="N101" s="713">
        <f t="shared" si="2"/>
        <v>0</v>
      </c>
      <c r="O101" s="133"/>
      <c r="P101" s="97"/>
    </row>
    <row r="102" spans="2:16">
      <c r="B102" s="92"/>
      <c r="D102" s="184"/>
      <c r="E102" s="186"/>
      <c r="F102" s="1099"/>
      <c r="G102" s="1099"/>
      <c r="H102" s="187"/>
      <c r="I102" s="186"/>
      <c r="J102" s="186"/>
      <c r="K102" s="187"/>
      <c r="L102" s="187"/>
      <c r="M102" s="187"/>
      <c r="N102" s="187"/>
      <c r="P102" s="97"/>
    </row>
    <row r="103" spans="2:16">
      <c r="B103" s="92"/>
      <c r="C103" s="138"/>
      <c r="H103" s="65"/>
      <c r="K103" s="65"/>
      <c r="L103" s="65"/>
      <c r="M103" s="65"/>
      <c r="N103" s="65"/>
      <c r="O103" s="133"/>
      <c r="P103" s="97"/>
    </row>
    <row r="104" spans="2:16">
      <c r="B104" s="92"/>
      <c r="C104" s="138"/>
      <c r="D104" s="138" t="s">
        <v>638</v>
      </c>
      <c r="E104" s="133"/>
      <c r="F104" s="706"/>
      <c r="G104" s="706"/>
      <c r="H104" s="135"/>
      <c r="I104" s="133"/>
      <c r="J104" s="133"/>
      <c r="K104" s="133"/>
      <c r="L104" s="133"/>
      <c r="M104" s="133"/>
      <c r="N104" s="133"/>
      <c r="O104" s="133"/>
      <c r="P104" s="97"/>
    </row>
    <row r="105" spans="2:16">
      <c r="B105" s="92"/>
      <c r="C105" s="138"/>
      <c r="D105" s="138"/>
      <c r="E105" s="133"/>
      <c r="F105" s="706"/>
      <c r="G105" s="706"/>
      <c r="H105" s="135"/>
      <c r="I105" s="133"/>
      <c r="J105" s="133"/>
      <c r="K105" s="133"/>
      <c r="L105" s="133"/>
      <c r="M105" s="133"/>
      <c r="N105" s="133"/>
      <c r="O105" s="133"/>
      <c r="P105" s="97"/>
    </row>
    <row r="106" spans="2:16">
      <c r="B106" s="92"/>
      <c r="C106" s="133"/>
      <c r="D106" s="133" t="s">
        <v>272</v>
      </c>
      <c r="E106" s="133"/>
      <c r="F106" s="706"/>
      <c r="G106" s="706"/>
      <c r="H106" s="135"/>
      <c r="I106" s="133"/>
      <c r="J106" s="133"/>
      <c r="K106" s="133"/>
      <c r="L106" s="133"/>
      <c r="M106" s="133"/>
      <c r="N106" s="133"/>
      <c r="O106" s="133"/>
      <c r="P106" s="97"/>
    </row>
    <row r="107" spans="2:16">
      <c r="B107" s="92"/>
      <c r="C107" s="133"/>
      <c r="D107" s="133" t="s">
        <v>103</v>
      </c>
      <c r="E107" s="155">
        <f>geg!E24</f>
        <v>0</v>
      </c>
      <c r="F107" s="156" t="s">
        <v>266</v>
      </c>
      <c r="G107" s="155"/>
      <c r="H107" s="135"/>
      <c r="I107" s="133"/>
      <c r="J107" s="332">
        <f>IF($E$107=0,0,+geg!I32*VLOOKUP($E$107,TAB,6,FALSE))*tab!A$242</f>
        <v>0</v>
      </c>
      <c r="K107" s="332">
        <f>IF($E$107=0,0,+geg!L32*VLOOKUP($E$107,TAB,6,FALSE))</f>
        <v>0</v>
      </c>
      <c r="L107" s="332">
        <f>IF($E$107=0,0,+geg!O32*VLOOKUP($E$107,TAB,6,FALSE))</f>
        <v>0</v>
      </c>
      <c r="M107" s="332">
        <f>IF($E$107=0,0,+geg!R32*VLOOKUP($E$107,TAB,6,FALSE))</f>
        <v>0</v>
      </c>
      <c r="N107" s="332">
        <f>IF($E$107=0,0,+geg!U32*VLOOKUP($E$107,TAB,6,FALSE))</f>
        <v>0</v>
      </c>
      <c r="O107" s="133"/>
      <c r="P107" s="97"/>
    </row>
    <row r="108" spans="2:16">
      <c r="B108" s="92"/>
      <c r="C108" s="133"/>
      <c r="D108" s="133"/>
      <c r="E108" s="155"/>
      <c r="F108" s="156" t="s">
        <v>268</v>
      </c>
      <c r="G108" s="155"/>
      <c r="H108" s="135"/>
      <c r="I108" s="133"/>
      <c r="J108" s="332">
        <f>IF($E$107=0,0,+geg!I33*VLOOKUP($E$107,TAB,6,FALSE))*tab!A$242</f>
        <v>0</v>
      </c>
      <c r="K108" s="332">
        <f>IF($E$107=0,0,+geg!L33*VLOOKUP($E$107,TAB,6,FALSE))</f>
        <v>0</v>
      </c>
      <c r="L108" s="332">
        <f>IF($E$107=0,0,+geg!O33*VLOOKUP($E$107,TAB,6,FALSE))</f>
        <v>0</v>
      </c>
      <c r="M108" s="332">
        <f>IF($E$107=0,0,+geg!R33*VLOOKUP($E$107,TAB,6,FALSE))</f>
        <v>0</v>
      </c>
      <c r="N108" s="332">
        <f>IF($E$107=0,0,+geg!U33*VLOOKUP($E$107,TAB,6,FALSE))</f>
        <v>0</v>
      </c>
      <c r="O108" s="133"/>
      <c r="P108" s="97"/>
    </row>
    <row r="109" spans="2:16">
      <c r="B109" s="92"/>
      <c r="C109" s="133"/>
      <c r="D109" s="133"/>
      <c r="E109" s="155">
        <f>geg!E38</f>
        <v>0</v>
      </c>
      <c r="F109" s="156" t="s">
        <v>266</v>
      </c>
      <c r="G109" s="155"/>
      <c r="H109" s="135"/>
      <c r="I109" s="133"/>
      <c r="J109" s="332">
        <f>IF($E$109=0,0,+geg!I46*VLOOKUP($E$109,TAB,6,FALSE))*tab!A$242</f>
        <v>0</v>
      </c>
      <c r="K109" s="332">
        <f>IF($E$109=0,0,+geg!L46*VLOOKUP($E$109,TAB,6,FALSE))</f>
        <v>0</v>
      </c>
      <c r="L109" s="332">
        <f>IF($E$109=0,0,+geg!O46*VLOOKUP($E$109,TAB,6,FALSE))</f>
        <v>0</v>
      </c>
      <c r="M109" s="332">
        <f>IF($E$109=0,0,+geg!R46*VLOOKUP($E$109,TAB,6,FALSE))</f>
        <v>0</v>
      </c>
      <c r="N109" s="332">
        <f>IF($E$109=0,0,+geg!U46*VLOOKUP($E$109,TAB,6,FALSE))</f>
        <v>0</v>
      </c>
      <c r="O109" s="133"/>
      <c r="P109" s="97"/>
    </row>
    <row r="110" spans="2:16">
      <c r="B110" s="92"/>
      <c r="C110" s="133"/>
      <c r="D110" s="133"/>
      <c r="E110" s="155"/>
      <c r="F110" s="156" t="s">
        <v>268</v>
      </c>
      <c r="G110" s="155"/>
      <c r="H110" s="135"/>
      <c r="I110" s="133"/>
      <c r="J110" s="332">
        <f>IF($E$109=0,0,+geg!I47*VLOOKUP($E$109,TAB,6,FALSE))*tab!A$242</f>
        <v>0</v>
      </c>
      <c r="K110" s="332">
        <f>IF($E$109=0,0,+geg!L47*VLOOKUP($E$109,TAB,6,FALSE))</f>
        <v>0</v>
      </c>
      <c r="L110" s="332">
        <f>IF($E$109=0,0,+geg!O47*VLOOKUP($E$109,TAB,6,FALSE))</f>
        <v>0</v>
      </c>
      <c r="M110" s="332">
        <f>IF($E$109=0,0,+geg!R47*VLOOKUP($E$109,TAB,6,FALSE))</f>
        <v>0</v>
      </c>
      <c r="N110" s="332">
        <f>IF($E$109=0,0,+geg!U47*VLOOKUP($E$109,TAB,6,FALSE))</f>
        <v>0</v>
      </c>
      <c r="O110" s="133"/>
      <c r="P110" s="97"/>
    </row>
    <row r="111" spans="2:16">
      <c r="B111" s="92"/>
      <c r="C111" s="133"/>
      <c r="D111" s="133"/>
      <c r="E111" s="155">
        <f>geg!E52</f>
        <v>0</v>
      </c>
      <c r="F111" s="156" t="s">
        <v>266</v>
      </c>
      <c r="G111" s="155"/>
      <c r="H111" s="135"/>
      <c r="I111" s="133"/>
      <c r="J111" s="332">
        <f>IF($E$111=0,0,+geg!I60*VLOOKUP($E$111,TAB,6,FALSE))*tab!A$242</f>
        <v>0</v>
      </c>
      <c r="K111" s="332">
        <f>IF($E$111=0,0,+geg!L60*VLOOKUP($E$111,TAB,6,FALSE))</f>
        <v>0</v>
      </c>
      <c r="L111" s="332">
        <f>IF($E$111=0,0,+geg!O60*VLOOKUP($E$111,TAB,6,FALSE))</f>
        <v>0</v>
      </c>
      <c r="M111" s="332">
        <f>IF($E$111=0,0,+geg!R60*VLOOKUP($E$111,TAB,6,FALSE))</f>
        <v>0</v>
      </c>
      <c r="N111" s="332">
        <f>IF($E$111=0,0,+geg!U60*VLOOKUP($E$111,TAB,6,FALSE))</f>
        <v>0</v>
      </c>
      <c r="O111" s="133"/>
      <c r="P111" s="97"/>
    </row>
    <row r="112" spans="2:16">
      <c r="B112" s="92"/>
      <c r="C112" s="133"/>
      <c r="D112" s="133"/>
      <c r="E112" s="155"/>
      <c r="F112" s="156" t="s">
        <v>268</v>
      </c>
      <c r="G112" s="155"/>
      <c r="H112" s="135"/>
      <c r="I112" s="133"/>
      <c r="J112" s="332">
        <f>IF($E$111=0,0,+geg!I61*VLOOKUP($E$111,TAB,6,FALSE))*tab!A$242</f>
        <v>0</v>
      </c>
      <c r="K112" s="332">
        <f>IF($E$111=0,0,+geg!L61*VLOOKUP($E$111,TAB,6,FALSE))</f>
        <v>0</v>
      </c>
      <c r="L112" s="332">
        <f>IF($E$111=0,0,+geg!O61*VLOOKUP($E$111,TAB,6,FALSE))</f>
        <v>0</v>
      </c>
      <c r="M112" s="332">
        <f>IF($E$111=0,0,+geg!R61*VLOOKUP($E$111,TAB,6,FALSE))</f>
        <v>0</v>
      </c>
      <c r="N112" s="332">
        <f>IF($E$111=0,0,+geg!U61*VLOOKUP($E$111,TAB,6,FALSE))</f>
        <v>0</v>
      </c>
      <c r="O112" s="133"/>
      <c r="P112" s="97"/>
    </row>
    <row r="113" spans="2:16">
      <c r="B113" s="92"/>
      <c r="C113" s="133"/>
      <c r="D113" s="133" t="s">
        <v>185</v>
      </c>
      <c r="E113" s="155" t="str">
        <f>geg!E76</f>
        <v>ZMOK</v>
      </c>
      <c r="F113" s="156" t="s">
        <v>266</v>
      </c>
      <c r="G113" s="155"/>
      <c r="H113" s="135"/>
      <c r="I113" s="133"/>
      <c r="J113" s="332">
        <f>IF($E$113=0,0,+geg!I84*VLOOKUP($E$113,TAB,6,FALSE))*tab!A$242</f>
        <v>0</v>
      </c>
      <c r="K113" s="332">
        <f>IF(geg!$E76=0,0,+geg!L84*VLOOKUP(geg!$E76,TAB,6,FALSE))</f>
        <v>0</v>
      </c>
      <c r="L113" s="332">
        <f>IF(geg!$E76=0,0,+geg!O84*VLOOKUP(geg!$E76,TAB,6,FALSE))</f>
        <v>0</v>
      </c>
      <c r="M113" s="332">
        <f>IF(geg!$E76=0,0,+geg!R84*VLOOKUP(geg!$E76,TAB,6,FALSE))</f>
        <v>0</v>
      </c>
      <c r="N113" s="332">
        <f>IF(geg!$E76=0,0,+geg!U84*VLOOKUP(geg!$E76,TAB,6,FALSE))</f>
        <v>0</v>
      </c>
      <c r="O113" s="133"/>
      <c r="P113" s="97"/>
    </row>
    <row r="114" spans="2:16">
      <c r="B114" s="92"/>
      <c r="C114" s="133"/>
      <c r="D114" s="133"/>
      <c r="E114" s="155"/>
      <c r="F114" s="156" t="s">
        <v>268</v>
      </c>
      <c r="G114" s="155"/>
      <c r="H114" s="135"/>
      <c r="I114" s="133"/>
      <c r="J114" s="332">
        <f>IF($E$113=0,0,+geg!I85*VLOOKUP($E$113,TAB,6,FALSE))*tab!A$242</f>
        <v>0</v>
      </c>
      <c r="K114" s="332">
        <f>IF(geg!$E76=0,0,+geg!L85*VLOOKUP(geg!$E76,TAB,7,FALSE))</f>
        <v>0</v>
      </c>
      <c r="L114" s="332">
        <f>IF(geg!$E76=0,0,+geg!O85*VLOOKUP(geg!$E76,TAB,7,FALSE))</f>
        <v>0</v>
      </c>
      <c r="M114" s="332">
        <f>IF(geg!$E76=0,0,+geg!R85*VLOOKUP(geg!$E76,TAB,7,FALSE))</f>
        <v>0</v>
      </c>
      <c r="N114" s="332">
        <f>IF(geg!$E76=0,0,+geg!U85*VLOOKUP(geg!$E76,TAB,7,FALSE))</f>
        <v>0</v>
      </c>
      <c r="O114" s="133"/>
      <c r="P114" s="97"/>
    </row>
    <row r="115" spans="2:16">
      <c r="B115" s="92"/>
      <c r="C115" s="133"/>
      <c r="D115" s="133"/>
      <c r="E115" s="155">
        <f>geg!E90</f>
        <v>0</v>
      </c>
      <c r="F115" s="156" t="s">
        <v>266</v>
      </c>
      <c r="G115" s="155"/>
      <c r="H115" s="135"/>
      <c r="I115" s="133"/>
      <c r="J115" s="332">
        <f>IF($E$115=0,0,+geg!I98*VLOOKUP($E$115,TAB,6,FALSE))*tab!A$242</f>
        <v>0</v>
      </c>
      <c r="K115" s="332">
        <f>IF(geg!$E90=0,0,+geg!L98*VLOOKUP(geg!$E90,TAB,6,FALSE))</f>
        <v>0</v>
      </c>
      <c r="L115" s="332">
        <f>IF(geg!$E90=0,0,+geg!O98*VLOOKUP(geg!$E90,TAB,6,FALSE))</f>
        <v>0</v>
      </c>
      <c r="M115" s="332">
        <f>IF(geg!$E90=0,0,+geg!R98*VLOOKUP(geg!$E90,TAB,6,FALSE))</f>
        <v>0</v>
      </c>
      <c r="N115" s="332">
        <f>IF(geg!$E90=0,0,+geg!U98*VLOOKUP(geg!$E90,TAB,6,FALSE))</f>
        <v>0</v>
      </c>
      <c r="O115" s="133"/>
      <c r="P115" s="97"/>
    </row>
    <row r="116" spans="2:16">
      <c r="B116" s="92"/>
      <c r="C116" s="133"/>
      <c r="D116" s="133"/>
      <c r="E116" s="155"/>
      <c r="F116" s="156" t="s">
        <v>268</v>
      </c>
      <c r="G116" s="155"/>
      <c r="H116" s="135"/>
      <c r="I116" s="133"/>
      <c r="J116" s="332">
        <f>IF($E$115=0,0,+geg!I99*VLOOKUP($E$115,TAB,6,FALSE))*tab!A$242</f>
        <v>0</v>
      </c>
      <c r="K116" s="332">
        <f>IF(geg!$E90=0,0,+geg!L99*VLOOKUP(geg!$E90,TAB,7,FALSE))</f>
        <v>0</v>
      </c>
      <c r="L116" s="332">
        <f>IF(geg!$E90=0,0,+geg!O99*VLOOKUP(geg!$E90,TAB,7,FALSE))</f>
        <v>0</v>
      </c>
      <c r="M116" s="332">
        <f>IF(geg!$E90=0,0,+geg!R99*VLOOKUP(geg!$E90,TAB,7,FALSE))</f>
        <v>0</v>
      </c>
      <c r="N116" s="332">
        <f>IF(geg!$E90=0,0,+geg!U99*VLOOKUP(geg!$E90,TAB,7,FALSE))</f>
        <v>0</v>
      </c>
      <c r="O116" s="133"/>
      <c r="P116" s="97"/>
    </row>
    <row r="117" spans="2:16">
      <c r="B117" s="92"/>
      <c r="C117" s="133"/>
      <c r="D117" s="133"/>
      <c r="E117" s="155">
        <f>geg!E107</f>
        <v>0</v>
      </c>
      <c r="F117" s="156" t="s">
        <v>266</v>
      </c>
      <c r="G117" s="155"/>
      <c r="H117" s="135"/>
      <c r="I117" s="133"/>
      <c r="J117" s="332">
        <f>IF($E$117=0,0,+geg!I115*VLOOKUP($E$117,TAB,6,FALSE))*tab!A$242</f>
        <v>0</v>
      </c>
      <c r="K117" s="332">
        <f>IF(geg!$E107=0,0,+geg!L115*VLOOKUP(geg!$E107,TAB,6,FALSE))</f>
        <v>0</v>
      </c>
      <c r="L117" s="332">
        <f>IF(geg!$E107=0,0,+geg!O115*VLOOKUP(geg!$E107,TAB,6,FALSE))</f>
        <v>0</v>
      </c>
      <c r="M117" s="332">
        <f>IF(geg!$E107=0,0,+geg!R115*VLOOKUP(geg!$E107,TAB,6,FALSE))</f>
        <v>0</v>
      </c>
      <c r="N117" s="332">
        <f>IF(geg!$E107=0,0,+geg!U115*VLOOKUP(geg!$E107,TAB,6,FALSE))</f>
        <v>0</v>
      </c>
      <c r="O117" s="133"/>
      <c r="P117" s="97"/>
    </row>
    <row r="118" spans="2:16">
      <c r="B118" s="92"/>
      <c r="C118" s="133"/>
      <c r="D118" s="133"/>
      <c r="E118" s="155"/>
      <c r="F118" s="156" t="s">
        <v>268</v>
      </c>
      <c r="G118" s="155"/>
      <c r="H118" s="135"/>
      <c r="I118" s="133"/>
      <c r="J118" s="332">
        <f>IF($E$117=0,0,+geg!I116*VLOOKUP($E$117,TAB,6,FALSE))*tab!A$242</f>
        <v>0</v>
      </c>
      <c r="K118" s="332">
        <f>IF(geg!$E107=0,0,+geg!L116*VLOOKUP(geg!$E107,TAB,7,FALSE))</f>
        <v>0</v>
      </c>
      <c r="L118" s="332">
        <f>IF(geg!$E107=0,0,+geg!O116*VLOOKUP(geg!$E107,TAB,7,FALSE))</f>
        <v>0</v>
      </c>
      <c r="M118" s="332">
        <f>IF(geg!$E107=0,0,+geg!R116*VLOOKUP(geg!$E107,TAB,7,FALSE))</f>
        <v>0</v>
      </c>
      <c r="N118" s="332">
        <f>IF(geg!$E107=0,0,+geg!U116*VLOOKUP(geg!$E107,TAB,7,FALSE))</f>
        <v>0</v>
      </c>
      <c r="O118" s="133"/>
      <c r="P118" s="97"/>
    </row>
    <row r="119" spans="2:16">
      <c r="B119" s="92"/>
      <c r="C119" s="133"/>
      <c r="D119" s="133" t="s">
        <v>592</v>
      </c>
      <c r="E119" s="133"/>
      <c r="F119" s="706"/>
      <c r="G119" s="706"/>
      <c r="H119" s="135"/>
      <c r="I119" s="133"/>
      <c r="J119" s="713">
        <f>+K119</f>
        <v>0</v>
      </c>
      <c r="K119" s="711">
        <f>ROUND(7/12*(rugzak!G52)+5/12*(rugzak!G160),2)</f>
        <v>0</v>
      </c>
      <c r="L119" s="713">
        <f t="shared" ref="K119:N121" si="3">+K119</f>
        <v>0</v>
      </c>
      <c r="M119" s="713">
        <f t="shared" si="3"/>
        <v>0</v>
      </c>
      <c r="N119" s="713">
        <f t="shared" si="3"/>
        <v>0</v>
      </c>
      <c r="O119" s="133"/>
      <c r="P119" s="97"/>
    </row>
    <row r="120" spans="2:16">
      <c r="B120" s="92"/>
      <c r="C120" s="133"/>
      <c r="D120" s="133" t="s">
        <v>518</v>
      </c>
      <c r="E120" s="133"/>
      <c r="F120" s="706"/>
      <c r="G120" s="706"/>
      <c r="H120" s="135"/>
      <c r="I120" s="133"/>
      <c r="J120" s="713">
        <f>+K120</f>
        <v>0</v>
      </c>
      <c r="K120" s="711">
        <f>ROUND(7/12*(rugzak!G108)+5/12*(rugzak!G212),2)</f>
        <v>0</v>
      </c>
      <c r="L120" s="713">
        <f>+K120</f>
        <v>0</v>
      </c>
      <c r="M120" s="713">
        <f>+L120</f>
        <v>0</v>
      </c>
      <c r="N120" s="713">
        <f>+M120</f>
        <v>0</v>
      </c>
      <c r="O120" s="133"/>
      <c r="P120" s="97"/>
    </row>
    <row r="121" spans="2:16">
      <c r="B121" s="92"/>
      <c r="C121" s="133"/>
      <c r="D121" s="155" t="s">
        <v>639</v>
      </c>
      <c r="E121" s="133"/>
      <c r="F121" s="706"/>
      <c r="G121" s="706"/>
      <c r="H121" s="135"/>
      <c r="I121" s="133"/>
      <c r="J121" s="713">
        <v>0</v>
      </c>
      <c r="K121" s="713">
        <f t="shared" si="3"/>
        <v>0</v>
      </c>
      <c r="L121" s="713">
        <f t="shared" si="3"/>
        <v>0</v>
      </c>
      <c r="M121" s="713">
        <f t="shared" si="3"/>
        <v>0</v>
      </c>
      <c r="N121" s="713">
        <f t="shared" si="3"/>
        <v>0</v>
      </c>
      <c r="O121" s="133"/>
      <c r="P121" s="97"/>
    </row>
    <row r="122" spans="2:16">
      <c r="B122" s="92"/>
      <c r="C122" s="133"/>
      <c r="D122" s="138"/>
      <c r="E122" s="213"/>
      <c r="F122" s="709"/>
      <c r="G122" s="709"/>
      <c r="H122" s="238"/>
      <c r="I122" s="707"/>
      <c r="J122" s="717">
        <f>SUM(J107:J121)</f>
        <v>0</v>
      </c>
      <c r="K122" s="717">
        <f>SUM(K107:K121)</f>
        <v>0</v>
      </c>
      <c r="L122" s="717">
        <f>SUM(L107:L121)</f>
        <v>0</v>
      </c>
      <c r="M122" s="717">
        <f>SUM(M107:M121)</f>
        <v>0</v>
      </c>
      <c r="N122" s="717">
        <f>SUM(N107:N121)</f>
        <v>0</v>
      </c>
      <c r="O122" s="133"/>
      <c r="P122" s="97"/>
    </row>
    <row r="123" spans="2:16">
      <c r="B123" s="92"/>
      <c r="C123" s="133"/>
      <c r="D123" s="138"/>
      <c r="E123" s="133"/>
      <c r="F123" s="706"/>
      <c r="G123" s="706"/>
      <c r="H123" s="135"/>
      <c r="I123" s="133"/>
      <c r="J123" s="133"/>
      <c r="K123" s="547"/>
      <c r="L123" s="547"/>
      <c r="M123" s="547"/>
      <c r="N123" s="547"/>
      <c r="O123" s="133"/>
      <c r="P123" s="97"/>
    </row>
    <row r="124" spans="2:16">
      <c r="B124" s="92"/>
      <c r="C124" s="93"/>
      <c r="D124" s="110"/>
      <c r="E124" s="93"/>
      <c r="F124" s="676"/>
      <c r="G124" s="676"/>
      <c r="H124" s="95"/>
      <c r="I124" s="93"/>
      <c r="J124" s="93"/>
      <c r="K124" s="479"/>
      <c r="L124" s="479"/>
      <c r="M124" s="479"/>
      <c r="N124" s="479"/>
      <c r="O124" s="93"/>
      <c r="P124" s="97"/>
    </row>
    <row r="125" spans="2:16">
      <c r="B125" s="92"/>
      <c r="C125" s="133"/>
      <c r="D125" s="138"/>
      <c r="E125" s="133"/>
      <c r="F125" s="706"/>
      <c r="G125" s="706"/>
      <c r="H125" s="135"/>
      <c r="I125" s="133"/>
      <c r="J125" s="133"/>
      <c r="K125" s="547"/>
      <c r="L125" s="547"/>
      <c r="M125" s="547"/>
      <c r="N125" s="547"/>
      <c r="O125" s="133"/>
      <c r="P125" s="97"/>
    </row>
    <row r="126" spans="2:16">
      <c r="B126" s="92"/>
      <c r="C126" s="133"/>
      <c r="D126" s="138" t="s">
        <v>697</v>
      </c>
      <c r="E126" s="133"/>
      <c r="F126" s="706"/>
      <c r="G126" s="706"/>
      <c r="H126" s="138"/>
      <c r="I126" s="133"/>
      <c r="J126" s="547"/>
      <c r="K126" s="547"/>
      <c r="L126" s="547"/>
      <c r="M126" s="547"/>
      <c r="N126" s="547"/>
      <c r="O126" s="133"/>
      <c r="P126" s="97"/>
    </row>
    <row r="127" spans="2:16">
      <c r="B127" s="92"/>
      <c r="C127" s="133"/>
      <c r="D127" s="155" t="s">
        <v>698</v>
      </c>
      <c r="E127" s="133"/>
      <c r="F127" s="706"/>
      <c r="G127" s="706"/>
      <c r="H127" s="135"/>
      <c r="I127" s="133"/>
      <c r="J127" s="547"/>
      <c r="K127" s="547"/>
      <c r="L127" s="547"/>
      <c r="M127" s="547"/>
      <c r="N127" s="547"/>
      <c r="O127" s="133"/>
      <c r="P127" s="97"/>
    </row>
    <row r="128" spans="2:16">
      <c r="B128" s="92"/>
      <c r="C128" s="133"/>
      <c r="D128" s="338"/>
      <c r="E128" s="339"/>
      <c r="F128" s="721"/>
      <c r="G128" s="721"/>
      <c r="H128" s="172"/>
      <c r="I128" s="133"/>
      <c r="J128" s="314">
        <v>0</v>
      </c>
      <c r="K128" s="314">
        <v>0</v>
      </c>
      <c r="L128" s="314">
        <v>0</v>
      </c>
      <c r="M128" s="314">
        <v>0</v>
      </c>
      <c r="N128" s="314">
        <v>0</v>
      </c>
      <c r="O128" s="133"/>
      <c r="P128" s="97"/>
    </row>
    <row r="129" spans="2:16">
      <c r="B129" s="92"/>
      <c r="C129" s="133"/>
      <c r="D129" s="338"/>
      <c r="E129" s="339"/>
      <c r="F129" s="721"/>
      <c r="G129" s="721"/>
      <c r="H129" s="172"/>
      <c r="I129" s="133"/>
      <c r="J129" s="314">
        <v>0</v>
      </c>
      <c r="K129" s="314">
        <v>0</v>
      </c>
      <c r="L129" s="314">
        <v>0</v>
      </c>
      <c r="M129" s="314">
        <v>0</v>
      </c>
      <c r="N129" s="314">
        <v>0</v>
      </c>
      <c r="O129" s="133"/>
      <c r="P129" s="97"/>
    </row>
    <row r="130" spans="2:16">
      <c r="B130" s="92"/>
      <c r="C130" s="133"/>
      <c r="D130" s="338"/>
      <c r="E130" s="339"/>
      <c r="F130" s="721"/>
      <c r="G130" s="721"/>
      <c r="H130" s="172"/>
      <c r="I130" s="133"/>
      <c r="J130" s="314">
        <v>0</v>
      </c>
      <c r="K130" s="314">
        <v>0</v>
      </c>
      <c r="L130" s="314">
        <v>0</v>
      </c>
      <c r="M130" s="314">
        <v>0</v>
      </c>
      <c r="N130" s="314">
        <v>0</v>
      </c>
      <c r="O130" s="133"/>
      <c r="P130" s="97"/>
    </row>
    <row r="131" spans="2:16">
      <c r="B131" s="92"/>
      <c r="C131" s="133"/>
      <c r="D131" s="338"/>
      <c r="E131" s="339"/>
      <c r="F131" s="721"/>
      <c r="G131" s="721"/>
      <c r="H131" s="172"/>
      <c r="I131" s="133"/>
      <c r="J131" s="314">
        <v>0</v>
      </c>
      <c r="K131" s="314">
        <v>0</v>
      </c>
      <c r="L131" s="314">
        <v>0</v>
      </c>
      <c r="M131" s="314">
        <v>0</v>
      </c>
      <c r="N131" s="314">
        <v>0</v>
      </c>
      <c r="O131" s="133"/>
      <c r="P131" s="97"/>
    </row>
    <row r="132" spans="2:16">
      <c r="B132" s="92"/>
      <c r="C132" s="133"/>
      <c r="D132" s="133"/>
      <c r="E132" s="133"/>
      <c r="F132" s="706"/>
      <c r="G132" s="706"/>
      <c r="H132" s="135"/>
      <c r="I132" s="133"/>
      <c r="J132" s="718">
        <f>SUM(J128:J131)</f>
        <v>0</v>
      </c>
      <c r="K132" s="718">
        <f>SUM(K128:K131)</f>
        <v>0</v>
      </c>
      <c r="L132" s="718">
        <f>SUM(L128:L131)</f>
        <v>0</v>
      </c>
      <c r="M132" s="718">
        <f>SUM(M128:M131)</f>
        <v>0</v>
      </c>
      <c r="N132" s="718">
        <f>SUM(N128:N131)</f>
        <v>0</v>
      </c>
      <c r="O132" s="133"/>
      <c r="P132" s="97"/>
    </row>
    <row r="133" spans="2:16">
      <c r="B133" s="92"/>
      <c r="C133" s="133"/>
      <c r="D133" s="133" t="s">
        <v>699</v>
      </c>
      <c r="E133" s="133"/>
      <c r="F133" s="706"/>
      <c r="G133" s="706"/>
      <c r="H133" s="135"/>
      <c r="I133" s="133"/>
      <c r="J133" s="547"/>
      <c r="K133" s="547"/>
      <c r="L133" s="547"/>
      <c r="M133" s="547"/>
      <c r="N133" s="547"/>
      <c r="O133" s="133"/>
      <c r="P133" s="97"/>
    </row>
    <row r="134" spans="2:16">
      <c r="B134" s="92"/>
      <c r="C134" s="133"/>
      <c r="D134" s="338"/>
      <c r="E134" s="339"/>
      <c r="F134" s="721"/>
      <c r="G134" s="721"/>
      <c r="H134" s="172"/>
      <c r="I134" s="133"/>
      <c r="J134" s="314">
        <v>0</v>
      </c>
      <c r="K134" s="314">
        <v>0</v>
      </c>
      <c r="L134" s="314">
        <v>0</v>
      </c>
      <c r="M134" s="314">
        <v>0</v>
      </c>
      <c r="N134" s="314">
        <v>0</v>
      </c>
      <c r="O134" s="133"/>
      <c r="P134" s="97"/>
    </row>
    <row r="135" spans="2:16">
      <c r="B135" s="92"/>
      <c r="C135" s="133"/>
      <c r="D135" s="338"/>
      <c r="E135" s="339"/>
      <c r="F135" s="721"/>
      <c r="G135" s="721"/>
      <c r="H135" s="172"/>
      <c r="I135" s="133"/>
      <c r="J135" s="314">
        <v>0</v>
      </c>
      <c r="K135" s="314">
        <v>0</v>
      </c>
      <c r="L135" s="314">
        <v>0</v>
      </c>
      <c r="M135" s="314">
        <v>0</v>
      </c>
      <c r="N135" s="314">
        <v>0</v>
      </c>
      <c r="O135" s="133"/>
      <c r="P135" s="97"/>
    </row>
    <row r="136" spans="2:16">
      <c r="B136" s="92"/>
      <c r="C136" s="133"/>
      <c r="D136" s="338"/>
      <c r="E136" s="339"/>
      <c r="F136" s="721"/>
      <c r="G136" s="721"/>
      <c r="H136" s="172"/>
      <c r="I136" s="133"/>
      <c r="J136" s="314">
        <v>0</v>
      </c>
      <c r="K136" s="314">
        <v>0</v>
      </c>
      <c r="L136" s="314">
        <v>0</v>
      </c>
      <c r="M136" s="314">
        <v>0</v>
      </c>
      <c r="N136" s="314">
        <v>0</v>
      </c>
      <c r="O136" s="133"/>
      <c r="P136" s="97"/>
    </row>
    <row r="137" spans="2:16">
      <c r="B137" s="92"/>
      <c r="C137" s="133"/>
      <c r="D137" s="338"/>
      <c r="E137" s="339"/>
      <c r="F137" s="721"/>
      <c r="G137" s="721"/>
      <c r="H137" s="172"/>
      <c r="I137" s="133"/>
      <c r="J137" s="314">
        <v>0</v>
      </c>
      <c r="K137" s="314">
        <v>0</v>
      </c>
      <c r="L137" s="314">
        <v>0</v>
      </c>
      <c r="M137" s="314">
        <v>0</v>
      </c>
      <c r="N137" s="314">
        <v>0</v>
      </c>
      <c r="O137" s="133"/>
      <c r="P137" s="97"/>
    </row>
    <row r="138" spans="2:16">
      <c r="B138" s="92"/>
      <c r="C138" s="133"/>
      <c r="D138" s="133"/>
      <c r="E138" s="133"/>
      <c r="F138" s="706"/>
      <c r="G138" s="706"/>
      <c r="H138" s="135"/>
      <c r="I138" s="133"/>
      <c r="J138" s="718">
        <f>SUM(J134:J137)</f>
        <v>0</v>
      </c>
      <c r="K138" s="718">
        <f>SUM(K134:K137)</f>
        <v>0</v>
      </c>
      <c r="L138" s="718">
        <f>SUM(L134:L137)</f>
        <v>0</v>
      </c>
      <c r="M138" s="718">
        <f>SUM(M134:M137)</f>
        <v>0</v>
      </c>
      <c r="N138" s="718">
        <f>SUM(N134:N137)</f>
        <v>0</v>
      </c>
      <c r="O138" s="133"/>
      <c r="P138" s="97"/>
    </row>
    <row r="139" spans="2:16">
      <c r="B139" s="92"/>
      <c r="C139" s="133"/>
      <c r="D139" s="133"/>
      <c r="E139" s="133"/>
      <c r="F139" s="706"/>
      <c r="G139" s="706"/>
      <c r="H139" s="135"/>
      <c r="I139" s="133"/>
      <c r="J139" s="547"/>
      <c r="K139" s="547"/>
      <c r="L139" s="547"/>
      <c r="M139" s="547"/>
      <c r="N139" s="547"/>
      <c r="O139" s="133"/>
      <c r="P139" s="97"/>
    </row>
    <row r="140" spans="2:16">
      <c r="B140" s="92"/>
      <c r="C140" s="133"/>
      <c r="D140" s="138" t="s">
        <v>700</v>
      </c>
      <c r="E140" s="133"/>
      <c r="F140" s="706"/>
      <c r="G140" s="706"/>
      <c r="H140" s="135"/>
      <c r="I140" s="133"/>
      <c r="J140" s="717">
        <f>J132-J138</f>
        <v>0</v>
      </c>
      <c r="K140" s="717">
        <f>K132-K138</f>
        <v>0</v>
      </c>
      <c r="L140" s="717">
        <f>L132-L138</f>
        <v>0</v>
      </c>
      <c r="M140" s="717">
        <f>M132-M138</f>
        <v>0</v>
      </c>
      <c r="N140" s="717">
        <f>N132-N138</f>
        <v>0</v>
      </c>
      <c r="O140" s="133"/>
      <c r="P140" s="97"/>
    </row>
    <row r="141" spans="2:16">
      <c r="B141" s="92"/>
      <c r="C141" s="133"/>
      <c r="D141" s="138"/>
      <c r="E141" s="133"/>
      <c r="F141" s="706"/>
      <c r="G141" s="706"/>
      <c r="H141" s="135"/>
      <c r="I141" s="133"/>
      <c r="J141" s="547"/>
      <c r="K141" s="547"/>
      <c r="L141" s="547"/>
      <c r="M141" s="547"/>
      <c r="N141" s="547"/>
      <c r="O141" s="133"/>
      <c r="P141" s="97"/>
    </row>
    <row r="142" spans="2:16">
      <c r="B142" s="92"/>
      <c r="C142" s="133"/>
      <c r="D142" s="138"/>
      <c r="E142" s="133"/>
      <c r="F142" s="706"/>
      <c r="G142" s="706"/>
      <c r="H142" s="135"/>
      <c r="I142" s="133"/>
      <c r="J142" s="547"/>
      <c r="K142" s="547"/>
      <c r="L142" s="547"/>
      <c r="M142" s="547"/>
      <c r="N142" s="547"/>
      <c r="O142" s="133"/>
      <c r="P142" s="97"/>
    </row>
    <row r="143" spans="2:16">
      <c r="B143" s="92"/>
      <c r="C143" s="133"/>
      <c r="D143" s="138" t="s">
        <v>391</v>
      </c>
      <c r="E143" s="133"/>
      <c r="F143" s="706"/>
      <c r="G143" s="706"/>
      <c r="H143" s="135"/>
      <c r="I143" s="133"/>
      <c r="J143" s="343">
        <f>+J53+J68+J79+J87+J100+J101+J122-J140</f>
        <v>314444.81335952855</v>
      </c>
      <c r="K143" s="343">
        <f>+K53+K68+K79+K87+K100+K101+K122-K140</f>
        <v>320104.82</v>
      </c>
      <c r="L143" s="343">
        <f>+L53+L68+L79+L87+L100+L101+L122-L140</f>
        <v>320104.82</v>
      </c>
      <c r="M143" s="343">
        <f>+M53+M68+M79+M87+M100+M101+M122-M140</f>
        <v>320104.82</v>
      </c>
      <c r="N143" s="343">
        <f>+N53+N68+N79+N87+N100+N101+N122-N140</f>
        <v>320104.82</v>
      </c>
      <c r="O143" s="133"/>
      <c r="P143" s="97"/>
    </row>
    <row r="144" spans="2:16">
      <c r="B144" s="92"/>
      <c r="C144" s="133"/>
      <c r="D144" s="138"/>
      <c r="E144" s="133"/>
      <c r="F144" s="706"/>
      <c r="G144" s="706"/>
      <c r="H144" s="135"/>
      <c r="I144" s="133"/>
      <c r="J144" s="133"/>
      <c r="K144" s="547"/>
      <c r="L144" s="547"/>
      <c r="M144" s="547"/>
      <c r="N144" s="547"/>
      <c r="O144" s="133"/>
      <c r="P144" s="97"/>
    </row>
    <row r="145" spans="2:16">
      <c r="B145" s="92"/>
      <c r="C145" s="93"/>
      <c r="D145" s="110"/>
      <c r="E145" s="93"/>
      <c r="F145" s="676"/>
      <c r="G145" s="676"/>
      <c r="H145" s="95"/>
      <c r="I145" s="93"/>
      <c r="J145" s="93"/>
      <c r="K145" s="479"/>
      <c r="L145" s="479"/>
      <c r="M145" s="479"/>
      <c r="N145" s="479"/>
      <c r="O145" s="93"/>
      <c r="P145" s="97"/>
    </row>
    <row r="146" spans="2:16">
      <c r="B146" s="92"/>
      <c r="C146" s="138"/>
      <c r="D146" s="319"/>
      <c r="E146" s="133"/>
      <c r="F146" s="706"/>
      <c r="G146" s="706"/>
      <c r="H146" s="135"/>
      <c r="I146" s="133"/>
      <c r="J146" s="133"/>
      <c r="K146" s="547"/>
      <c r="L146" s="547"/>
      <c r="M146" s="547"/>
      <c r="N146" s="547"/>
      <c r="O146" s="133"/>
      <c r="P146" s="97"/>
    </row>
    <row r="147" spans="2:16">
      <c r="B147" s="92"/>
      <c r="C147" s="138"/>
      <c r="D147" s="174" t="s">
        <v>708</v>
      </c>
      <c r="E147" s="133"/>
      <c r="F147" s="706"/>
      <c r="G147" s="706"/>
      <c r="H147" s="135"/>
      <c r="I147" s="133"/>
      <c r="J147" s="133"/>
      <c r="K147" s="547"/>
      <c r="L147" s="547"/>
      <c r="M147" s="547"/>
      <c r="N147" s="547"/>
      <c r="O147" s="133"/>
      <c r="P147" s="97"/>
    </row>
    <row r="148" spans="2:16">
      <c r="B148" s="92"/>
      <c r="C148" s="138"/>
      <c r="D148" s="133"/>
      <c r="E148" s="133"/>
      <c r="F148" s="706"/>
      <c r="G148" s="706"/>
      <c r="H148" s="135"/>
      <c r="I148" s="133"/>
      <c r="J148" s="133"/>
      <c r="K148" s="547"/>
      <c r="L148" s="547"/>
      <c r="M148" s="547"/>
      <c r="N148" s="547"/>
      <c r="O148" s="133"/>
      <c r="P148" s="97"/>
    </row>
    <row r="149" spans="2:16">
      <c r="B149" s="92"/>
      <c r="C149" s="138"/>
      <c r="D149" s="338"/>
      <c r="E149" s="339"/>
      <c r="F149" s="721"/>
      <c r="G149" s="721"/>
      <c r="H149" s="172"/>
      <c r="I149" s="133"/>
      <c r="J149" s="713">
        <v>0</v>
      </c>
      <c r="K149" s="713">
        <f>+J149</f>
        <v>0</v>
      </c>
      <c r="L149" s="713">
        <f t="shared" ref="L149:N152" si="4">+K149</f>
        <v>0</v>
      </c>
      <c r="M149" s="713">
        <f t="shared" si="4"/>
        <v>0</v>
      </c>
      <c r="N149" s="713">
        <f t="shared" si="4"/>
        <v>0</v>
      </c>
      <c r="O149" s="133"/>
      <c r="P149" s="97"/>
    </row>
    <row r="150" spans="2:16">
      <c r="B150" s="92"/>
      <c r="C150" s="138"/>
      <c r="D150" s="338"/>
      <c r="E150" s="339"/>
      <c r="F150" s="721"/>
      <c r="G150" s="721"/>
      <c r="H150" s="172"/>
      <c r="I150" s="133"/>
      <c r="J150" s="713">
        <v>0</v>
      </c>
      <c r="K150" s="713">
        <f>+J150</f>
        <v>0</v>
      </c>
      <c r="L150" s="713">
        <f t="shared" ref="L150:N151" si="5">+K150</f>
        <v>0</v>
      </c>
      <c r="M150" s="713">
        <f t="shared" si="5"/>
        <v>0</v>
      </c>
      <c r="N150" s="713">
        <f t="shared" si="5"/>
        <v>0</v>
      </c>
      <c r="O150" s="133"/>
      <c r="P150" s="97"/>
    </row>
    <row r="151" spans="2:16">
      <c r="B151" s="92"/>
      <c r="C151" s="138"/>
      <c r="D151" s="338"/>
      <c r="E151" s="339"/>
      <c r="F151" s="721"/>
      <c r="G151" s="721"/>
      <c r="H151" s="172"/>
      <c r="I151" s="133"/>
      <c r="J151" s="713">
        <v>0</v>
      </c>
      <c r="K151" s="713">
        <f>+J151</f>
        <v>0</v>
      </c>
      <c r="L151" s="713">
        <f t="shared" si="5"/>
        <v>0</v>
      </c>
      <c r="M151" s="713">
        <f t="shared" si="5"/>
        <v>0</v>
      </c>
      <c r="N151" s="713">
        <f t="shared" si="5"/>
        <v>0</v>
      </c>
      <c r="O151" s="133"/>
      <c r="P151" s="97"/>
    </row>
    <row r="152" spans="2:16">
      <c r="B152" s="92"/>
      <c r="C152" s="138"/>
      <c r="D152" s="338"/>
      <c r="E152" s="339"/>
      <c r="F152" s="721"/>
      <c r="G152" s="721"/>
      <c r="H152" s="172"/>
      <c r="I152" s="133"/>
      <c r="J152" s="713">
        <v>0</v>
      </c>
      <c r="K152" s="713">
        <f>+J152</f>
        <v>0</v>
      </c>
      <c r="L152" s="713">
        <f t="shared" si="4"/>
        <v>0</v>
      </c>
      <c r="M152" s="713">
        <f t="shared" si="4"/>
        <v>0</v>
      </c>
      <c r="N152" s="713">
        <f t="shared" si="4"/>
        <v>0</v>
      </c>
      <c r="O152" s="133"/>
      <c r="P152" s="97"/>
    </row>
    <row r="153" spans="2:16">
      <c r="B153" s="92"/>
      <c r="C153" s="138"/>
      <c r="D153" s="319"/>
      <c r="E153" s="133"/>
      <c r="F153" s="706"/>
      <c r="G153" s="706"/>
      <c r="H153" s="135"/>
      <c r="I153" s="133"/>
      <c r="J153" s="547"/>
      <c r="K153" s="547"/>
      <c r="L153" s="547"/>
      <c r="M153" s="547"/>
      <c r="N153" s="547"/>
      <c r="O153" s="133"/>
      <c r="P153" s="97"/>
    </row>
    <row r="154" spans="2:16">
      <c r="B154" s="92"/>
      <c r="C154" s="138"/>
      <c r="D154" s="319" t="s">
        <v>391</v>
      </c>
      <c r="E154" s="133"/>
      <c r="F154" s="706"/>
      <c r="G154" s="706"/>
      <c r="H154" s="135"/>
      <c r="I154" s="133"/>
      <c r="J154" s="343">
        <f>SUM(J149:J152)</f>
        <v>0</v>
      </c>
      <c r="K154" s="343">
        <f>SUM(K149:K152)</f>
        <v>0</v>
      </c>
      <c r="L154" s="343">
        <f>SUM(L149:L152)</f>
        <v>0</v>
      </c>
      <c r="M154" s="343">
        <f>SUM(M149:M152)</f>
        <v>0</v>
      </c>
      <c r="N154" s="343">
        <f>SUM(N149:N152)</f>
        <v>0</v>
      </c>
      <c r="O154" s="133"/>
      <c r="P154" s="97"/>
    </row>
    <row r="155" spans="2:16">
      <c r="B155" s="92"/>
      <c r="C155" s="138"/>
      <c r="D155" s="155"/>
      <c r="E155" s="133"/>
      <c r="F155" s="706"/>
      <c r="G155" s="706"/>
      <c r="H155" s="135"/>
      <c r="I155" s="133"/>
      <c r="J155" s="133"/>
      <c r="K155" s="547"/>
      <c r="L155" s="547"/>
      <c r="M155" s="547"/>
      <c r="N155" s="547"/>
      <c r="O155" s="133"/>
      <c r="P155" s="97"/>
    </row>
    <row r="156" spans="2:16">
      <c r="B156" s="92"/>
      <c r="C156" s="110"/>
      <c r="D156" s="271"/>
      <c r="E156" s="93"/>
      <c r="F156" s="676"/>
      <c r="G156" s="676"/>
      <c r="H156" s="95"/>
      <c r="I156" s="93"/>
      <c r="J156" s="93"/>
      <c r="K156" s="479"/>
      <c r="L156" s="479"/>
      <c r="M156" s="479"/>
      <c r="N156" s="479"/>
      <c r="O156" s="93"/>
      <c r="P156" s="97"/>
    </row>
    <row r="157" spans="2:16">
      <c r="B157" s="92"/>
      <c r="C157" s="138"/>
      <c r="D157" s="155"/>
      <c r="E157" s="133"/>
      <c r="F157" s="706"/>
      <c r="G157" s="706"/>
      <c r="H157" s="135"/>
      <c r="I157" s="133"/>
      <c r="J157" s="133"/>
      <c r="K157" s="547"/>
      <c r="L157" s="547"/>
      <c r="M157" s="547"/>
      <c r="N157" s="547"/>
      <c r="O157" s="133"/>
      <c r="P157" s="97"/>
    </row>
    <row r="158" spans="2:16">
      <c r="B158" s="92"/>
      <c r="C158" s="138"/>
      <c r="D158" s="174" t="s">
        <v>640</v>
      </c>
      <c r="E158" s="133"/>
      <c r="F158" s="706"/>
      <c r="G158" s="706"/>
      <c r="H158" s="135"/>
      <c r="I158" s="133"/>
      <c r="J158" s="133"/>
      <c r="K158" s="547"/>
      <c r="L158" s="547"/>
      <c r="M158" s="547"/>
      <c r="N158" s="547"/>
      <c r="O158" s="133"/>
      <c r="P158" s="97"/>
    </row>
    <row r="159" spans="2:16">
      <c r="B159" s="92"/>
      <c r="C159" s="138"/>
      <c r="D159" s="133"/>
      <c r="E159" s="133"/>
      <c r="F159" s="706"/>
      <c r="G159" s="706"/>
      <c r="H159" s="135"/>
      <c r="I159" s="133"/>
      <c r="J159" s="133"/>
      <c r="K159" s="547"/>
      <c r="L159" s="547"/>
      <c r="M159" s="547"/>
      <c r="N159" s="547"/>
      <c r="O159" s="133"/>
      <c r="P159" s="97"/>
    </row>
    <row r="160" spans="2:16">
      <c r="B160" s="92"/>
      <c r="C160" s="138"/>
      <c r="D160" s="155" t="s">
        <v>11</v>
      </c>
      <c r="E160" s="135"/>
      <c r="F160" s="135"/>
      <c r="G160" s="135"/>
      <c r="H160" s="135"/>
      <c r="I160" s="133"/>
      <c r="J160" s="713">
        <v>0</v>
      </c>
      <c r="K160" s="713">
        <f t="shared" ref="K160:K166" si="6">+J160</f>
        <v>0</v>
      </c>
      <c r="L160" s="713">
        <f t="shared" ref="L160:N162" si="7">+K160</f>
        <v>0</v>
      </c>
      <c r="M160" s="713">
        <f t="shared" si="7"/>
        <v>0</v>
      </c>
      <c r="N160" s="713">
        <f t="shared" si="7"/>
        <v>0</v>
      </c>
      <c r="O160" s="133"/>
      <c r="P160" s="97"/>
    </row>
    <row r="161" spans="2:16">
      <c r="B161" s="92"/>
      <c r="C161" s="138"/>
      <c r="D161" s="155" t="s">
        <v>62</v>
      </c>
      <c r="E161" s="135"/>
      <c r="F161" s="135"/>
      <c r="G161" s="135"/>
      <c r="H161" s="135"/>
      <c r="I161" s="133"/>
      <c r="J161" s="713">
        <v>0</v>
      </c>
      <c r="K161" s="713">
        <f t="shared" si="6"/>
        <v>0</v>
      </c>
      <c r="L161" s="713">
        <f t="shared" si="7"/>
        <v>0</v>
      </c>
      <c r="M161" s="713">
        <f t="shared" si="7"/>
        <v>0</v>
      </c>
      <c r="N161" s="713">
        <f t="shared" si="7"/>
        <v>0</v>
      </c>
      <c r="O161" s="133"/>
      <c r="P161" s="97"/>
    </row>
    <row r="162" spans="2:16">
      <c r="B162" s="92"/>
      <c r="C162" s="138"/>
      <c r="D162" s="155" t="s">
        <v>63</v>
      </c>
      <c r="E162" s="135"/>
      <c r="F162" s="135"/>
      <c r="G162" s="135"/>
      <c r="H162" s="135"/>
      <c r="I162" s="133"/>
      <c r="J162" s="713">
        <v>0</v>
      </c>
      <c r="K162" s="713">
        <f t="shared" si="6"/>
        <v>0</v>
      </c>
      <c r="L162" s="713">
        <f t="shared" si="7"/>
        <v>0</v>
      </c>
      <c r="M162" s="713">
        <f t="shared" si="7"/>
        <v>0</v>
      </c>
      <c r="N162" s="713">
        <f t="shared" si="7"/>
        <v>0</v>
      </c>
      <c r="O162" s="133"/>
      <c r="P162" s="97"/>
    </row>
    <row r="163" spans="2:16">
      <c r="B163" s="92"/>
      <c r="C163" s="138"/>
      <c r="D163" s="338"/>
      <c r="E163" s="339"/>
      <c r="F163" s="721"/>
      <c r="G163" s="721"/>
      <c r="H163" s="172"/>
      <c r="I163" s="133"/>
      <c r="J163" s="713">
        <v>0</v>
      </c>
      <c r="K163" s="713">
        <f t="shared" si="6"/>
        <v>0</v>
      </c>
      <c r="L163" s="713">
        <f t="shared" ref="L163:N164" si="8">+K163</f>
        <v>0</v>
      </c>
      <c r="M163" s="713">
        <f t="shared" si="8"/>
        <v>0</v>
      </c>
      <c r="N163" s="713">
        <f t="shared" si="8"/>
        <v>0</v>
      </c>
      <c r="O163" s="133"/>
      <c r="P163" s="97"/>
    </row>
    <row r="164" spans="2:16">
      <c r="B164" s="92"/>
      <c r="C164" s="138"/>
      <c r="D164" s="338"/>
      <c r="E164" s="339"/>
      <c r="F164" s="721"/>
      <c r="G164" s="721"/>
      <c r="H164" s="172"/>
      <c r="I164" s="133"/>
      <c r="J164" s="713">
        <v>0</v>
      </c>
      <c r="K164" s="713">
        <f t="shared" si="6"/>
        <v>0</v>
      </c>
      <c r="L164" s="713">
        <f t="shared" si="8"/>
        <v>0</v>
      </c>
      <c r="M164" s="713">
        <f t="shared" si="8"/>
        <v>0</v>
      </c>
      <c r="N164" s="713">
        <f t="shared" si="8"/>
        <v>0</v>
      </c>
      <c r="O164" s="133"/>
      <c r="P164" s="97"/>
    </row>
    <row r="165" spans="2:16">
      <c r="B165" s="92"/>
      <c r="C165" s="138"/>
      <c r="D165" s="338"/>
      <c r="E165" s="339"/>
      <c r="F165" s="721"/>
      <c r="G165" s="721"/>
      <c r="H165" s="172"/>
      <c r="I165" s="133"/>
      <c r="J165" s="713">
        <v>0</v>
      </c>
      <c r="K165" s="713">
        <f t="shared" si="6"/>
        <v>0</v>
      </c>
      <c r="L165" s="713">
        <f t="shared" ref="L165:N166" si="9">+K165</f>
        <v>0</v>
      </c>
      <c r="M165" s="713">
        <f t="shared" si="9"/>
        <v>0</v>
      </c>
      <c r="N165" s="713">
        <f t="shared" si="9"/>
        <v>0</v>
      </c>
      <c r="O165" s="133"/>
      <c r="P165" s="97"/>
    </row>
    <row r="166" spans="2:16">
      <c r="B166" s="92"/>
      <c r="C166" s="138"/>
      <c r="D166" s="338"/>
      <c r="E166" s="339"/>
      <c r="F166" s="721"/>
      <c r="G166" s="721"/>
      <c r="H166" s="172"/>
      <c r="I166" s="133"/>
      <c r="J166" s="713">
        <v>0</v>
      </c>
      <c r="K166" s="713">
        <f t="shared" si="6"/>
        <v>0</v>
      </c>
      <c r="L166" s="713">
        <f t="shared" si="9"/>
        <v>0</v>
      </c>
      <c r="M166" s="713">
        <f t="shared" si="9"/>
        <v>0</v>
      </c>
      <c r="N166" s="713">
        <f t="shared" si="9"/>
        <v>0</v>
      </c>
      <c r="O166" s="133"/>
      <c r="P166" s="97"/>
    </row>
    <row r="167" spans="2:16">
      <c r="B167" s="92"/>
      <c r="C167" s="138"/>
      <c r="D167" s="133"/>
      <c r="E167" s="133"/>
      <c r="F167" s="706"/>
      <c r="G167" s="706"/>
      <c r="H167" s="135"/>
      <c r="I167" s="133"/>
      <c r="J167" s="547"/>
      <c r="K167" s="547"/>
      <c r="L167" s="547"/>
      <c r="M167" s="547"/>
      <c r="N167" s="547"/>
      <c r="O167" s="133"/>
      <c r="P167" s="97"/>
    </row>
    <row r="168" spans="2:16">
      <c r="B168" s="92"/>
      <c r="C168" s="138"/>
      <c r="D168" s="319" t="s">
        <v>391</v>
      </c>
      <c r="E168" s="133"/>
      <c r="F168" s="706"/>
      <c r="G168" s="706"/>
      <c r="H168" s="135"/>
      <c r="I168" s="133"/>
      <c r="J168" s="343">
        <f>SUM(J160:J166)</f>
        <v>0</v>
      </c>
      <c r="K168" s="343">
        <f>SUM(K160:K166)</f>
        <v>0</v>
      </c>
      <c r="L168" s="343">
        <f>SUM(L160:L166)</f>
        <v>0</v>
      </c>
      <c r="M168" s="343">
        <f>SUM(M160:M166)</f>
        <v>0</v>
      </c>
      <c r="N168" s="343">
        <f>SUM(N160:N166)</f>
        <v>0</v>
      </c>
      <c r="O168" s="133"/>
      <c r="P168" s="97"/>
    </row>
    <row r="169" spans="2:16">
      <c r="B169" s="92"/>
      <c r="C169" s="213"/>
      <c r="D169" s="133"/>
      <c r="E169" s="133"/>
      <c r="F169" s="706"/>
      <c r="G169" s="706"/>
      <c r="H169" s="135"/>
      <c r="I169" s="133"/>
      <c r="J169" s="547"/>
      <c r="K169" s="547"/>
      <c r="L169" s="547"/>
      <c r="M169" s="547"/>
      <c r="N169" s="547"/>
      <c r="O169" s="133"/>
      <c r="P169" s="97"/>
    </row>
    <row r="170" spans="2:16">
      <c r="B170" s="92"/>
      <c r="C170" s="93"/>
      <c r="D170" s="110"/>
      <c r="E170" s="93"/>
      <c r="F170" s="676"/>
      <c r="G170" s="676"/>
      <c r="H170" s="95"/>
      <c r="I170" s="93"/>
      <c r="J170" s="479"/>
      <c r="K170" s="479"/>
      <c r="L170" s="479"/>
      <c r="M170" s="479"/>
      <c r="N170" s="479"/>
      <c r="O170" s="93"/>
      <c r="P170" s="97"/>
    </row>
    <row r="171" spans="2:16">
      <c r="B171" s="92"/>
      <c r="C171" s="133"/>
      <c r="D171" s="138"/>
      <c r="E171" s="133"/>
      <c r="F171" s="706"/>
      <c r="G171" s="706"/>
      <c r="H171" s="135"/>
      <c r="I171" s="133"/>
      <c r="J171" s="547"/>
      <c r="K171" s="547"/>
      <c r="L171" s="547"/>
      <c r="M171" s="547"/>
      <c r="N171" s="547"/>
      <c r="O171" s="133"/>
      <c r="P171" s="97"/>
    </row>
    <row r="172" spans="2:16">
      <c r="B172" s="92"/>
      <c r="C172" s="133"/>
      <c r="D172" s="138" t="s">
        <v>6</v>
      </c>
      <c r="E172" s="133"/>
      <c r="F172" s="133"/>
      <c r="G172" s="133"/>
      <c r="H172" s="135"/>
      <c r="I172" s="133"/>
      <c r="J172" s="343">
        <f>J143+J154+J168</f>
        <v>314444.81335952855</v>
      </c>
      <c r="K172" s="343">
        <f>K143+K154+K168</f>
        <v>320104.82</v>
      </c>
      <c r="L172" s="343">
        <f>L143+L154+L168</f>
        <v>320104.82</v>
      </c>
      <c r="M172" s="343">
        <f>M143+M154+M168</f>
        <v>320104.82</v>
      </c>
      <c r="N172" s="343">
        <f>N143+N154+N168</f>
        <v>320104.82</v>
      </c>
      <c r="O172" s="133"/>
      <c r="P172" s="97"/>
    </row>
    <row r="173" spans="2:16">
      <c r="B173" s="92"/>
      <c r="C173" s="133"/>
      <c r="D173" s="133"/>
      <c r="E173" s="133"/>
      <c r="F173" s="133"/>
      <c r="G173" s="133"/>
      <c r="H173" s="135"/>
      <c r="I173" s="133"/>
      <c r="J173" s="133"/>
      <c r="K173" s="135"/>
      <c r="L173" s="135"/>
      <c r="M173" s="135"/>
      <c r="N173" s="135"/>
      <c r="O173" s="133"/>
      <c r="P173" s="97"/>
    </row>
    <row r="174" spans="2:16">
      <c r="B174" s="92"/>
      <c r="C174" s="93"/>
      <c r="D174" s="93"/>
      <c r="E174" s="93"/>
      <c r="F174" s="93"/>
      <c r="G174" s="93"/>
      <c r="H174" s="95"/>
      <c r="I174" s="93"/>
      <c r="J174" s="93"/>
      <c r="K174" s="95"/>
      <c r="L174" s="95"/>
      <c r="M174" s="95"/>
      <c r="N174" s="95"/>
      <c r="O174" s="93"/>
      <c r="P174" s="97"/>
    </row>
    <row r="175" spans="2:16" ht="15">
      <c r="B175" s="113"/>
      <c r="C175" s="114"/>
      <c r="D175" s="114"/>
      <c r="E175" s="114"/>
      <c r="F175" s="114"/>
      <c r="G175" s="114"/>
      <c r="H175" s="118"/>
      <c r="I175" s="114"/>
      <c r="J175" s="114"/>
      <c r="K175" s="118"/>
      <c r="L175" s="118"/>
      <c r="M175" s="118"/>
      <c r="N175" s="118"/>
      <c r="O175" s="119" t="s">
        <v>555</v>
      </c>
      <c r="P175" s="120"/>
    </row>
    <row r="176" spans="2:16">
      <c r="B176" s="87"/>
      <c r="C176" s="88"/>
      <c r="D176" s="121"/>
      <c r="E176" s="88"/>
      <c r="F176" s="683"/>
      <c r="G176" s="683"/>
      <c r="H176" s="90"/>
      <c r="I176" s="88"/>
      <c r="J176" s="88"/>
      <c r="K176" s="684"/>
      <c r="L176" s="684"/>
      <c r="M176" s="684"/>
      <c r="N176" s="684"/>
      <c r="O176" s="88"/>
      <c r="P176" s="91"/>
    </row>
    <row r="177" spans="2:16">
      <c r="B177" s="92"/>
      <c r="C177" s="93"/>
      <c r="D177" s="110"/>
      <c r="E177" s="93"/>
      <c r="F177" s="676"/>
      <c r="G177" s="676"/>
      <c r="H177" s="95"/>
      <c r="I177" s="93"/>
      <c r="J177" s="93"/>
      <c r="K177" s="479"/>
      <c r="L177" s="479"/>
      <c r="M177" s="479"/>
      <c r="N177" s="479"/>
      <c r="O177" s="93"/>
      <c r="P177" s="97"/>
    </row>
    <row r="178" spans="2:16">
      <c r="B178" s="92"/>
      <c r="C178" s="93"/>
      <c r="D178" s="110"/>
      <c r="E178" s="93"/>
      <c r="F178" s="676"/>
      <c r="G178" s="676"/>
      <c r="H178" s="95"/>
      <c r="I178" s="93"/>
      <c r="J178" s="164">
        <f>J8</f>
        <v>2012</v>
      </c>
      <c r="K178" s="164">
        <f>K8</f>
        <v>2013</v>
      </c>
      <c r="L178" s="164">
        <f>L8</f>
        <v>2014</v>
      </c>
      <c r="M178" s="1069">
        <f>M8</f>
        <v>2015</v>
      </c>
      <c r="N178" s="1069">
        <f>N8</f>
        <v>2016</v>
      </c>
      <c r="O178" s="93"/>
      <c r="P178" s="97"/>
    </row>
    <row r="179" spans="2:16">
      <c r="B179" s="92"/>
      <c r="C179" s="93"/>
      <c r="D179" s="110"/>
      <c r="E179" s="93"/>
      <c r="F179" s="676"/>
      <c r="G179" s="676"/>
      <c r="H179" s="95"/>
      <c r="I179" s="93"/>
      <c r="J179" s="93"/>
      <c r="K179" s="479"/>
      <c r="L179" s="479"/>
      <c r="M179" s="479"/>
      <c r="N179" s="479"/>
      <c r="O179" s="93"/>
      <c r="P179" s="97"/>
    </row>
    <row r="180" spans="2:16">
      <c r="B180" s="92"/>
      <c r="C180" s="133"/>
      <c r="D180" s="695"/>
      <c r="E180" s="697"/>
      <c r="F180" s="133"/>
      <c r="G180" s="133"/>
      <c r="H180" s="701"/>
      <c r="I180" s="133"/>
      <c r="J180" s="133"/>
      <c r="K180" s="552"/>
      <c r="L180" s="552"/>
      <c r="M180" s="552"/>
      <c r="N180" s="552"/>
      <c r="O180" s="133"/>
      <c r="P180" s="97"/>
    </row>
    <row r="181" spans="2:16">
      <c r="B181" s="92"/>
      <c r="C181" s="133"/>
      <c r="D181" s="719" t="s">
        <v>237</v>
      </c>
      <c r="E181" s="133"/>
      <c r="F181" s="133"/>
      <c r="G181" s="133"/>
      <c r="H181" s="238" t="s">
        <v>546</v>
      </c>
      <c r="I181" s="133"/>
      <c r="J181" s="133"/>
      <c r="K181" s="552"/>
      <c r="L181" s="552"/>
      <c r="M181" s="552"/>
      <c r="N181" s="552"/>
      <c r="O181" s="133"/>
      <c r="P181" s="97"/>
    </row>
    <row r="182" spans="2:16">
      <c r="B182" s="92"/>
      <c r="C182" s="133"/>
      <c r="D182" s="695"/>
      <c r="E182" s="133"/>
      <c r="F182" s="133"/>
      <c r="G182" s="133"/>
      <c r="H182" s="135"/>
      <c r="I182" s="133"/>
      <c r="J182" s="133"/>
      <c r="K182" s="552"/>
      <c r="L182" s="552"/>
      <c r="M182" s="552"/>
      <c r="N182" s="552"/>
      <c r="O182" s="133"/>
      <c r="P182" s="97"/>
    </row>
    <row r="183" spans="2:16">
      <c r="B183" s="92"/>
      <c r="C183" s="133"/>
      <c r="D183" s="155" t="s">
        <v>357</v>
      </c>
      <c r="E183" s="133"/>
      <c r="F183" s="133"/>
      <c r="G183" s="133"/>
      <c r="H183" s="172"/>
      <c r="I183" s="133"/>
      <c r="J183" s="573">
        <f>act!F34+act!F42</f>
        <v>0</v>
      </c>
      <c r="K183" s="573">
        <f>act!G34+act!G42</f>
        <v>0</v>
      </c>
      <c r="L183" s="573">
        <f>act!H34+act!H42</f>
        <v>0</v>
      </c>
      <c r="M183" s="573">
        <f>act!I34+act!I42</f>
        <v>0</v>
      </c>
      <c r="N183" s="573">
        <f>act!J34+act!J42</f>
        <v>0</v>
      </c>
      <c r="O183" s="133"/>
      <c r="P183" s="97"/>
    </row>
    <row r="184" spans="2:16">
      <c r="B184" s="92"/>
      <c r="C184" s="133"/>
      <c r="D184" s="155" t="s">
        <v>358</v>
      </c>
      <c r="E184" s="133"/>
      <c r="F184" s="133"/>
      <c r="G184" s="133"/>
      <c r="H184" s="172"/>
      <c r="I184" s="133"/>
      <c r="J184" s="573">
        <f>act!F35+act!F43</f>
        <v>0</v>
      </c>
      <c r="K184" s="573">
        <f>act!G35+act!G43</f>
        <v>0</v>
      </c>
      <c r="L184" s="573">
        <f>act!H35+act!H43</f>
        <v>0</v>
      </c>
      <c r="M184" s="573">
        <f>act!I35+act!I43</f>
        <v>0</v>
      </c>
      <c r="N184" s="573">
        <f>act!J35+act!J43</f>
        <v>0</v>
      </c>
      <c r="O184" s="133"/>
      <c r="P184" s="97"/>
    </row>
    <row r="185" spans="2:16">
      <c r="B185" s="92"/>
      <c r="C185" s="133"/>
      <c r="D185" s="705" t="s">
        <v>613</v>
      </c>
      <c r="E185" s="133"/>
      <c r="F185" s="133"/>
      <c r="G185" s="133"/>
      <c r="H185" s="172"/>
      <c r="I185" s="133"/>
      <c r="J185" s="573">
        <f>act!F36+act!F44</f>
        <v>0</v>
      </c>
      <c r="K185" s="573">
        <f>act!G36+act!G44</f>
        <v>0</v>
      </c>
      <c r="L185" s="573">
        <f>act!H36+act!H44</f>
        <v>0</v>
      </c>
      <c r="M185" s="573">
        <f>act!I36+act!I44</f>
        <v>0</v>
      </c>
      <c r="N185" s="573">
        <f>act!J36+act!J44</f>
        <v>0</v>
      </c>
      <c r="O185" s="133"/>
      <c r="P185" s="97"/>
    </row>
    <row r="186" spans="2:16">
      <c r="B186" s="92"/>
      <c r="C186" s="133"/>
      <c r="D186" s="705" t="s">
        <v>614</v>
      </c>
      <c r="E186" s="133"/>
      <c r="F186" s="133"/>
      <c r="G186" s="133"/>
      <c r="H186" s="172"/>
      <c r="I186" s="133"/>
      <c r="J186" s="573">
        <f>act!F37+act!F45</f>
        <v>0</v>
      </c>
      <c r="K186" s="573">
        <f>act!G37+act!G45</f>
        <v>0</v>
      </c>
      <c r="L186" s="573">
        <f>act!H37+act!H45</f>
        <v>0</v>
      </c>
      <c r="M186" s="573">
        <f>act!I37+act!I45</f>
        <v>0</v>
      </c>
      <c r="N186" s="573">
        <f>act!J37+act!J45</f>
        <v>0</v>
      </c>
      <c r="O186" s="133"/>
      <c r="P186" s="97"/>
    </row>
    <row r="187" spans="2:16">
      <c r="B187" s="92"/>
      <c r="C187" s="133"/>
      <c r="D187" s="155" t="s">
        <v>360</v>
      </c>
      <c r="E187" s="133"/>
      <c r="F187" s="133"/>
      <c r="G187" s="133"/>
      <c r="H187" s="172"/>
      <c r="I187" s="133"/>
      <c r="J187" s="573">
        <f>act!F38+act!F46</f>
        <v>0</v>
      </c>
      <c r="K187" s="573">
        <f>act!G38+act!G46</f>
        <v>0</v>
      </c>
      <c r="L187" s="573">
        <f>act!H38+act!H46</f>
        <v>0</v>
      </c>
      <c r="M187" s="573">
        <f>act!I38+act!I46</f>
        <v>0</v>
      </c>
      <c r="N187" s="573">
        <f>act!J38+act!J46</f>
        <v>0</v>
      </c>
      <c r="O187" s="133"/>
      <c r="P187" s="97"/>
    </row>
    <row r="188" spans="2:16">
      <c r="B188" s="92"/>
      <c r="C188" s="133"/>
      <c r="D188" s="155" t="s">
        <v>361</v>
      </c>
      <c r="E188" s="133"/>
      <c r="F188" s="133"/>
      <c r="G188" s="133"/>
      <c r="H188" s="172"/>
      <c r="I188" s="133"/>
      <c r="J188" s="573">
        <f>act!F39+act!F47</f>
        <v>0</v>
      </c>
      <c r="K188" s="573">
        <f>act!G39+act!G47</f>
        <v>0</v>
      </c>
      <c r="L188" s="573">
        <f>act!H39+act!H47</f>
        <v>0</v>
      </c>
      <c r="M188" s="573">
        <f>act!I39+act!I47</f>
        <v>0</v>
      </c>
      <c r="N188" s="573">
        <f>act!J39+act!J47</f>
        <v>0</v>
      </c>
      <c r="O188" s="133"/>
      <c r="P188" s="97"/>
    </row>
    <row r="189" spans="2:16">
      <c r="B189" s="92"/>
      <c r="C189" s="133"/>
      <c r="D189" s="695"/>
      <c r="E189" s="133"/>
      <c r="F189" s="133"/>
      <c r="G189" s="133"/>
      <c r="H189" s="698"/>
      <c r="I189" s="133"/>
      <c r="J189" s="552"/>
      <c r="K189" s="552"/>
      <c r="L189" s="552"/>
      <c r="M189" s="552"/>
      <c r="N189" s="552"/>
      <c r="O189" s="133"/>
      <c r="P189" s="97"/>
    </row>
    <row r="190" spans="2:16">
      <c r="B190" s="92"/>
      <c r="C190" s="133"/>
      <c r="D190" s="138" t="s">
        <v>391</v>
      </c>
      <c r="E190" s="133"/>
      <c r="F190" s="133"/>
      <c r="G190" s="133"/>
      <c r="H190" s="698"/>
      <c r="I190" s="133"/>
      <c r="J190" s="720">
        <f>SUM(J183:J188)</f>
        <v>0</v>
      </c>
      <c r="K190" s="720">
        <f>SUM(K183:K188)</f>
        <v>0</v>
      </c>
      <c r="L190" s="720">
        <f>SUM(L183:L188)</f>
        <v>0</v>
      </c>
      <c r="M190" s="720">
        <f>SUM(M183:M188)</f>
        <v>0</v>
      </c>
      <c r="N190" s="720">
        <f>SUM(N183:N188)</f>
        <v>0</v>
      </c>
      <c r="O190" s="133"/>
      <c r="P190" s="97"/>
    </row>
    <row r="191" spans="2:16">
      <c r="B191" s="92"/>
      <c r="C191" s="133"/>
      <c r="D191" s="697"/>
      <c r="E191" s="697"/>
      <c r="F191" s="133"/>
      <c r="G191" s="133"/>
      <c r="H191" s="698"/>
      <c r="I191" s="133"/>
      <c r="J191" s="133"/>
      <c r="K191" s="552"/>
      <c r="L191" s="552"/>
      <c r="M191" s="552"/>
      <c r="N191" s="552"/>
      <c r="O191" s="133"/>
      <c r="P191" s="97"/>
    </row>
    <row r="192" spans="2:16">
      <c r="B192" s="92"/>
      <c r="C192" s="93"/>
      <c r="D192" s="685"/>
      <c r="E192" s="685"/>
      <c r="F192" s="93"/>
      <c r="G192" s="93"/>
      <c r="H192" s="686"/>
      <c r="I192" s="93"/>
      <c r="J192" s="93"/>
      <c r="K192" s="616"/>
      <c r="L192" s="616"/>
      <c r="M192" s="616"/>
      <c r="N192" s="616"/>
      <c r="O192" s="93"/>
      <c r="P192" s="97"/>
    </row>
    <row r="193" spans="2:16">
      <c r="B193" s="92"/>
      <c r="C193" s="133"/>
      <c r="D193" s="697"/>
      <c r="E193" s="697"/>
      <c r="F193" s="133"/>
      <c r="G193" s="133"/>
      <c r="H193" s="698"/>
      <c r="I193" s="133"/>
      <c r="J193" s="133"/>
      <c r="K193" s="552"/>
      <c r="L193" s="552"/>
      <c r="M193" s="552"/>
      <c r="N193" s="552"/>
      <c r="O193" s="133"/>
      <c r="P193" s="97"/>
    </row>
    <row r="194" spans="2:16">
      <c r="B194" s="92"/>
      <c r="C194" s="133"/>
      <c r="D194" s="174" t="s">
        <v>238</v>
      </c>
      <c r="E194" s="138"/>
      <c r="F194" s="133"/>
      <c r="G194" s="133"/>
      <c r="H194" s="238" t="s">
        <v>546</v>
      </c>
      <c r="I194" s="702"/>
      <c r="J194" s="702"/>
      <c r="K194" s="703"/>
      <c r="L194" s="703"/>
      <c r="M194" s="703"/>
      <c r="N194" s="703"/>
      <c r="O194" s="133"/>
      <c r="P194" s="97"/>
    </row>
    <row r="195" spans="2:16">
      <c r="B195" s="92"/>
      <c r="C195" s="133"/>
      <c r="D195" s="138"/>
      <c r="E195" s="138"/>
      <c r="F195" s="133"/>
      <c r="G195" s="133"/>
      <c r="H195" s="698"/>
      <c r="I195" s="702"/>
      <c r="J195" s="702"/>
      <c r="K195" s="703"/>
      <c r="L195" s="703"/>
      <c r="M195" s="703"/>
      <c r="N195" s="703"/>
      <c r="O195" s="133"/>
      <c r="P195" s="97"/>
    </row>
    <row r="196" spans="2:16">
      <c r="B196" s="92"/>
      <c r="C196" s="133"/>
      <c r="D196" s="697" t="s">
        <v>64</v>
      </c>
      <c r="E196" s="704"/>
      <c r="F196" s="704"/>
      <c r="G196" s="133"/>
      <c r="H196" s="700"/>
      <c r="I196" s="133"/>
      <c r="J196" s="578">
        <f>mop!F17</f>
        <v>0</v>
      </c>
      <c r="K196" s="578">
        <f>mop!G17</f>
        <v>0</v>
      </c>
      <c r="L196" s="578">
        <f>mop!H17</f>
        <v>0</v>
      </c>
      <c r="M196" s="578">
        <f>mop!I17</f>
        <v>0</v>
      </c>
      <c r="N196" s="578">
        <f>mop!J17</f>
        <v>0</v>
      </c>
      <c r="O196" s="133"/>
      <c r="P196" s="97"/>
    </row>
    <row r="197" spans="2:16">
      <c r="B197" s="92"/>
      <c r="C197" s="133"/>
      <c r="D197" s="338"/>
      <c r="E197" s="339"/>
      <c r="F197" s="721"/>
      <c r="G197" s="698"/>
      <c r="H197" s="172"/>
      <c r="I197" s="133"/>
      <c r="J197" s="579">
        <v>0</v>
      </c>
      <c r="K197" s="579">
        <f>J197</f>
        <v>0</v>
      </c>
      <c r="L197" s="579">
        <f>K197</f>
        <v>0</v>
      </c>
      <c r="M197" s="579">
        <f>L197</f>
        <v>0</v>
      </c>
      <c r="N197" s="579">
        <f>M197</f>
        <v>0</v>
      </c>
      <c r="O197" s="133"/>
      <c r="P197" s="97"/>
    </row>
    <row r="198" spans="2:16">
      <c r="B198" s="92"/>
      <c r="C198" s="133"/>
      <c r="D198" s="338"/>
      <c r="E198" s="339"/>
      <c r="F198" s="721"/>
      <c r="G198" s="698"/>
      <c r="H198" s="172"/>
      <c r="I198" s="133"/>
      <c r="J198" s="579">
        <v>0</v>
      </c>
      <c r="K198" s="579">
        <f t="shared" ref="K198:L205" si="10">J198</f>
        <v>0</v>
      </c>
      <c r="L198" s="579">
        <f t="shared" si="10"/>
        <v>0</v>
      </c>
      <c r="M198" s="579">
        <f t="shared" ref="M198:M205" si="11">L198</f>
        <v>0</v>
      </c>
      <c r="N198" s="579">
        <f t="shared" ref="N198:N205" si="12">M198</f>
        <v>0</v>
      </c>
      <c r="O198" s="133"/>
      <c r="P198" s="97"/>
    </row>
    <row r="199" spans="2:16">
      <c r="B199" s="92"/>
      <c r="C199" s="133"/>
      <c r="D199" s="338"/>
      <c r="E199" s="339"/>
      <c r="F199" s="721"/>
      <c r="G199" s="698"/>
      <c r="H199" s="172"/>
      <c r="I199" s="133"/>
      <c r="J199" s="579">
        <v>0</v>
      </c>
      <c r="K199" s="579">
        <f t="shared" si="10"/>
        <v>0</v>
      </c>
      <c r="L199" s="579">
        <f t="shared" si="10"/>
        <v>0</v>
      </c>
      <c r="M199" s="579">
        <f t="shared" si="11"/>
        <v>0</v>
      </c>
      <c r="N199" s="579">
        <f t="shared" si="12"/>
        <v>0</v>
      </c>
      <c r="O199" s="133"/>
      <c r="P199" s="97"/>
    </row>
    <row r="200" spans="2:16">
      <c r="B200" s="92"/>
      <c r="C200" s="133"/>
      <c r="D200" s="338"/>
      <c r="E200" s="339"/>
      <c r="F200" s="721"/>
      <c r="G200" s="698"/>
      <c r="H200" s="172"/>
      <c r="I200" s="133"/>
      <c r="J200" s="579">
        <v>0</v>
      </c>
      <c r="K200" s="579">
        <f t="shared" si="10"/>
        <v>0</v>
      </c>
      <c r="L200" s="579">
        <f t="shared" si="10"/>
        <v>0</v>
      </c>
      <c r="M200" s="579">
        <f t="shared" si="11"/>
        <v>0</v>
      </c>
      <c r="N200" s="579">
        <f t="shared" si="12"/>
        <v>0</v>
      </c>
      <c r="O200" s="133"/>
      <c r="P200" s="97"/>
    </row>
    <row r="201" spans="2:16">
      <c r="B201" s="92"/>
      <c r="C201" s="133"/>
      <c r="D201" s="338"/>
      <c r="E201" s="339"/>
      <c r="F201" s="721"/>
      <c r="G201" s="698"/>
      <c r="H201" s="172"/>
      <c r="I201" s="133"/>
      <c r="J201" s="579">
        <v>0</v>
      </c>
      <c r="K201" s="579">
        <f t="shared" si="10"/>
        <v>0</v>
      </c>
      <c r="L201" s="579">
        <f t="shared" si="10"/>
        <v>0</v>
      </c>
      <c r="M201" s="579">
        <f t="shared" si="11"/>
        <v>0</v>
      </c>
      <c r="N201" s="579">
        <f t="shared" si="12"/>
        <v>0</v>
      </c>
      <c r="O201" s="133"/>
      <c r="P201" s="97"/>
    </row>
    <row r="202" spans="2:16">
      <c r="B202" s="92"/>
      <c r="C202" s="133"/>
      <c r="D202" s="338"/>
      <c r="E202" s="339"/>
      <c r="F202" s="721"/>
      <c r="G202" s="698"/>
      <c r="H202" s="172"/>
      <c r="I202" s="133"/>
      <c r="J202" s="579">
        <v>0</v>
      </c>
      <c r="K202" s="579">
        <f t="shared" si="10"/>
        <v>0</v>
      </c>
      <c r="L202" s="579">
        <f t="shared" si="10"/>
        <v>0</v>
      </c>
      <c r="M202" s="579">
        <f t="shared" si="11"/>
        <v>0</v>
      </c>
      <c r="N202" s="579">
        <f t="shared" si="12"/>
        <v>0</v>
      </c>
      <c r="O202" s="133"/>
      <c r="P202" s="97"/>
    </row>
    <row r="203" spans="2:16">
      <c r="B203" s="92"/>
      <c r="C203" s="133"/>
      <c r="D203" s="338"/>
      <c r="E203" s="339"/>
      <c r="F203" s="721"/>
      <c r="G203" s="698"/>
      <c r="H203" s="172"/>
      <c r="I203" s="133"/>
      <c r="J203" s="579">
        <v>0</v>
      </c>
      <c r="K203" s="579">
        <f t="shared" si="10"/>
        <v>0</v>
      </c>
      <c r="L203" s="579">
        <f t="shared" si="10"/>
        <v>0</v>
      </c>
      <c r="M203" s="579">
        <f t="shared" si="11"/>
        <v>0</v>
      </c>
      <c r="N203" s="579">
        <f t="shared" si="12"/>
        <v>0</v>
      </c>
      <c r="O203" s="133"/>
      <c r="P203" s="97"/>
    </row>
    <row r="204" spans="2:16">
      <c r="B204" s="92"/>
      <c r="C204" s="133"/>
      <c r="D204" s="338"/>
      <c r="E204" s="339"/>
      <c r="F204" s="721"/>
      <c r="G204" s="698"/>
      <c r="H204" s="172"/>
      <c r="I204" s="133"/>
      <c r="J204" s="579">
        <v>0</v>
      </c>
      <c r="K204" s="579">
        <f t="shared" si="10"/>
        <v>0</v>
      </c>
      <c r="L204" s="579">
        <f t="shared" si="10"/>
        <v>0</v>
      </c>
      <c r="M204" s="579">
        <f t="shared" si="11"/>
        <v>0</v>
      </c>
      <c r="N204" s="579">
        <f t="shared" si="12"/>
        <v>0</v>
      </c>
      <c r="O204" s="133"/>
      <c r="P204" s="97"/>
    </row>
    <row r="205" spans="2:16">
      <c r="B205" s="92"/>
      <c r="C205" s="133"/>
      <c r="D205" s="338"/>
      <c r="E205" s="339"/>
      <c r="F205" s="721"/>
      <c r="G205" s="698"/>
      <c r="H205" s="172"/>
      <c r="I205" s="133"/>
      <c r="J205" s="579">
        <v>0</v>
      </c>
      <c r="K205" s="579">
        <f t="shared" si="10"/>
        <v>0</v>
      </c>
      <c r="L205" s="579">
        <f t="shared" si="10"/>
        <v>0</v>
      </c>
      <c r="M205" s="579">
        <f t="shared" si="11"/>
        <v>0</v>
      </c>
      <c r="N205" s="579">
        <f t="shared" si="12"/>
        <v>0</v>
      </c>
      <c r="O205" s="133"/>
      <c r="P205" s="97"/>
    </row>
    <row r="206" spans="2:16">
      <c r="B206" s="92"/>
      <c r="C206" s="133"/>
      <c r="D206" s="695"/>
      <c r="E206" s="133"/>
      <c r="F206" s="133"/>
      <c r="G206" s="133"/>
      <c r="H206" s="698"/>
      <c r="I206" s="133"/>
      <c r="J206" s="552"/>
      <c r="K206" s="552"/>
      <c r="L206" s="552"/>
      <c r="M206" s="552"/>
      <c r="N206" s="552"/>
      <c r="O206" s="133"/>
      <c r="P206" s="97"/>
    </row>
    <row r="207" spans="2:16">
      <c r="B207" s="92"/>
      <c r="C207" s="133"/>
      <c r="D207" s="138" t="s">
        <v>391</v>
      </c>
      <c r="E207" s="133"/>
      <c r="F207" s="133"/>
      <c r="G207" s="133"/>
      <c r="H207" s="698"/>
      <c r="I207" s="133"/>
      <c r="J207" s="720">
        <f>SUM(J196:J206)</f>
        <v>0</v>
      </c>
      <c r="K207" s="720">
        <f>SUM(K196:K206)</f>
        <v>0</v>
      </c>
      <c r="L207" s="720">
        <f>SUM(L196:L206)</f>
        <v>0</v>
      </c>
      <c r="M207" s="720">
        <f>SUM(M196:M206)</f>
        <v>0</v>
      </c>
      <c r="N207" s="720">
        <f>SUM(N196:N206)</f>
        <v>0</v>
      </c>
      <c r="O207" s="133"/>
      <c r="P207" s="97"/>
    </row>
    <row r="208" spans="2:16">
      <c r="B208" s="92"/>
      <c r="C208" s="133"/>
      <c r="D208" s="695"/>
      <c r="E208" s="133"/>
      <c r="F208" s="133"/>
      <c r="G208" s="133"/>
      <c r="H208" s="698"/>
      <c r="I208" s="133"/>
      <c r="J208" s="133"/>
      <c r="K208" s="552"/>
      <c r="L208" s="552"/>
      <c r="M208" s="552"/>
      <c r="N208" s="552"/>
      <c r="O208" s="133"/>
      <c r="P208" s="97"/>
    </row>
    <row r="209" spans="2:18">
      <c r="B209" s="92"/>
      <c r="C209" s="93"/>
      <c r="D209" s="687"/>
      <c r="E209" s="685"/>
      <c r="F209" s="93"/>
      <c r="G209" s="93"/>
      <c r="H209" s="686"/>
      <c r="I209" s="93"/>
      <c r="J209" s="93"/>
      <c r="K209" s="616"/>
      <c r="L209" s="616"/>
      <c r="M209" s="616"/>
      <c r="N209" s="616"/>
      <c r="O209" s="93"/>
      <c r="P209" s="97"/>
    </row>
    <row r="210" spans="2:18">
      <c r="B210" s="92"/>
      <c r="C210" s="133"/>
      <c r="D210" s="695"/>
      <c r="E210" s="697"/>
      <c r="F210" s="133"/>
      <c r="G210" s="133"/>
      <c r="H210" s="698"/>
      <c r="I210" s="133"/>
      <c r="J210" s="133"/>
      <c r="K210" s="552"/>
      <c r="L210" s="552"/>
      <c r="M210" s="552"/>
      <c r="N210" s="552"/>
      <c r="O210" s="133"/>
      <c r="P210" s="97"/>
    </row>
    <row r="211" spans="2:18">
      <c r="B211" s="92"/>
      <c r="C211" s="138"/>
      <c r="D211" s="719" t="s">
        <v>26</v>
      </c>
      <c r="E211" s="695"/>
      <c r="F211" s="133"/>
      <c r="G211" s="133"/>
      <c r="H211" s="238" t="s">
        <v>546</v>
      </c>
      <c r="I211" s="133"/>
      <c r="J211" s="133"/>
      <c r="K211" s="694"/>
      <c r="L211" s="694"/>
      <c r="M211" s="694"/>
      <c r="N211" s="694"/>
      <c r="O211" s="133"/>
      <c r="P211" s="97"/>
    </row>
    <row r="212" spans="2:18">
      <c r="B212" s="92"/>
      <c r="C212" s="138"/>
      <c r="D212" s="695"/>
      <c r="E212" s="695"/>
      <c r="F212" s="133"/>
      <c r="G212" s="133"/>
      <c r="H212" s="699"/>
      <c r="I212" s="133"/>
      <c r="J212" s="133"/>
      <c r="K212" s="694"/>
      <c r="L212" s="694"/>
      <c r="M212" s="694"/>
      <c r="N212" s="694"/>
      <c r="O212" s="133"/>
      <c r="P212" s="97"/>
    </row>
    <row r="213" spans="2:18">
      <c r="B213" s="92"/>
      <c r="C213" s="133"/>
      <c r="D213" s="338"/>
      <c r="E213" s="339"/>
      <c r="F213" s="721"/>
      <c r="G213" s="698"/>
      <c r="H213" s="172"/>
      <c r="I213" s="133"/>
      <c r="J213" s="579">
        <v>0</v>
      </c>
      <c r="K213" s="579">
        <f t="shared" ref="K213:L233" si="13">J213</f>
        <v>0</v>
      </c>
      <c r="L213" s="579">
        <f t="shared" si="13"/>
        <v>0</v>
      </c>
      <c r="M213" s="579">
        <f t="shared" ref="M213:M233" si="14">L213</f>
        <v>0</v>
      </c>
      <c r="N213" s="579">
        <f t="shared" ref="N213:N233" si="15">M213</f>
        <v>0</v>
      </c>
      <c r="O213" s="133"/>
      <c r="P213" s="97"/>
      <c r="R213" s="368"/>
    </row>
    <row r="214" spans="2:18">
      <c r="B214" s="92"/>
      <c r="C214" s="133"/>
      <c r="D214" s="338"/>
      <c r="E214" s="339"/>
      <c r="F214" s="721"/>
      <c r="G214" s="698"/>
      <c r="H214" s="172"/>
      <c r="I214" s="133"/>
      <c r="J214" s="579">
        <v>0</v>
      </c>
      <c r="K214" s="579">
        <f t="shared" si="13"/>
        <v>0</v>
      </c>
      <c r="L214" s="579">
        <f t="shared" si="13"/>
        <v>0</v>
      </c>
      <c r="M214" s="579">
        <f t="shared" si="14"/>
        <v>0</v>
      </c>
      <c r="N214" s="579">
        <f t="shared" si="15"/>
        <v>0</v>
      </c>
      <c r="O214" s="133"/>
      <c r="P214" s="97"/>
      <c r="R214" s="368"/>
    </row>
    <row r="215" spans="2:18">
      <c r="B215" s="92"/>
      <c r="C215" s="133"/>
      <c r="D215" s="338"/>
      <c r="E215" s="339"/>
      <c r="F215" s="721"/>
      <c r="G215" s="698"/>
      <c r="H215" s="172"/>
      <c r="I215" s="133"/>
      <c r="J215" s="579">
        <v>0</v>
      </c>
      <c r="K215" s="579">
        <f t="shared" si="13"/>
        <v>0</v>
      </c>
      <c r="L215" s="579">
        <f t="shared" si="13"/>
        <v>0</v>
      </c>
      <c r="M215" s="579">
        <f t="shared" si="14"/>
        <v>0</v>
      </c>
      <c r="N215" s="579">
        <f t="shared" si="15"/>
        <v>0</v>
      </c>
      <c r="O215" s="133"/>
      <c r="P215" s="97"/>
      <c r="R215" s="368"/>
    </row>
    <row r="216" spans="2:18">
      <c r="B216" s="92"/>
      <c r="C216" s="133"/>
      <c r="D216" s="338"/>
      <c r="E216" s="339"/>
      <c r="F216" s="721"/>
      <c r="G216" s="698"/>
      <c r="H216" s="172"/>
      <c r="I216" s="133"/>
      <c r="J216" s="579">
        <v>0</v>
      </c>
      <c r="K216" s="579">
        <f t="shared" si="13"/>
        <v>0</v>
      </c>
      <c r="L216" s="579">
        <f t="shared" si="13"/>
        <v>0</v>
      </c>
      <c r="M216" s="579">
        <f t="shared" si="14"/>
        <v>0</v>
      </c>
      <c r="N216" s="579">
        <f t="shared" si="15"/>
        <v>0</v>
      </c>
      <c r="O216" s="133"/>
      <c r="P216" s="97"/>
      <c r="R216" s="368"/>
    </row>
    <row r="217" spans="2:18">
      <c r="B217" s="92"/>
      <c r="C217" s="133"/>
      <c r="D217" s="338"/>
      <c r="E217" s="339"/>
      <c r="F217" s="721"/>
      <c r="G217" s="698"/>
      <c r="H217" s="172"/>
      <c r="I217" s="133"/>
      <c r="J217" s="579">
        <v>0</v>
      </c>
      <c r="K217" s="579">
        <f t="shared" si="13"/>
        <v>0</v>
      </c>
      <c r="L217" s="579">
        <f t="shared" si="13"/>
        <v>0</v>
      </c>
      <c r="M217" s="579">
        <f t="shared" si="14"/>
        <v>0</v>
      </c>
      <c r="N217" s="579">
        <f t="shared" si="15"/>
        <v>0</v>
      </c>
      <c r="O217" s="133"/>
      <c r="P217" s="97"/>
      <c r="R217" s="368"/>
    </row>
    <row r="218" spans="2:18">
      <c r="B218" s="92"/>
      <c r="C218" s="133"/>
      <c r="D218" s="338"/>
      <c r="E218" s="339"/>
      <c r="F218" s="721"/>
      <c r="G218" s="698"/>
      <c r="H218" s="172"/>
      <c r="I218" s="133"/>
      <c r="J218" s="579">
        <v>0</v>
      </c>
      <c r="K218" s="579">
        <f t="shared" si="13"/>
        <v>0</v>
      </c>
      <c r="L218" s="579">
        <f t="shared" si="13"/>
        <v>0</v>
      </c>
      <c r="M218" s="579">
        <f t="shared" si="14"/>
        <v>0</v>
      </c>
      <c r="N218" s="579">
        <f t="shared" si="15"/>
        <v>0</v>
      </c>
      <c r="O218" s="133"/>
      <c r="P218" s="97"/>
      <c r="R218" s="368"/>
    </row>
    <row r="219" spans="2:18">
      <c r="B219" s="92"/>
      <c r="C219" s="133"/>
      <c r="D219" s="338"/>
      <c r="E219" s="339"/>
      <c r="F219" s="721"/>
      <c r="G219" s="698"/>
      <c r="H219" s="172"/>
      <c r="I219" s="133"/>
      <c r="J219" s="579">
        <v>0</v>
      </c>
      <c r="K219" s="579">
        <f t="shared" si="13"/>
        <v>0</v>
      </c>
      <c r="L219" s="579">
        <f t="shared" si="13"/>
        <v>0</v>
      </c>
      <c r="M219" s="579">
        <f t="shared" si="14"/>
        <v>0</v>
      </c>
      <c r="N219" s="579">
        <f t="shared" si="15"/>
        <v>0</v>
      </c>
      <c r="O219" s="133"/>
      <c r="P219" s="97"/>
      <c r="R219" s="368"/>
    </row>
    <row r="220" spans="2:18">
      <c r="B220" s="92"/>
      <c r="C220" s="133"/>
      <c r="D220" s="338"/>
      <c r="E220" s="339"/>
      <c r="F220" s="721"/>
      <c r="G220" s="698"/>
      <c r="H220" s="172"/>
      <c r="I220" s="133"/>
      <c r="J220" s="579">
        <v>0</v>
      </c>
      <c r="K220" s="579">
        <f t="shared" si="13"/>
        <v>0</v>
      </c>
      <c r="L220" s="579">
        <f t="shared" si="13"/>
        <v>0</v>
      </c>
      <c r="M220" s="579">
        <f t="shared" si="14"/>
        <v>0</v>
      </c>
      <c r="N220" s="579">
        <f t="shared" si="15"/>
        <v>0</v>
      </c>
      <c r="O220" s="133"/>
      <c r="P220" s="97"/>
      <c r="R220" s="368"/>
    </row>
    <row r="221" spans="2:18">
      <c r="B221" s="92"/>
      <c r="C221" s="133"/>
      <c r="D221" s="338"/>
      <c r="E221" s="339"/>
      <c r="F221" s="721"/>
      <c r="G221" s="698"/>
      <c r="H221" s="172"/>
      <c r="I221" s="133"/>
      <c r="J221" s="579">
        <v>0</v>
      </c>
      <c r="K221" s="579">
        <f t="shared" si="13"/>
        <v>0</v>
      </c>
      <c r="L221" s="579">
        <f t="shared" si="13"/>
        <v>0</v>
      </c>
      <c r="M221" s="579">
        <f t="shared" si="14"/>
        <v>0</v>
      </c>
      <c r="N221" s="579">
        <f t="shared" si="15"/>
        <v>0</v>
      </c>
      <c r="O221" s="133"/>
      <c r="P221" s="97"/>
      <c r="R221" s="368"/>
    </row>
    <row r="222" spans="2:18">
      <c r="B222" s="92"/>
      <c r="C222" s="133"/>
      <c r="D222" s="338"/>
      <c r="E222" s="339"/>
      <c r="F222" s="721"/>
      <c r="G222" s="698"/>
      <c r="H222" s="172"/>
      <c r="I222" s="133"/>
      <c r="J222" s="579">
        <v>0</v>
      </c>
      <c r="K222" s="579">
        <f t="shared" si="13"/>
        <v>0</v>
      </c>
      <c r="L222" s="579">
        <f t="shared" si="13"/>
        <v>0</v>
      </c>
      <c r="M222" s="579">
        <f t="shared" si="14"/>
        <v>0</v>
      </c>
      <c r="N222" s="579">
        <f t="shared" si="15"/>
        <v>0</v>
      </c>
      <c r="O222" s="133"/>
      <c r="P222" s="97"/>
      <c r="R222" s="368"/>
    </row>
    <row r="223" spans="2:18">
      <c r="B223" s="92"/>
      <c r="C223" s="133"/>
      <c r="D223" s="338"/>
      <c r="E223" s="339"/>
      <c r="F223" s="721"/>
      <c r="G223" s="698"/>
      <c r="H223" s="172"/>
      <c r="I223" s="133"/>
      <c r="J223" s="579">
        <v>0</v>
      </c>
      <c r="K223" s="579">
        <f t="shared" si="13"/>
        <v>0</v>
      </c>
      <c r="L223" s="579">
        <f t="shared" si="13"/>
        <v>0</v>
      </c>
      <c r="M223" s="579">
        <f t="shared" si="14"/>
        <v>0</v>
      </c>
      <c r="N223" s="579">
        <f t="shared" si="15"/>
        <v>0</v>
      </c>
      <c r="O223" s="133"/>
      <c r="P223" s="97"/>
      <c r="R223" s="368"/>
    </row>
    <row r="224" spans="2:18">
      <c r="B224" s="92"/>
      <c r="C224" s="133"/>
      <c r="D224" s="338"/>
      <c r="E224" s="339"/>
      <c r="F224" s="721"/>
      <c r="G224" s="698"/>
      <c r="H224" s="172"/>
      <c r="I224" s="133"/>
      <c r="J224" s="579">
        <v>0</v>
      </c>
      <c r="K224" s="579">
        <f t="shared" si="13"/>
        <v>0</v>
      </c>
      <c r="L224" s="579">
        <f t="shared" si="13"/>
        <v>0</v>
      </c>
      <c r="M224" s="579">
        <f t="shared" si="14"/>
        <v>0</v>
      </c>
      <c r="N224" s="579">
        <f t="shared" si="15"/>
        <v>0</v>
      </c>
      <c r="O224" s="133"/>
      <c r="P224" s="97"/>
      <c r="R224" s="368"/>
    </row>
    <row r="225" spans="2:18">
      <c r="B225" s="92"/>
      <c r="C225" s="133"/>
      <c r="D225" s="338"/>
      <c r="E225" s="339"/>
      <c r="F225" s="721"/>
      <c r="G225" s="698"/>
      <c r="H225" s="172"/>
      <c r="I225" s="133"/>
      <c r="J225" s="579">
        <v>0</v>
      </c>
      <c r="K225" s="579">
        <f t="shared" si="13"/>
        <v>0</v>
      </c>
      <c r="L225" s="579">
        <f t="shared" si="13"/>
        <v>0</v>
      </c>
      <c r="M225" s="579">
        <f t="shared" si="14"/>
        <v>0</v>
      </c>
      <c r="N225" s="579">
        <f t="shared" si="15"/>
        <v>0</v>
      </c>
      <c r="O225" s="133"/>
      <c r="P225" s="97"/>
      <c r="R225" s="368"/>
    </row>
    <row r="226" spans="2:18">
      <c r="B226" s="92"/>
      <c r="C226" s="133"/>
      <c r="D226" s="338"/>
      <c r="E226" s="339"/>
      <c r="F226" s="721"/>
      <c r="G226" s="698"/>
      <c r="H226" s="172"/>
      <c r="I226" s="133"/>
      <c r="J226" s="579">
        <v>0</v>
      </c>
      <c r="K226" s="579">
        <f t="shared" si="13"/>
        <v>0</v>
      </c>
      <c r="L226" s="579">
        <f t="shared" si="13"/>
        <v>0</v>
      </c>
      <c r="M226" s="579">
        <f t="shared" si="14"/>
        <v>0</v>
      </c>
      <c r="N226" s="579">
        <f t="shared" si="15"/>
        <v>0</v>
      </c>
      <c r="O226" s="133"/>
      <c r="P226" s="97"/>
      <c r="R226" s="368"/>
    </row>
    <row r="227" spans="2:18">
      <c r="B227" s="92"/>
      <c r="C227" s="133"/>
      <c r="D227" s="338"/>
      <c r="E227" s="339"/>
      <c r="F227" s="721"/>
      <c r="G227" s="698"/>
      <c r="H227" s="172"/>
      <c r="I227" s="133"/>
      <c r="J227" s="579">
        <v>0</v>
      </c>
      <c r="K227" s="579">
        <f t="shared" si="13"/>
        <v>0</v>
      </c>
      <c r="L227" s="579">
        <f t="shared" si="13"/>
        <v>0</v>
      </c>
      <c r="M227" s="579">
        <f t="shared" si="14"/>
        <v>0</v>
      </c>
      <c r="N227" s="579">
        <f t="shared" si="15"/>
        <v>0</v>
      </c>
      <c r="O227" s="133"/>
      <c r="P227" s="97"/>
      <c r="R227" s="368"/>
    </row>
    <row r="228" spans="2:18">
      <c r="B228" s="92"/>
      <c r="C228" s="133"/>
      <c r="D228" s="338"/>
      <c r="E228" s="339"/>
      <c r="F228" s="721"/>
      <c r="G228" s="698"/>
      <c r="H228" s="172"/>
      <c r="I228" s="133"/>
      <c r="J228" s="579">
        <v>0</v>
      </c>
      <c r="K228" s="579">
        <f t="shared" si="13"/>
        <v>0</v>
      </c>
      <c r="L228" s="579">
        <f t="shared" si="13"/>
        <v>0</v>
      </c>
      <c r="M228" s="579">
        <f t="shared" si="14"/>
        <v>0</v>
      </c>
      <c r="N228" s="579">
        <f t="shared" si="15"/>
        <v>0</v>
      </c>
      <c r="O228" s="133"/>
      <c r="P228" s="97"/>
      <c r="R228" s="368"/>
    </row>
    <row r="229" spans="2:18">
      <c r="B229" s="92"/>
      <c r="C229" s="133"/>
      <c r="D229" s="338"/>
      <c r="E229" s="339"/>
      <c r="F229" s="721"/>
      <c r="G229" s="698"/>
      <c r="H229" s="172"/>
      <c r="I229" s="133"/>
      <c r="J229" s="579">
        <v>0</v>
      </c>
      <c r="K229" s="579">
        <f t="shared" si="13"/>
        <v>0</v>
      </c>
      <c r="L229" s="579">
        <f t="shared" si="13"/>
        <v>0</v>
      </c>
      <c r="M229" s="579">
        <f t="shared" si="14"/>
        <v>0</v>
      </c>
      <c r="N229" s="579">
        <f t="shared" si="15"/>
        <v>0</v>
      </c>
      <c r="O229" s="133"/>
      <c r="P229" s="97"/>
      <c r="R229" s="368"/>
    </row>
    <row r="230" spans="2:18">
      <c r="B230" s="92"/>
      <c r="C230" s="133"/>
      <c r="D230" s="338"/>
      <c r="E230" s="339"/>
      <c r="F230" s="721"/>
      <c r="G230" s="698"/>
      <c r="H230" s="172"/>
      <c r="I230" s="133"/>
      <c r="J230" s="579">
        <v>0</v>
      </c>
      <c r="K230" s="579">
        <f t="shared" si="13"/>
        <v>0</v>
      </c>
      <c r="L230" s="579">
        <f t="shared" si="13"/>
        <v>0</v>
      </c>
      <c r="M230" s="579">
        <f t="shared" si="14"/>
        <v>0</v>
      </c>
      <c r="N230" s="579">
        <f t="shared" si="15"/>
        <v>0</v>
      </c>
      <c r="O230" s="133"/>
      <c r="P230" s="97"/>
      <c r="R230" s="368"/>
    </row>
    <row r="231" spans="2:18">
      <c r="B231" s="92"/>
      <c r="C231" s="133"/>
      <c r="D231" s="338"/>
      <c r="E231" s="339"/>
      <c r="F231" s="721"/>
      <c r="G231" s="698"/>
      <c r="H231" s="172"/>
      <c r="I231" s="133"/>
      <c r="J231" s="579">
        <v>0</v>
      </c>
      <c r="K231" s="579">
        <f t="shared" si="13"/>
        <v>0</v>
      </c>
      <c r="L231" s="579">
        <f t="shared" si="13"/>
        <v>0</v>
      </c>
      <c r="M231" s="579">
        <f t="shared" si="14"/>
        <v>0</v>
      </c>
      <c r="N231" s="579">
        <f t="shared" si="15"/>
        <v>0</v>
      </c>
      <c r="O231" s="133"/>
      <c r="P231" s="97"/>
      <c r="R231" s="368"/>
    </row>
    <row r="232" spans="2:18">
      <c r="B232" s="92"/>
      <c r="C232" s="133"/>
      <c r="D232" s="338"/>
      <c r="E232" s="339"/>
      <c r="F232" s="721"/>
      <c r="G232" s="698"/>
      <c r="H232" s="172"/>
      <c r="I232" s="133"/>
      <c r="J232" s="579">
        <v>0</v>
      </c>
      <c r="K232" s="579">
        <f t="shared" si="13"/>
        <v>0</v>
      </c>
      <c r="L232" s="579">
        <f t="shared" si="13"/>
        <v>0</v>
      </c>
      <c r="M232" s="579">
        <f t="shared" si="14"/>
        <v>0</v>
      </c>
      <c r="N232" s="579">
        <f t="shared" si="15"/>
        <v>0</v>
      </c>
      <c r="O232" s="133"/>
      <c r="P232" s="97"/>
      <c r="R232" s="368"/>
    </row>
    <row r="233" spans="2:18">
      <c r="B233" s="92"/>
      <c r="C233" s="133"/>
      <c r="D233" s="338"/>
      <c r="E233" s="339"/>
      <c r="F233" s="721"/>
      <c r="G233" s="698"/>
      <c r="H233" s="172"/>
      <c r="I233" s="133"/>
      <c r="J233" s="579">
        <v>0</v>
      </c>
      <c r="K233" s="579">
        <f t="shared" si="13"/>
        <v>0</v>
      </c>
      <c r="L233" s="579">
        <f t="shared" si="13"/>
        <v>0</v>
      </c>
      <c r="M233" s="579">
        <f t="shared" si="14"/>
        <v>0</v>
      </c>
      <c r="N233" s="579">
        <f t="shared" si="15"/>
        <v>0</v>
      </c>
      <c r="O233" s="133"/>
      <c r="P233" s="97"/>
      <c r="R233" s="368"/>
    </row>
    <row r="234" spans="2:18">
      <c r="B234" s="92"/>
      <c r="C234" s="133"/>
      <c r="D234" s="338"/>
      <c r="E234" s="339"/>
      <c r="F234" s="721"/>
      <c r="G234" s="698"/>
      <c r="H234" s="172"/>
      <c r="I234" s="133"/>
      <c r="J234" s="579">
        <v>0</v>
      </c>
      <c r="K234" s="579">
        <f t="shared" ref="K234:L247" si="16">J234</f>
        <v>0</v>
      </c>
      <c r="L234" s="579">
        <f t="shared" si="16"/>
        <v>0</v>
      </c>
      <c r="M234" s="579">
        <f t="shared" ref="M234:M247" si="17">L234</f>
        <v>0</v>
      </c>
      <c r="N234" s="579">
        <f t="shared" ref="N234:N247" si="18">M234</f>
        <v>0</v>
      </c>
      <c r="O234" s="133"/>
      <c r="P234" s="97"/>
      <c r="R234" s="368"/>
    </row>
    <row r="235" spans="2:18">
      <c r="B235" s="92"/>
      <c r="C235" s="133"/>
      <c r="D235" s="338"/>
      <c r="E235" s="339"/>
      <c r="F235" s="721"/>
      <c r="G235" s="698"/>
      <c r="H235" s="172"/>
      <c r="I235" s="133"/>
      <c r="J235" s="579">
        <v>0</v>
      </c>
      <c r="K235" s="579">
        <f t="shared" si="16"/>
        <v>0</v>
      </c>
      <c r="L235" s="579">
        <f t="shared" si="16"/>
        <v>0</v>
      </c>
      <c r="M235" s="579">
        <f t="shared" si="17"/>
        <v>0</v>
      </c>
      <c r="N235" s="579">
        <f t="shared" si="18"/>
        <v>0</v>
      </c>
      <c r="O235" s="133"/>
      <c r="P235" s="97"/>
      <c r="R235" s="368"/>
    </row>
    <row r="236" spans="2:18">
      <c r="B236" s="92"/>
      <c r="C236" s="133"/>
      <c r="D236" s="338"/>
      <c r="E236" s="339"/>
      <c r="F236" s="721"/>
      <c r="G236" s="698"/>
      <c r="H236" s="172"/>
      <c r="I236" s="133"/>
      <c r="J236" s="579">
        <v>0</v>
      </c>
      <c r="K236" s="579">
        <f t="shared" si="16"/>
        <v>0</v>
      </c>
      <c r="L236" s="579">
        <f t="shared" si="16"/>
        <v>0</v>
      </c>
      <c r="M236" s="579">
        <f t="shared" si="17"/>
        <v>0</v>
      </c>
      <c r="N236" s="579">
        <f t="shared" si="18"/>
        <v>0</v>
      </c>
      <c r="O236" s="133"/>
      <c r="P236" s="97"/>
      <c r="R236" s="368"/>
    </row>
    <row r="237" spans="2:18">
      <c r="B237" s="92"/>
      <c r="C237" s="133"/>
      <c r="D237" s="338"/>
      <c r="E237" s="339"/>
      <c r="F237" s="721"/>
      <c r="G237" s="698"/>
      <c r="H237" s="172"/>
      <c r="I237" s="133"/>
      <c r="J237" s="579">
        <v>0</v>
      </c>
      <c r="K237" s="579">
        <f t="shared" si="16"/>
        <v>0</v>
      </c>
      <c r="L237" s="579">
        <f t="shared" si="16"/>
        <v>0</v>
      </c>
      <c r="M237" s="579">
        <f t="shared" si="17"/>
        <v>0</v>
      </c>
      <c r="N237" s="579">
        <f t="shared" si="18"/>
        <v>0</v>
      </c>
      <c r="O237" s="133"/>
      <c r="P237" s="97"/>
      <c r="R237" s="368"/>
    </row>
    <row r="238" spans="2:18">
      <c r="B238" s="92"/>
      <c r="C238" s="133"/>
      <c r="D238" s="338"/>
      <c r="E238" s="339"/>
      <c r="F238" s="721"/>
      <c r="G238" s="698"/>
      <c r="H238" s="172"/>
      <c r="I238" s="133"/>
      <c r="J238" s="579">
        <v>0</v>
      </c>
      <c r="K238" s="579">
        <f t="shared" si="16"/>
        <v>0</v>
      </c>
      <c r="L238" s="579">
        <f t="shared" si="16"/>
        <v>0</v>
      </c>
      <c r="M238" s="579">
        <f t="shared" si="17"/>
        <v>0</v>
      </c>
      <c r="N238" s="579">
        <f t="shared" si="18"/>
        <v>0</v>
      </c>
      <c r="O238" s="133"/>
      <c r="P238" s="97"/>
      <c r="R238" s="368"/>
    </row>
    <row r="239" spans="2:18">
      <c r="B239" s="92"/>
      <c r="C239" s="133"/>
      <c r="D239" s="338"/>
      <c r="E239" s="339"/>
      <c r="F239" s="721"/>
      <c r="G239" s="698"/>
      <c r="H239" s="172"/>
      <c r="I239" s="133"/>
      <c r="J239" s="579">
        <v>0</v>
      </c>
      <c r="K239" s="579">
        <f t="shared" si="16"/>
        <v>0</v>
      </c>
      <c r="L239" s="579">
        <f t="shared" si="16"/>
        <v>0</v>
      </c>
      <c r="M239" s="579">
        <f t="shared" si="17"/>
        <v>0</v>
      </c>
      <c r="N239" s="579">
        <f t="shared" si="18"/>
        <v>0</v>
      </c>
      <c r="O239" s="133"/>
      <c r="P239" s="97"/>
      <c r="R239" s="368"/>
    </row>
    <row r="240" spans="2:18">
      <c r="B240" s="92"/>
      <c r="C240" s="133"/>
      <c r="D240" s="338"/>
      <c r="E240" s="339"/>
      <c r="F240" s="721"/>
      <c r="G240" s="698"/>
      <c r="H240" s="172"/>
      <c r="I240" s="133"/>
      <c r="J240" s="579">
        <v>0</v>
      </c>
      <c r="K240" s="579">
        <f t="shared" si="16"/>
        <v>0</v>
      </c>
      <c r="L240" s="579">
        <f t="shared" si="16"/>
        <v>0</v>
      </c>
      <c r="M240" s="579">
        <f t="shared" si="17"/>
        <v>0</v>
      </c>
      <c r="N240" s="579">
        <f t="shared" si="18"/>
        <v>0</v>
      </c>
      <c r="O240" s="133"/>
      <c r="P240" s="97"/>
      <c r="R240" s="673"/>
    </row>
    <row r="241" spans="2:18">
      <c r="B241" s="92"/>
      <c r="C241" s="133"/>
      <c r="D241" s="338"/>
      <c r="E241" s="339"/>
      <c r="F241" s="721"/>
      <c r="G241" s="698"/>
      <c r="H241" s="172"/>
      <c r="I241" s="133"/>
      <c r="J241" s="579">
        <v>0</v>
      </c>
      <c r="K241" s="579">
        <f t="shared" si="16"/>
        <v>0</v>
      </c>
      <c r="L241" s="579">
        <f t="shared" si="16"/>
        <v>0</v>
      </c>
      <c r="M241" s="579">
        <f t="shared" si="17"/>
        <v>0</v>
      </c>
      <c r="N241" s="579">
        <f t="shared" si="18"/>
        <v>0</v>
      </c>
      <c r="O241" s="133"/>
      <c r="P241" s="97"/>
      <c r="R241" s="673"/>
    </row>
    <row r="242" spans="2:18">
      <c r="B242" s="92"/>
      <c r="C242" s="133"/>
      <c r="D242" s="338"/>
      <c r="E242" s="339"/>
      <c r="F242" s="721"/>
      <c r="G242" s="698"/>
      <c r="H242" s="172"/>
      <c r="I242" s="133"/>
      <c r="J242" s="579">
        <v>0</v>
      </c>
      <c r="K242" s="579">
        <f t="shared" si="16"/>
        <v>0</v>
      </c>
      <c r="L242" s="579">
        <f t="shared" si="16"/>
        <v>0</v>
      </c>
      <c r="M242" s="579">
        <f t="shared" si="17"/>
        <v>0</v>
      </c>
      <c r="N242" s="579">
        <f t="shared" si="18"/>
        <v>0</v>
      </c>
      <c r="O242" s="133"/>
      <c r="P242" s="97"/>
      <c r="R242" s="673"/>
    </row>
    <row r="243" spans="2:18">
      <c r="B243" s="92"/>
      <c r="C243" s="133"/>
      <c r="D243" s="338"/>
      <c r="E243" s="339"/>
      <c r="F243" s="721"/>
      <c r="G243" s="698"/>
      <c r="H243" s="172"/>
      <c r="I243" s="133"/>
      <c r="J243" s="579">
        <v>0</v>
      </c>
      <c r="K243" s="579">
        <f t="shared" si="16"/>
        <v>0</v>
      </c>
      <c r="L243" s="579">
        <f t="shared" si="16"/>
        <v>0</v>
      </c>
      <c r="M243" s="579">
        <f t="shared" si="17"/>
        <v>0</v>
      </c>
      <c r="N243" s="579">
        <f t="shared" si="18"/>
        <v>0</v>
      </c>
      <c r="O243" s="133"/>
      <c r="P243" s="97"/>
      <c r="R243" s="673"/>
    </row>
    <row r="244" spans="2:18">
      <c r="B244" s="92"/>
      <c r="C244" s="133"/>
      <c r="D244" s="338"/>
      <c r="E244" s="339"/>
      <c r="F244" s="721"/>
      <c r="G244" s="698"/>
      <c r="H244" s="172"/>
      <c r="I244" s="133"/>
      <c r="J244" s="579">
        <v>0</v>
      </c>
      <c r="K244" s="579">
        <f t="shared" si="16"/>
        <v>0</v>
      </c>
      <c r="L244" s="579">
        <f t="shared" si="16"/>
        <v>0</v>
      </c>
      <c r="M244" s="579">
        <f t="shared" si="17"/>
        <v>0</v>
      </c>
      <c r="N244" s="579">
        <f t="shared" si="18"/>
        <v>0</v>
      </c>
      <c r="O244" s="133"/>
      <c r="P244" s="97"/>
      <c r="R244" s="673"/>
    </row>
    <row r="245" spans="2:18">
      <c r="B245" s="92"/>
      <c r="C245" s="133"/>
      <c r="D245" s="338"/>
      <c r="E245" s="339"/>
      <c r="F245" s="721"/>
      <c r="G245" s="698"/>
      <c r="H245" s="172"/>
      <c r="I245" s="133"/>
      <c r="J245" s="579">
        <v>0</v>
      </c>
      <c r="K245" s="579">
        <f t="shared" si="16"/>
        <v>0</v>
      </c>
      <c r="L245" s="579">
        <f t="shared" si="16"/>
        <v>0</v>
      </c>
      <c r="M245" s="579">
        <f t="shared" si="17"/>
        <v>0</v>
      </c>
      <c r="N245" s="579">
        <f t="shared" si="18"/>
        <v>0</v>
      </c>
      <c r="O245" s="133"/>
      <c r="P245" s="97"/>
      <c r="R245" s="673"/>
    </row>
    <row r="246" spans="2:18">
      <c r="B246" s="92"/>
      <c r="C246" s="133"/>
      <c r="D246" s="338"/>
      <c r="E246" s="339"/>
      <c r="F246" s="721"/>
      <c r="G246" s="698"/>
      <c r="H246" s="172"/>
      <c r="I246" s="133"/>
      <c r="J246" s="579">
        <v>0</v>
      </c>
      <c r="K246" s="579">
        <f t="shared" si="16"/>
        <v>0</v>
      </c>
      <c r="L246" s="579">
        <f t="shared" si="16"/>
        <v>0</v>
      </c>
      <c r="M246" s="579">
        <f t="shared" si="17"/>
        <v>0</v>
      </c>
      <c r="N246" s="579">
        <f t="shared" si="18"/>
        <v>0</v>
      </c>
      <c r="O246" s="133"/>
      <c r="P246" s="97"/>
      <c r="R246" s="673"/>
    </row>
    <row r="247" spans="2:18">
      <c r="B247" s="92"/>
      <c r="C247" s="133"/>
      <c r="D247" s="338"/>
      <c r="E247" s="339"/>
      <c r="F247" s="721"/>
      <c r="G247" s="698"/>
      <c r="H247" s="172"/>
      <c r="I247" s="133"/>
      <c r="J247" s="579">
        <v>0</v>
      </c>
      <c r="K247" s="579">
        <f t="shared" si="16"/>
        <v>0</v>
      </c>
      <c r="L247" s="579">
        <f t="shared" si="16"/>
        <v>0</v>
      </c>
      <c r="M247" s="579">
        <f t="shared" si="17"/>
        <v>0</v>
      </c>
      <c r="N247" s="579">
        <f t="shared" si="18"/>
        <v>0</v>
      </c>
      <c r="O247" s="133"/>
      <c r="P247" s="97"/>
      <c r="R247" s="673"/>
    </row>
    <row r="248" spans="2:18">
      <c r="B248" s="92"/>
      <c r="C248" s="133"/>
      <c r="D248" s="695"/>
      <c r="E248" s="133"/>
      <c r="F248" s="133"/>
      <c r="G248" s="133"/>
      <c r="H248" s="135"/>
      <c r="I248" s="133"/>
      <c r="J248" s="552"/>
      <c r="K248" s="552"/>
      <c r="L248" s="552"/>
      <c r="M248" s="552"/>
      <c r="N248" s="552"/>
      <c r="O248" s="133"/>
      <c r="P248" s="97"/>
      <c r="R248" s="673"/>
    </row>
    <row r="249" spans="2:18">
      <c r="B249" s="92"/>
      <c r="C249" s="133"/>
      <c r="D249" s="138" t="s">
        <v>391</v>
      </c>
      <c r="E249" s="133"/>
      <c r="F249" s="133"/>
      <c r="G249" s="133"/>
      <c r="H249" s="701"/>
      <c r="I249" s="133"/>
      <c r="J249" s="720">
        <f>SUM(J213:J247)</f>
        <v>0</v>
      </c>
      <c r="K249" s="720">
        <f>SUM(K213:K247)</f>
        <v>0</v>
      </c>
      <c r="L249" s="720">
        <f>SUM(L213:L247)</f>
        <v>0</v>
      </c>
      <c r="M249" s="720">
        <f>SUM(M213:M247)</f>
        <v>0</v>
      </c>
      <c r="N249" s="720">
        <f>SUM(N213:N247)</f>
        <v>0</v>
      </c>
      <c r="O249" s="133"/>
      <c r="P249" s="97"/>
    </row>
    <row r="250" spans="2:18">
      <c r="B250" s="92"/>
      <c r="C250" s="133"/>
      <c r="D250" s="695"/>
      <c r="E250" s="697"/>
      <c r="F250" s="133"/>
      <c r="G250" s="133"/>
      <c r="H250" s="701"/>
      <c r="I250" s="133"/>
      <c r="J250" s="133"/>
      <c r="K250" s="552"/>
      <c r="L250" s="552"/>
      <c r="M250" s="552"/>
      <c r="N250" s="552"/>
      <c r="O250" s="133"/>
      <c r="P250" s="97"/>
    </row>
    <row r="251" spans="2:18">
      <c r="B251" s="92"/>
      <c r="C251" s="93"/>
      <c r="D251" s="687"/>
      <c r="E251" s="685"/>
      <c r="F251" s="93"/>
      <c r="G251" s="93"/>
      <c r="H251" s="688"/>
      <c r="I251" s="93"/>
      <c r="J251" s="93"/>
      <c r="K251" s="616"/>
      <c r="L251" s="616"/>
      <c r="M251" s="616"/>
      <c r="N251" s="616"/>
      <c r="O251" s="93"/>
      <c r="P251" s="97"/>
    </row>
    <row r="252" spans="2:18">
      <c r="B252" s="92"/>
      <c r="C252" s="133"/>
      <c r="D252" s="695"/>
      <c r="E252" s="695"/>
      <c r="F252" s="695"/>
      <c r="G252" s="695"/>
      <c r="H252" s="696"/>
      <c r="I252" s="133"/>
      <c r="J252" s="133"/>
      <c r="K252" s="552"/>
      <c r="L252" s="552"/>
      <c r="M252" s="552"/>
      <c r="N252" s="552"/>
      <c r="O252" s="133"/>
      <c r="P252" s="97"/>
    </row>
    <row r="253" spans="2:18">
      <c r="B253" s="92"/>
      <c r="C253" s="133"/>
      <c r="D253" s="319" t="s">
        <v>13</v>
      </c>
      <c r="E253" s="319"/>
      <c r="F253" s="133"/>
      <c r="G253" s="133"/>
      <c r="H253" s="139"/>
      <c r="I253" s="133"/>
      <c r="J253" s="720">
        <f>J207+J249+J190</f>
        <v>0</v>
      </c>
      <c r="K253" s="720">
        <f>K207+K249+K190</f>
        <v>0</v>
      </c>
      <c r="L253" s="720">
        <f>L207+L249+L190</f>
        <v>0</v>
      </c>
      <c r="M253" s="720">
        <f>M207+M249+M190</f>
        <v>0</v>
      </c>
      <c r="N253" s="720">
        <f>N207+N249+N190</f>
        <v>0</v>
      </c>
      <c r="O253" s="133"/>
      <c r="P253" s="97"/>
    </row>
    <row r="254" spans="2:18">
      <c r="B254" s="92"/>
      <c r="C254" s="133"/>
      <c r="D254" s="319"/>
      <c r="E254" s="319"/>
      <c r="F254" s="133"/>
      <c r="G254" s="133"/>
      <c r="H254" s="139"/>
      <c r="I254" s="133"/>
      <c r="J254" s="133"/>
      <c r="K254" s="694"/>
      <c r="L254" s="694"/>
      <c r="M254" s="694"/>
      <c r="N254" s="694"/>
      <c r="O254" s="133"/>
      <c r="P254" s="97"/>
    </row>
    <row r="255" spans="2:18">
      <c r="B255" s="92"/>
      <c r="C255" s="93"/>
      <c r="D255" s="277"/>
      <c r="E255" s="277"/>
      <c r="F255" s="93"/>
      <c r="G255" s="93"/>
      <c r="H255" s="96"/>
      <c r="I255" s="93"/>
      <c r="J255" s="93"/>
      <c r="K255" s="689"/>
      <c r="L255" s="689"/>
      <c r="M255" s="689"/>
      <c r="N255" s="689"/>
      <c r="O255" s="93"/>
      <c r="P255" s="97"/>
    </row>
    <row r="256" spans="2:18">
      <c r="B256" s="92"/>
      <c r="C256" s="93"/>
      <c r="D256" s="277"/>
      <c r="E256" s="277"/>
      <c r="F256" s="93"/>
      <c r="G256" s="93"/>
      <c r="H256" s="96"/>
      <c r="I256" s="93"/>
      <c r="J256" s="93"/>
      <c r="K256" s="689"/>
      <c r="L256" s="689"/>
      <c r="M256" s="689"/>
      <c r="N256" s="689"/>
      <c r="O256" s="93"/>
      <c r="P256" s="97"/>
    </row>
    <row r="257" spans="2:17">
      <c r="B257" s="92"/>
      <c r="C257" s="133"/>
      <c r="D257" s="319"/>
      <c r="E257" s="319"/>
      <c r="F257" s="133"/>
      <c r="G257" s="133"/>
      <c r="H257" s="139"/>
      <c r="I257" s="133"/>
      <c r="J257" s="133"/>
      <c r="K257" s="694"/>
      <c r="L257" s="694"/>
      <c r="M257" s="694"/>
      <c r="N257" s="694"/>
      <c r="O257" s="133"/>
      <c r="P257" s="97"/>
    </row>
    <row r="258" spans="2:17">
      <c r="B258" s="92"/>
      <c r="C258" s="133"/>
      <c r="D258" s="1084" t="s">
        <v>12</v>
      </c>
      <c r="E258" s="319"/>
      <c r="F258" s="133"/>
      <c r="G258" s="133"/>
      <c r="H258" s="139"/>
      <c r="I258" s="133"/>
      <c r="J258" s="720">
        <f>J172-J253</f>
        <v>314444.81335952855</v>
      </c>
      <c r="K258" s="720">
        <f>K172-K253</f>
        <v>320104.82</v>
      </c>
      <c r="L258" s="720">
        <f>L172-L253</f>
        <v>320104.82</v>
      </c>
      <c r="M258" s="720">
        <f>M172-M253</f>
        <v>320104.82</v>
      </c>
      <c r="N258" s="720">
        <f>N172-N253</f>
        <v>320104.82</v>
      </c>
      <c r="O258" s="133"/>
      <c r="P258" s="97"/>
    </row>
    <row r="259" spans="2:17">
      <c r="B259" s="92"/>
      <c r="C259" s="133"/>
      <c r="D259" s="319"/>
      <c r="E259" s="319"/>
      <c r="F259" s="133"/>
      <c r="G259" s="133"/>
      <c r="H259" s="139"/>
      <c r="I259" s="133"/>
      <c r="J259" s="133"/>
      <c r="K259" s="694"/>
      <c r="L259" s="694"/>
      <c r="M259" s="694"/>
      <c r="N259" s="694"/>
      <c r="O259" s="133"/>
      <c r="P259" s="97"/>
    </row>
    <row r="260" spans="2:17">
      <c r="B260" s="92"/>
      <c r="C260" s="93"/>
      <c r="D260" s="277"/>
      <c r="E260" s="277"/>
      <c r="F260" s="93"/>
      <c r="G260" s="93"/>
      <c r="H260" s="96"/>
      <c r="I260" s="93"/>
      <c r="J260" s="93"/>
      <c r="K260" s="689"/>
      <c r="L260" s="689"/>
      <c r="M260" s="689"/>
      <c r="N260" s="689"/>
      <c r="O260" s="93"/>
      <c r="P260" s="97"/>
    </row>
    <row r="261" spans="2:17" ht="15">
      <c r="B261" s="113"/>
      <c r="C261" s="114"/>
      <c r="D261" s="114"/>
      <c r="E261" s="114"/>
      <c r="F261" s="114"/>
      <c r="G261" s="114"/>
      <c r="H261" s="118"/>
      <c r="I261" s="114"/>
      <c r="J261" s="114"/>
      <c r="K261" s="118"/>
      <c r="L261" s="118"/>
      <c r="M261" s="118"/>
      <c r="N261" s="118"/>
      <c r="O261" s="119" t="s">
        <v>555</v>
      </c>
      <c r="P261" s="120"/>
    </row>
    <row r="265" spans="2:17" s="68" customFormat="1">
      <c r="D265" s="193"/>
      <c r="E265" s="193"/>
      <c r="F265" s="193"/>
      <c r="G265" s="193"/>
      <c r="H265" s="193"/>
      <c r="I265" s="193"/>
      <c r="J265" s="193"/>
      <c r="K265" s="193"/>
      <c r="L265" s="193"/>
      <c r="M265" s="193"/>
      <c r="N265" s="193"/>
      <c r="Q265" s="67"/>
    </row>
    <row r="266" spans="2:17" s="68" customFormat="1">
      <c r="D266" s="1096"/>
      <c r="E266" s="690"/>
      <c r="F266" s="195"/>
      <c r="G266" s="195"/>
      <c r="H266" s="195"/>
      <c r="I266" s="195"/>
      <c r="J266" s="691" t="str">
        <f>+tab!D2</f>
        <v>2012/13</v>
      </c>
      <c r="K266" s="691" t="str">
        <f>+tab!E2</f>
        <v>2013/14</v>
      </c>
      <c r="L266" s="691" t="str">
        <f>+tab!F2</f>
        <v>2014/15</v>
      </c>
      <c r="M266" s="1070" t="str">
        <f>+tab!G2</f>
        <v>2015/16</v>
      </c>
      <c r="N266" s="1070" t="str">
        <f>+tab!H2</f>
        <v>2016/17</v>
      </c>
      <c r="O266" s="80"/>
      <c r="P266" s="80"/>
      <c r="Q266" s="67"/>
    </row>
    <row r="267" spans="2:17" s="68" customFormat="1">
      <c r="D267" s="191" t="s">
        <v>15</v>
      </c>
      <c r="E267" s="193"/>
      <c r="F267" s="201"/>
      <c r="G267" s="193"/>
      <c r="H267" s="193"/>
      <c r="I267" s="193"/>
      <c r="J267" s="692"/>
      <c r="K267" s="692"/>
      <c r="L267" s="692"/>
      <c r="M267" s="692"/>
      <c r="N267" s="692"/>
      <c r="Q267" s="67"/>
    </row>
    <row r="268" spans="2:17" s="68" customFormat="1">
      <c r="D268" s="200" t="s">
        <v>232</v>
      </c>
      <c r="E268" s="193"/>
      <c r="F268" s="201"/>
      <c r="G268" s="193"/>
      <c r="H268" s="193"/>
      <c r="I268" s="193"/>
      <c r="J268" s="692">
        <f>0.416666666666667*(J143-J119)+0.583333333333333*(K143-K119)+rugzak!G52+rugzak!G108</f>
        <v>317746.4838998036</v>
      </c>
      <c r="K268" s="692">
        <f>0.416666666666667*(K143-K119)+0.583333333333333*(L143-L119)+rugzak!$G160+rugzak!$G212</f>
        <v>320104.82000000007</v>
      </c>
      <c r="L268" s="692">
        <f>0.416666666666667*(L143-L119)+0.583333333333333*(M143-M119)+rugzak!$G160+rugzak!$G212</f>
        <v>320104.82000000007</v>
      </c>
      <c r="M268" s="692">
        <f>0.416666666666667*(M143-M119)+0.583333333333333*(N143-N119)+rugzak!$G160+rugzak!$G212</f>
        <v>320104.82000000007</v>
      </c>
      <c r="N268" s="692">
        <f>(N143-N119)+rugzak!$G160+rugzak!$G212</f>
        <v>320104.82</v>
      </c>
      <c r="O268" s="255"/>
      <c r="Q268" s="67"/>
    </row>
    <row r="269" spans="2:17" s="68" customFormat="1">
      <c r="D269" s="200" t="s">
        <v>708</v>
      </c>
      <c r="E269" s="193"/>
      <c r="F269" s="201"/>
      <c r="G269" s="193"/>
      <c r="H269" s="193"/>
      <c r="I269" s="193"/>
      <c r="J269" s="692">
        <f>0.416666666666667*J154+0.583333333333333*K154</f>
        <v>0</v>
      </c>
      <c r="K269" s="692">
        <f>0.416666666666667*K154+0.583333333333333*L154</f>
        <v>0</v>
      </c>
      <c r="L269" s="692">
        <f>0.416666666666667*L154+0.583333333333333*M154</f>
        <v>0</v>
      </c>
      <c r="M269" s="692">
        <f>0.416666666666667*M154+0.583333333333333*N154</f>
        <v>0</v>
      </c>
      <c r="N269" s="692">
        <f>N154</f>
        <v>0</v>
      </c>
      <c r="O269" s="255"/>
      <c r="Q269" s="67"/>
    </row>
    <row r="270" spans="2:17" s="68" customFormat="1" hidden="1">
      <c r="D270" s="200" t="s">
        <v>16</v>
      </c>
      <c r="E270" s="193"/>
      <c r="F270" s="201"/>
      <c r="G270" s="193"/>
      <c r="H270" s="193"/>
      <c r="I270" s="193"/>
      <c r="J270" s="692"/>
      <c r="K270" s="692"/>
      <c r="L270" s="692"/>
      <c r="M270" s="692"/>
      <c r="N270" s="692"/>
      <c r="Q270" s="67"/>
    </row>
    <row r="271" spans="2:17" s="68" customFormat="1">
      <c r="D271" s="200" t="s">
        <v>709</v>
      </c>
      <c r="E271" s="193"/>
      <c r="F271" s="201"/>
      <c r="G271" s="193"/>
      <c r="H271" s="193"/>
      <c r="I271" s="193"/>
      <c r="J271" s="692">
        <f>0.416666666666667*J160+0.583333333333333*K160</f>
        <v>0</v>
      </c>
      <c r="K271" s="692">
        <f>0.416666666666667*K160+0.583333333333333*L160</f>
        <v>0</v>
      </c>
      <c r="L271" s="692">
        <f>0.416666666666667*L160+0.583333333333333*M160</f>
        <v>0</v>
      </c>
      <c r="M271" s="692">
        <f>0.416666666666667*M160+0.583333333333333*N160</f>
        <v>0</v>
      </c>
      <c r="N271" s="692">
        <f>N160</f>
        <v>0</v>
      </c>
      <c r="O271" s="255"/>
      <c r="Q271" s="67"/>
    </row>
    <row r="272" spans="2:17" s="68" customFormat="1">
      <c r="D272" s="200" t="s">
        <v>233</v>
      </c>
      <c r="E272" s="193"/>
      <c r="F272" s="201"/>
      <c r="G272" s="193"/>
      <c r="H272" s="193"/>
      <c r="I272" s="193"/>
      <c r="J272" s="692">
        <f>0.416666666666667*J168+0.583333333333333*K168-J271</f>
        <v>0</v>
      </c>
      <c r="K272" s="692">
        <f>0.416666666666667*K168+0.583333333333333*L168-K271</f>
        <v>0</v>
      </c>
      <c r="L272" s="692">
        <f>0.416666666666667*L168+0.583333333333333*M168-L271</f>
        <v>0</v>
      </c>
      <c r="M272" s="692">
        <f>0.416666666666667*M168+0.583333333333333*N168-M271</f>
        <v>0</v>
      </c>
      <c r="N272" s="692">
        <f>N168-N271</f>
        <v>0</v>
      </c>
      <c r="O272" s="255"/>
      <c r="Q272" s="67"/>
    </row>
    <row r="273" spans="2:17" s="68" customFormat="1">
      <c r="D273" s="207"/>
      <c r="E273" s="193"/>
      <c r="F273" s="201"/>
      <c r="G273" s="193"/>
      <c r="H273" s="193"/>
      <c r="I273" s="193"/>
      <c r="J273" s="693">
        <f>SUM(J268:J272)</f>
        <v>317746.4838998036</v>
      </c>
      <c r="K273" s="693">
        <f>SUM(K268:K272)</f>
        <v>320104.82000000007</v>
      </c>
      <c r="L273" s="693">
        <f>SUM(L268:L272)</f>
        <v>320104.82000000007</v>
      </c>
      <c r="M273" s="693">
        <f>SUM(M268:M272)</f>
        <v>320104.82000000007</v>
      </c>
      <c r="N273" s="693">
        <f>SUM(N268:N272)</f>
        <v>320104.82</v>
      </c>
      <c r="O273" s="255"/>
      <c r="Q273" s="67"/>
    </row>
    <row r="274" spans="2:17" s="68" customFormat="1">
      <c r="B274" s="86"/>
      <c r="C274" s="86"/>
      <c r="D274" s="191" t="s">
        <v>677</v>
      </c>
      <c r="E274" s="193"/>
      <c r="F274" s="201"/>
      <c r="G274" s="193"/>
      <c r="H274" s="193"/>
      <c r="I274" s="193"/>
      <c r="J274" s="692"/>
      <c r="K274" s="692"/>
      <c r="L274" s="692"/>
      <c r="M274" s="692"/>
      <c r="N274" s="692"/>
      <c r="Q274" s="67"/>
    </row>
    <row r="275" spans="2:17" s="68" customFormat="1">
      <c r="D275" s="193" t="s">
        <v>237</v>
      </c>
      <c r="E275" s="193"/>
      <c r="F275" s="201"/>
      <c r="G275" s="193"/>
      <c r="H275" s="193"/>
      <c r="I275" s="193"/>
      <c r="J275" s="692">
        <f>0.416666666666667*J190+0.583333333333333*K190</f>
        <v>0</v>
      </c>
      <c r="K275" s="692">
        <f>0.416666666666667*K190+0.583333333333333*L190</f>
        <v>0</v>
      </c>
      <c r="L275" s="692">
        <f>0.416666666666667*L190+0.583333333333333*M190</f>
        <v>0</v>
      </c>
      <c r="M275" s="692">
        <f>0.416666666666667*M190+0.583333333333333*N190</f>
        <v>0</v>
      </c>
      <c r="N275" s="692">
        <f>N190</f>
        <v>0</v>
      </c>
      <c r="O275" s="255"/>
      <c r="Q275" s="67"/>
    </row>
    <row r="276" spans="2:17" s="68" customFormat="1">
      <c r="D276" s="193" t="s">
        <v>238</v>
      </c>
      <c r="E276" s="193"/>
      <c r="F276" s="201"/>
      <c r="G276" s="193"/>
      <c r="H276" s="193"/>
      <c r="I276" s="193"/>
      <c r="J276" s="692">
        <f>0.416666666666667*J207+0.583333333333333*K207</f>
        <v>0</v>
      </c>
      <c r="K276" s="692">
        <f>0.416666666666667*K207+0.583333333333333*L207</f>
        <v>0</v>
      </c>
      <c r="L276" s="692">
        <f>0.416666666666667*L207+0.583333333333333*M207</f>
        <v>0</v>
      </c>
      <c r="M276" s="692">
        <f>0.416666666666667*M207+0.583333333333333*N207</f>
        <v>0</v>
      </c>
      <c r="N276" s="692">
        <f>N207</f>
        <v>0</v>
      </c>
      <c r="O276" s="255"/>
      <c r="Q276" s="67"/>
    </row>
    <row r="277" spans="2:17" s="68" customFormat="1">
      <c r="D277" s="193" t="s">
        <v>26</v>
      </c>
      <c r="E277" s="193"/>
      <c r="F277" s="201"/>
      <c r="G277" s="193"/>
      <c r="H277" s="193"/>
      <c r="I277" s="193"/>
      <c r="J277" s="692">
        <f>0.416666666666667*J249+0.583333333333333*K249</f>
        <v>0</v>
      </c>
      <c r="K277" s="692">
        <f>0.416666666666667*K249+0.583333333333333*L249</f>
        <v>0</v>
      </c>
      <c r="L277" s="692">
        <f>0.416666666666667*L249+0.583333333333333*M249</f>
        <v>0</v>
      </c>
      <c r="M277" s="692">
        <f>0.416666666666667*M249+0.583333333333333*N249</f>
        <v>0</v>
      </c>
      <c r="N277" s="692">
        <f>N249</f>
        <v>0</v>
      </c>
      <c r="O277" s="255"/>
      <c r="Q277" s="67"/>
    </row>
    <row r="278" spans="2:17" s="68" customFormat="1">
      <c r="D278" s="207"/>
      <c r="E278" s="193"/>
      <c r="F278" s="201"/>
      <c r="G278" s="193"/>
      <c r="H278" s="193"/>
      <c r="I278" s="193"/>
      <c r="J278" s="693">
        <f>SUM(J275:J277)</f>
        <v>0</v>
      </c>
      <c r="K278" s="693">
        <f>SUM(K275:K277)</f>
        <v>0</v>
      </c>
      <c r="L278" s="693">
        <f>SUM(L275:L277)</f>
        <v>0</v>
      </c>
      <c r="M278" s="693">
        <f>SUM(M275:M277)</f>
        <v>0</v>
      </c>
      <c r="N278" s="693">
        <f>SUM(N275:N277)</f>
        <v>0</v>
      </c>
      <c r="O278" s="255"/>
      <c r="Q278" s="67"/>
    </row>
    <row r="279" spans="2:17" s="68" customFormat="1">
      <c r="D279" s="1097"/>
      <c r="E279" s="193"/>
      <c r="F279" s="201"/>
      <c r="G279" s="193"/>
      <c r="H279" s="193"/>
      <c r="I279" s="193"/>
      <c r="J279" s="692"/>
      <c r="K279" s="692"/>
      <c r="L279" s="692"/>
      <c r="M279" s="692"/>
      <c r="N279" s="692"/>
      <c r="Q279" s="67"/>
    </row>
    <row r="280" spans="2:17" s="68" customFormat="1">
      <c r="B280" s="76"/>
      <c r="C280" s="76"/>
      <c r="D280" s="207" t="s">
        <v>18</v>
      </c>
      <c r="E280" s="193"/>
      <c r="F280" s="201"/>
      <c r="G280" s="193"/>
      <c r="H280" s="193"/>
      <c r="I280" s="193"/>
      <c r="J280" s="693">
        <f>+J273-J278</f>
        <v>317746.4838998036</v>
      </c>
      <c r="K280" s="693">
        <f>+K273-K278</f>
        <v>320104.82000000007</v>
      </c>
      <c r="L280" s="693">
        <f>+L273-L278</f>
        <v>320104.82000000007</v>
      </c>
      <c r="M280" s="693">
        <f>+M273-M278</f>
        <v>320104.82000000007</v>
      </c>
      <c r="N280" s="693">
        <f>+N273-N278</f>
        <v>320104.82</v>
      </c>
      <c r="O280" s="255"/>
      <c r="Q280" s="67"/>
    </row>
    <row r="281" spans="2:17" s="68" customFormat="1">
      <c r="D281" s="200"/>
      <c r="E281" s="193"/>
      <c r="F281" s="201"/>
      <c r="G281" s="193"/>
      <c r="H281" s="193"/>
      <c r="I281" s="193"/>
      <c r="J281" s="692"/>
      <c r="K281" s="692"/>
      <c r="L281" s="692"/>
      <c r="M281" s="692"/>
      <c r="N281" s="692"/>
      <c r="Q281" s="67"/>
    </row>
    <row r="282" spans="2:17" s="68" customFormat="1">
      <c r="D282" s="191" t="s">
        <v>21</v>
      </c>
      <c r="E282" s="193"/>
      <c r="F282" s="201"/>
      <c r="G282" s="193"/>
      <c r="H282" s="193"/>
      <c r="I282" s="193"/>
      <c r="J282" s="693">
        <f>0.416666666666667*J140+0.583333333333333*K140</f>
        <v>0</v>
      </c>
      <c r="K282" s="693">
        <f>0.416666666666667*K140+0.583333333333333*L140</f>
        <v>0</v>
      </c>
      <c r="L282" s="693">
        <f>0.416666666666667*L140+0.583333333333333*M140</f>
        <v>0</v>
      </c>
      <c r="M282" s="693">
        <f>0.416666666666667*M140+0.583333333333333*N140</f>
        <v>0</v>
      </c>
      <c r="N282" s="693">
        <f>N140</f>
        <v>0</v>
      </c>
      <c r="O282" s="255"/>
      <c r="Q282" s="67"/>
    </row>
    <row r="283" spans="2:17" s="68" customFormat="1">
      <c r="F283" s="67"/>
      <c r="J283" s="254"/>
      <c r="K283" s="254"/>
      <c r="L283" s="254"/>
      <c r="M283" s="254"/>
      <c r="N283" s="254"/>
      <c r="Q283" s="67"/>
    </row>
    <row r="284" spans="2:17" s="68" customFormat="1">
      <c r="D284" s="251"/>
      <c r="F284" s="67"/>
      <c r="J284" s="254"/>
      <c r="K284" s="254"/>
      <c r="L284" s="254"/>
      <c r="M284" s="254"/>
      <c r="N284" s="254"/>
      <c r="Q284" s="67"/>
    </row>
    <row r="285" spans="2:17" s="68" customFormat="1">
      <c r="D285" s="251"/>
      <c r="F285" s="67"/>
      <c r="J285" s="254"/>
      <c r="K285" s="254"/>
      <c r="L285" s="254"/>
      <c r="M285" s="254"/>
      <c r="N285" s="254"/>
      <c r="Q285" s="67"/>
    </row>
    <row r="286" spans="2:17" s="68" customFormat="1">
      <c r="H286" s="67"/>
      <c r="K286" s="67"/>
      <c r="L286" s="67"/>
      <c r="M286" s="67"/>
      <c r="N286" s="67"/>
    </row>
    <row r="287" spans="2:17" s="68" customFormat="1">
      <c r="H287" s="67"/>
      <c r="K287" s="67"/>
      <c r="L287" s="67"/>
      <c r="M287" s="67"/>
      <c r="N287" s="67"/>
    </row>
    <row r="288" spans="2:17" s="68" customFormat="1">
      <c r="H288" s="67"/>
      <c r="K288" s="67"/>
      <c r="L288" s="67"/>
      <c r="M288" s="67"/>
      <c r="N288" s="67"/>
    </row>
  </sheetData>
  <sheetProtection password="DFB1" sheet="1" objects="1" scenarios="1"/>
  <phoneticPr fontId="0" type="noConversion"/>
  <dataValidations count="1">
    <dataValidation type="list" allowBlank="1" showInputMessage="1" showErrorMessage="1" sqref="H33:H35 H64:H66 H29:H31 H60:H62 H71:H73 H75:H77">
      <formula1>"ja,nee"</formula1>
    </dataValidation>
  </dataValidations>
  <pageMargins left="0.75" right="0.75" top="1" bottom="1" header="0.5" footer="0.5"/>
  <pageSetup paperSize="9" scale="60" orientation="portrait" r:id="rId1"/>
  <headerFooter alignWithMargins="0">
    <oddHeader>&amp;L&amp;"Arial,Vet"&amp;F&amp;R&amp;"Arial,Vet"&amp;A</oddHeader>
    <oddFooter>&amp;L&amp;"Arial,Vet"keizer / goedhart&amp;C&amp;"Arial,Vet"&amp;D&amp;R&amp;"Arial,Vet"pagina &amp;P</oddFooter>
  </headerFooter>
  <rowBreaks count="2" manualBreakCount="2">
    <brk id="91" min="1" max="15" man="1"/>
    <brk id="175" min="1" max="15" man="1"/>
  </rowBreaks>
  <drawing r:id="rId2"/>
  <legacyDrawing r:id="rId3"/>
</worksheet>
</file>

<file path=xl/worksheets/sheet9.xml><?xml version="1.0" encoding="utf-8"?>
<worksheet xmlns="http://schemas.openxmlformats.org/spreadsheetml/2006/main" xmlns:r="http://schemas.openxmlformats.org/officeDocument/2006/relationships">
  <dimension ref="B2:Q33"/>
  <sheetViews>
    <sheetView zoomScale="85" zoomScaleNormal="85" workbookViewId="0">
      <selection activeCell="B2" sqref="B2"/>
    </sheetView>
  </sheetViews>
  <sheetFormatPr defaultRowHeight="12.75"/>
  <cols>
    <col min="1" max="1" width="3.7109375" style="68" customWidth="1"/>
    <col min="2" max="3" width="2.7109375" style="68" customWidth="1"/>
    <col min="4" max="4" width="45.5703125" style="68" customWidth="1"/>
    <col min="5" max="5" width="2.7109375" style="68" customWidth="1"/>
    <col min="6" max="8" width="12.85546875" style="68" customWidth="1"/>
    <col min="9" max="9" width="12.85546875" style="348" customWidth="1"/>
    <col min="10" max="15" width="12.85546875" style="68" customWidth="1"/>
    <col min="16" max="17" width="2.7109375" style="68" customWidth="1"/>
    <col min="18" max="16384" width="9.140625" style="68"/>
  </cols>
  <sheetData>
    <row r="2" spans="2:17" ht="12" customHeight="1">
      <c r="B2" s="87"/>
      <c r="C2" s="88"/>
      <c r="D2" s="88"/>
      <c r="E2" s="88"/>
      <c r="F2" s="88"/>
      <c r="G2" s="88"/>
      <c r="H2" s="88"/>
      <c r="I2" s="426"/>
      <c r="J2" s="88"/>
      <c r="K2" s="88"/>
      <c r="L2" s="88"/>
      <c r="M2" s="88"/>
      <c r="N2" s="88"/>
      <c r="O2" s="88"/>
      <c r="P2" s="88"/>
      <c r="Q2" s="91"/>
    </row>
    <row r="3" spans="2:17" ht="12" customHeight="1">
      <c r="B3" s="92"/>
      <c r="C3" s="93"/>
      <c r="D3" s="93"/>
      <c r="E3" s="93"/>
      <c r="F3" s="93"/>
      <c r="G3" s="93"/>
      <c r="H3" s="93"/>
      <c r="I3" s="435"/>
      <c r="J3" s="93"/>
      <c r="K3" s="93"/>
      <c r="L3" s="93"/>
      <c r="M3" s="93"/>
      <c r="N3" s="93"/>
      <c r="O3" s="93"/>
      <c r="P3" s="93"/>
      <c r="Q3" s="97"/>
    </row>
    <row r="4" spans="2:17" s="724" customFormat="1" ht="18" customHeight="1">
      <c r="B4" s="727"/>
      <c r="C4" s="168" t="s">
        <v>603</v>
      </c>
      <c r="D4" s="99"/>
      <c r="E4" s="728"/>
      <c r="F4" s="728"/>
      <c r="G4" s="728"/>
      <c r="H4" s="729"/>
      <c r="I4" s="729"/>
      <c r="J4" s="729"/>
      <c r="K4" s="728"/>
      <c r="L4" s="728"/>
      <c r="M4" s="728"/>
      <c r="N4" s="728"/>
      <c r="O4" s="728"/>
      <c r="P4" s="728"/>
      <c r="Q4" s="730"/>
    </row>
    <row r="5" spans="2:17" s="74" customFormat="1" ht="18" customHeight="1">
      <c r="B5" s="731"/>
      <c r="C5" s="260" t="str">
        <f>geg!I12</f>
        <v>De speciale school</v>
      </c>
      <c r="D5" s="732"/>
      <c r="E5" s="105"/>
      <c r="F5" s="105"/>
      <c r="G5" s="105"/>
      <c r="H5" s="93"/>
      <c r="I5" s="93"/>
      <c r="J5" s="93"/>
      <c r="K5" s="105"/>
      <c r="L5" s="105"/>
      <c r="M5" s="105"/>
      <c r="N5" s="105"/>
      <c r="O5" s="105"/>
      <c r="P5" s="105"/>
      <c r="Q5" s="733"/>
    </row>
    <row r="6" spans="2:17" s="74" customFormat="1" ht="12" customHeight="1">
      <c r="B6" s="731"/>
      <c r="C6" s="734"/>
      <c r="D6" s="732"/>
      <c r="E6" s="105"/>
      <c r="F6" s="105"/>
      <c r="G6" s="105"/>
      <c r="H6" s="93"/>
      <c r="I6" s="93"/>
      <c r="J6" s="93"/>
      <c r="K6" s="105"/>
      <c r="L6" s="105"/>
      <c r="M6" s="105"/>
      <c r="N6" s="105"/>
      <c r="O6" s="105"/>
      <c r="P6" s="105"/>
      <c r="Q6" s="733"/>
    </row>
    <row r="7" spans="2:17" s="74" customFormat="1" ht="12" customHeight="1">
      <c r="B7" s="731"/>
      <c r="C7" s="734"/>
      <c r="D7" s="732"/>
      <c r="E7" s="105"/>
      <c r="F7" s="105"/>
      <c r="G7" s="105"/>
      <c r="H7" s="93"/>
      <c r="I7" s="93"/>
      <c r="J7" s="93"/>
      <c r="K7" s="105"/>
      <c r="L7" s="105"/>
      <c r="M7" s="105"/>
      <c r="N7" s="105"/>
      <c r="O7" s="105"/>
      <c r="P7" s="105"/>
      <c r="Q7" s="733"/>
    </row>
    <row r="8" spans="2:17" s="74" customFormat="1" ht="12" customHeight="1">
      <c r="B8" s="731"/>
      <c r="C8" s="734"/>
      <c r="D8" s="503" t="s">
        <v>604</v>
      </c>
      <c r="E8" s="105"/>
      <c r="F8" s="105"/>
      <c r="G8" s="105"/>
      <c r="H8" s="93"/>
      <c r="I8" s="93"/>
      <c r="J8" s="93"/>
      <c r="K8" s="105"/>
      <c r="L8" s="105"/>
      <c r="M8" s="105"/>
      <c r="N8" s="105"/>
      <c r="O8" s="105"/>
      <c r="P8" s="105"/>
      <c r="Q8" s="733"/>
    </row>
    <row r="9" spans="2:17" s="74" customFormat="1" ht="12" customHeight="1">
      <c r="B9" s="731"/>
      <c r="C9" s="734"/>
      <c r="D9" s="504" t="s">
        <v>606</v>
      </c>
      <c r="E9" s="105"/>
      <c r="F9" s="105"/>
      <c r="G9" s="105"/>
      <c r="H9" s="93"/>
      <c r="I9" s="93"/>
      <c r="J9" s="93"/>
      <c r="K9" s="105"/>
      <c r="L9" s="105"/>
      <c r="M9" s="105"/>
      <c r="N9" s="105"/>
      <c r="O9" s="105"/>
      <c r="P9" s="105"/>
      <c r="Q9" s="733"/>
    </row>
    <row r="10" spans="2:17" s="74" customFormat="1" ht="12" customHeight="1">
      <c r="B10" s="731"/>
      <c r="C10" s="734"/>
      <c r="D10" s="504" t="s">
        <v>573</v>
      </c>
      <c r="E10" s="105"/>
      <c r="F10" s="105"/>
      <c r="G10" s="105"/>
      <c r="H10" s="93"/>
      <c r="I10" s="93"/>
      <c r="J10" s="93"/>
      <c r="K10" s="105"/>
      <c r="L10" s="105"/>
      <c r="M10" s="105"/>
      <c r="N10" s="105"/>
      <c r="O10" s="105"/>
      <c r="P10" s="105"/>
      <c r="Q10" s="733"/>
    </row>
    <row r="11" spans="2:17" s="74" customFormat="1" ht="12" customHeight="1">
      <c r="B11" s="731"/>
      <c r="C11" s="735"/>
      <c r="D11" s="735"/>
      <c r="E11" s="105"/>
      <c r="F11" s="105"/>
      <c r="G11" s="105"/>
      <c r="H11" s="93"/>
      <c r="I11" s="93"/>
      <c r="J11" s="93"/>
      <c r="K11" s="105"/>
      <c r="L11" s="105"/>
      <c r="M11" s="105"/>
      <c r="N11" s="105"/>
      <c r="O11" s="105"/>
      <c r="P11" s="105"/>
      <c r="Q11" s="733"/>
    </row>
    <row r="12" spans="2:17" ht="12" customHeight="1">
      <c r="B12" s="736"/>
      <c r="C12" s="734"/>
      <c r="D12" s="469"/>
      <c r="E12" s="93"/>
      <c r="F12" s="93"/>
      <c r="G12" s="276"/>
      <c r="H12" s="93"/>
      <c r="I12" s="93"/>
      <c r="J12" s="93"/>
      <c r="K12" s="93"/>
      <c r="L12" s="93"/>
      <c r="M12" s="93"/>
      <c r="N12" s="93"/>
      <c r="O12" s="93"/>
      <c r="P12" s="93"/>
      <c r="Q12" s="97"/>
    </row>
    <row r="13" spans="2:17" s="71" customFormat="1" ht="12" customHeight="1">
      <c r="B13" s="737"/>
      <c r="C13" s="738"/>
      <c r="D13" s="739"/>
      <c r="E13" s="729"/>
      <c r="F13" s="164">
        <f>tab!D4</f>
        <v>2012</v>
      </c>
      <c r="G13" s="164">
        <f t="shared" ref="G13:O13" si="0">F13+1</f>
        <v>2013</v>
      </c>
      <c r="H13" s="164">
        <f t="shared" si="0"/>
        <v>2014</v>
      </c>
      <c r="I13" s="164">
        <f t="shared" si="0"/>
        <v>2015</v>
      </c>
      <c r="J13" s="164">
        <f t="shared" si="0"/>
        <v>2016</v>
      </c>
      <c r="K13" s="164">
        <f t="shared" si="0"/>
        <v>2017</v>
      </c>
      <c r="L13" s="164">
        <f t="shared" si="0"/>
        <v>2018</v>
      </c>
      <c r="M13" s="164">
        <f t="shared" si="0"/>
        <v>2019</v>
      </c>
      <c r="N13" s="164">
        <f t="shared" si="0"/>
        <v>2020</v>
      </c>
      <c r="O13" s="164">
        <f t="shared" si="0"/>
        <v>2021</v>
      </c>
      <c r="P13" s="729"/>
      <c r="Q13" s="740"/>
    </row>
    <row r="14" spans="2:17" ht="12" customHeight="1">
      <c r="B14" s="736"/>
      <c r="C14" s="734"/>
      <c r="D14" s="469"/>
      <c r="E14" s="93"/>
      <c r="F14" s="93"/>
      <c r="G14" s="93"/>
      <c r="H14" s="93"/>
      <c r="I14" s="93"/>
      <c r="J14" s="93"/>
      <c r="K14" s="93"/>
      <c r="L14" s="93"/>
      <c r="M14" s="93"/>
      <c r="N14" s="93"/>
      <c r="O14" s="93"/>
      <c r="P14" s="93"/>
      <c r="Q14" s="97"/>
    </row>
    <row r="15" spans="2:17" ht="12" customHeight="1">
      <c r="B15" s="92"/>
      <c r="C15" s="674"/>
      <c r="D15" s="378"/>
      <c r="F15" s="124"/>
      <c r="G15" s="127"/>
      <c r="H15" s="127"/>
      <c r="I15" s="127"/>
      <c r="J15" s="127"/>
      <c r="K15" s="522"/>
      <c r="L15" s="522"/>
      <c r="M15" s="522"/>
      <c r="N15" s="522"/>
      <c r="O15" s="522"/>
      <c r="P15" s="130"/>
      <c r="Q15" s="97"/>
    </row>
    <row r="16" spans="2:17" ht="12" customHeight="1">
      <c r="B16" s="92"/>
      <c r="C16" s="725"/>
      <c r="D16" s="83" t="s">
        <v>607</v>
      </c>
      <c r="E16" s="252"/>
      <c r="F16" s="741">
        <v>0</v>
      </c>
      <c r="G16" s="742">
        <f t="shared" ref="G16:O16" si="1">F19</f>
        <v>0</v>
      </c>
      <c r="H16" s="742">
        <f t="shared" si="1"/>
        <v>0</v>
      </c>
      <c r="I16" s="742">
        <f t="shared" si="1"/>
        <v>0</v>
      </c>
      <c r="J16" s="742">
        <f t="shared" si="1"/>
        <v>0</v>
      </c>
      <c r="K16" s="742">
        <f t="shared" si="1"/>
        <v>0</v>
      </c>
      <c r="L16" s="742">
        <f t="shared" si="1"/>
        <v>0</v>
      </c>
      <c r="M16" s="742">
        <f t="shared" si="1"/>
        <v>0</v>
      </c>
      <c r="N16" s="742">
        <f t="shared" si="1"/>
        <v>0</v>
      </c>
      <c r="O16" s="742">
        <f t="shared" si="1"/>
        <v>0</v>
      </c>
      <c r="P16" s="136"/>
      <c r="Q16" s="97"/>
    </row>
    <row r="17" spans="2:17" ht="12" customHeight="1">
      <c r="B17" s="92"/>
      <c r="C17" s="725"/>
      <c r="D17" s="83" t="s">
        <v>608</v>
      </c>
      <c r="E17" s="251"/>
      <c r="F17" s="741">
        <v>0</v>
      </c>
      <c r="G17" s="313">
        <v>0</v>
      </c>
      <c r="H17" s="313">
        <v>0</v>
      </c>
      <c r="I17" s="313">
        <v>0</v>
      </c>
      <c r="J17" s="313">
        <v>0</v>
      </c>
      <c r="K17" s="313">
        <v>0</v>
      </c>
      <c r="L17" s="313">
        <v>0</v>
      </c>
      <c r="M17" s="313">
        <v>0</v>
      </c>
      <c r="N17" s="313">
        <v>0</v>
      </c>
      <c r="O17" s="313">
        <v>0</v>
      </c>
      <c r="P17" s="136"/>
      <c r="Q17" s="97"/>
    </row>
    <row r="18" spans="2:17" ht="12" customHeight="1">
      <c r="B18" s="92"/>
      <c r="C18" s="725"/>
      <c r="D18" s="83" t="s">
        <v>609</v>
      </c>
      <c r="E18" s="252"/>
      <c r="F18" s="741">
        <v>0</v>
      </c>
      <c r="G18" s="313">
        <v>0</v>
      </c>
      <c r="H18" s="313">
        <v>0</v>
      </c>
      <c r="I18" s="313">
        <v>0</v>
      </c>
      <c r="J18" s="313">
        <v>0</v>
      </c>
      <c r="K18" s="313">
        <v>0</v>
      </c>
      <c r="L18" s="313">
        <v>0</v>
      </c>
      <c r="M18" s="313">
        <v>0</v>
      </c>
      <c r="N18" s="313">
        <v>0</v>
      </c>
      <c r="O18" s="313">
        <v>0</v>
      </c>
      <c r="P18" s="136"/>
      <c r="Q18" s="97"/>
    </row>
    <row r="19" spans="2:17" ht="12" customHeight="1">
      <c r="B19" s="92"/>
      <c r="C19" s="726"/>
      <c r="D19" s="86" t="s">
        <v>394</v>
      </c>
      <c r="E19" s="251"/>
      <c r="F19" s="743">
        <f t="shared" ref="F19:O19" si="2">SUM(F16:F17)-F18</f>
        <v>0</v>
      </c>
      <c r="G19" s="744">
        <f t="shared" si="2"/>
        <v>0</v>
      </c>
      <c r="H19" s="744">
        <f t="shared" si="2"/>
        <v>0</v>
      </c>
      <c r="I19" s="744">
        <f t="shared" si="2"/>
        <v>0</v>
      </c>
      <c r="J19" s="744">
        <f t="shared" si="2"/>
        <v>0</v>
      </c>
      <c r="K19" s="744">
        <f t="shared" si="2"/>
        <v>0</v>
      </c>
      <c r="L19" s="744">
        <f t="shared" si="2"/>
        <v>0</v>
      </c>
      <c r="M19" s="744">
        <f t="shared" si="2"/>
        <v>0</v>
      </c>
      <c r="N19" s="744">
        <f t="shared" si="2"/>
        <v>0</v>
      </c>
      <c r="O19" s="744">
        <f t="shared" si="2"/>
        <v>0</v>
      </c>
      <c r="P19" s="136"/>
      <c r="Q19" s="97"/>
    </row>
    <row r="20" spans="2:17" ht="12" customHeight="1">
      <c r="B20" s="92"/>
      <c r="C20" s="348"/>
      <c r="F20" s="141"/>
      <c r="G20" s="144"/>
      <c r="H20" s="564"/>
      <c r="I20" s="144"/>
      <c r="J20" s="144"/>
      <c r="K20" s="144"/>
      <c r="L20" s="144"/>
      <c r="M20" s="144"/>
      <c r="N20" s="144"/>
      <c r="O20" s="144"/>
      <c r="P20" s="147"/>
      <c r="Q20" s="97"/>
    </row>
    <row r="21" spans="2:17" ht="12" customHeight="1">
      <c r="B21" s="736"/>
      <c r="C21" s="734"/>
      <c r="D21" s="469"/>
      <c r="E21" s="93"/>
      <c r="F21" s="93"/>
      <c r="G21" s="93"/>
      <c r="H21" s="435"/>
      <c r="I21" s="93"/>
      <c r="J21" s="93"/>
      <c r="K21" s="93"/>
      <c r="L21" s="93"/>
      <c r="M21" s="93"/>
      <c r="N21" s="93"/>
      <c r="O21" s="93"/>
      <c r="P21" s="93"/>
      <c r="Q21" s="97"/>
    </row>
    <row r="22" spans="2:17" s="71" customFormat="1" ht="12" customHeight="1">
      <c r="B22" s="736"/>
      <c r="C22" s="734"/>
      <c r="D22" s="469"/>
      <c r="E22" s="93"/>
      <c r="F22" s="93"/>
      <c r="G22" s="93"/>
      <c r="H22" s="435"/>
      <c r="I22" s="93"/>
      <c r="J22" s="93"/>
      <c r="K22" s="93"/>
      <c r="L22" s="93"/>
      <c r="M22" s="93"/>
      <c r="N22" s="93"/>
      <c r="O22" s="93"/>
      <c r="P22" s="93"/>
      <c r="Q22" s="97"/>
    </row>
    <row r="23" spans="2:17" ht="12" customHeight="1">
      <c r="B23" s="745"/>
      <c r="C23" s="738"/>
      <c r="D23" s="739"/>
      <c r="E23" s="729"/>
      <c r="F23" s="164">
        <f>1+O13</f>
        <v>2022</v>
      </c>
      <c r="G23" s="164">
        <f t="shared" ref="G23:O23" si="3">F23+1</f>
        <v>2023</v>
      </c>
      <c r="H23" s="164">
        <f t="shared" si="3"/>
        <v>2024</v>
      </c>
      <c r="I23" s="164">
        <f t="shared" si="3"/>
        <v>2025</v>
      </c>
      <c r="J23" s="164">
        <f t="shared" si="3"/>
        <v>2026</v>
      </c>
      <c r="K23" s="164">
        <f t="shared" si="3"/>
        <v>2027</v>
      </c>
      <c r="L23" s="164">
        <f t="shared" si="3"/>
        <v>2028</v>
      </c>
      <c r="M23" s="164">
        <f t="shared" si="3"/>
        <v>2029</v>
      </c>
      <c r="N23" s="164">
        <f t="shared" si="3"/>
        <v>2030</v>
      </c>
      <c r="O23" s="164">
        <f t="shared" si="3"/>
        <v>2031</v>
      </c>
      <c r="P23" s="108"/>
      <c r="Q23" s="740"/>
    </row>
    <row r="24" spans="2:17" ht="12" customHeight="1">
      <c r="B24" s="736"/>
      <c r="C24" s="734"/>
      <c r="D24" s="469"/>
      <c r="E24" s="93"/>
      <c r="F24" s="93"/>
      <c r="G24" s="93"/>
      <c r="H24" s="93"/>
      <c r="I24" s="93"/>
      <c r="J24" s="93"/>
      <c r="K24" s="93"/>
      <c r="L24" s="93"/>
      <c r="M24" s="93"/>
      <c r="N24" s="93"/>
      <c r="O24" s="93"/>
      <c r="P24" s="93"/>
      <c r="Q24" s="97"/>
    </row>
    <row r="25" spans="2:17" ht="12" customHeight="1">
      <c r="B25" s="736"/>
      <c r="C25" s="674"/>
      <c r="D25" s="378"/>
      <c r="F25" s="124"/>
      <c r="G25" s="127"/>
      <c r="H25" s="127"/>
      <c r="I25" s="127"/>
      <c r="J25" s="127"/>
      <c r="K25" s="127"/>
      <c r="L25" s="127"/>
      <c r="M25" s="127"/>
      <c r="N25" s="127"/>
      <c r="O25" s="127"/>
      <c r="P25" s="130"/>
      <c r="Q25" s="97"/>
    </row>
    <row r="26" spans="2:17" ht="12" customHeight="1">
      <c r="B26" s="736"/>
      <c r="C26" s="725"/>
      <c r="D26" s="83" t="s">
        <v>607</v>
      </c>
      <c r="E26" s="252"/>
      <c r="F26" s="746">
        <f>O19</f>
        <v>0</v>
      </c>
      <c r="G26" s="742">
        <f t="shared" ref="G26:O26" si="4">F29</f>
        <v>0</v>
      </c>
      <c r="H26" s="742">
        <f t="shared" si="4"/>
        <v>0</v>
      </c>
      <c r="I26" s="742">
        <f t="shared" si="4"/>
        <v>0</v>
      </c>
      <c r="J26" s="742">
        <f t="shared" si="4"/>
        <v>0</v>
      </c>
      <c r="K26" s="742">
        <f t="shared" si="4"/>
        <v>0</v>
      </c>
      <c r="L26" s="742">
        <f t="shared" si="4"/>
        <v>0</v>
      </c>
      <c r="M26" s="742">
        <f t="shared" si="4"/>
        <v>0</v>
      </c>
      <c r="N26" s="742">
        <f t="shared" si="4"/>
        <v>0</v>
      </c>
      <c r="O26" s="742">
        <f t="shared" si="4"/>
        <v>0</v>
      </c>
      <c r="P26" s="136"/>
      <c r="Q26" s="97"/>
    </row>
    <row r="27" spans="2:17" ht="12" customHeight="1">
      <c r="B27" s="736"/>
      <c r="C27" s="725"/>
      <c r="D27" s="83" t="s">
        <v>608</v>
      </c>
      <c r="E27" s="251"/>
      <c r="F27" s="741">
        <v>0</v>
      </c>
      <c r="G27" s="313">
        <v>0</v>
      </c>
      <c r="H27" s="313">
        <v>0</v>
      </c>
      <c r="I27" s="313">
        <v>0</v>
      </c>
      <c r="J27" s="313">
        <v>0</v>
      </c>
      <c r="K27" s="313">
        <v>0</v>
      </c>
      <c r="L27" s="313">
        <v>0</v>
      </c>
      <c r="M27" s="313">
        <v>0</v>
      </c>
      <c r="N27" s="313">
        <v>0</v>
      </c>
      <c r="O27" s="313">
        <v>0</v>
      </c>
      <c r="P27" s="136"/>
      <c r="Q27" s="97"/>
    </row>
    <row r="28" spans="2:17" ht="12" customHeight="1">
      <c r="B28" s="736"/>
      <c r="C28" s="725"/>
      <c r="D28" s="83" t="s">
        <v>609</v>
      </c>
      <c r="E28" s="252"/>
      <c r="F28" s="741">
        <v>0</v>
      </c>
      <c r="G28" s="313">
        <v>0</v>
      </c>
      <c r="H28" s="313">
        <v>0</v>
      </c>
      <c r="I28" s="313">
        <v>0</v>
      </c>
      <c r="J28" s="313">
        <v>0</v>
      </c>
      <c r="K28" s="313">
        <v>0</v>
      </c>
      <c r="L28" s="313">
        <v>0</v>
      </c>
      <c r="M28" s="313">
        <v>0</v>
      </c>
      <c r="N28" s="313">
        <v>0</v>
      </c>
      <c r="O28" s="313">
        <v>0</v>
      </c>
      <c r="P28" s="136"/>
      <c r="Q28" s="97"/>
    </row>
    <row r="29" spans="2:17" ht="12" customHeight="1">
      <c r="B29" s="736"/>
      <c r="C29" s="726"/>
      <c r="D29" s="86" t="s">
        <v>394</v>
      </c>
      <c r="E29" s="251"/>
      <c r="F29" s="743">
        <f t="shared" ref="F29:O29" si="5">SUM(F26:F27)-F28</f>
        <v>0</v>
      </c>
      <c r="G29" s="744">
        <f>SUM(G26:G27)-G28</f>
        <v>0</v>
      </c>
      <c r="H29" s="744">
        <f t="shared" si="5"/>
        <v>0</v>
      </c>
      <c r="I29" s="744">
        <f t="shared" si="5"/>
        <v>0</v>
      </c>
      <c r="J29" s="744">
        <f t="shared" si="5"/>
        <v>0</v>
      </c>
      <c r="K29" s="744">
        <f t="shared" si="5"/>
        <v>0</v>
      </c>
      <c r="L29" s="744">
        <f t="shared" si="5"/>
        <v>0</v>
      </c>
      <c r="M29" s="744">
        <f t="shared" si="5"/>
        <v>0</v>
      </c>
      <c r="N29" s="744">
        <f t="shared" si="5"/>
        <v>0</v>
      </c>
      <c r="O29" s="744">
        <f t="shared" si="5"/>
        <v>0</v>
      </c>
      <c r="P29" s="136"/>
      <c r="Q29" s="97"/>
    </row>
    <row r="30" spans="2:17" ht="12" customHeight="1">
      <c r="B30" s="736"/>
      <c r="C30" s="348"/>
      <c r="F30" s="141"/>
      <c r="G30" s="144"/>
      <c r="H30" s="144"/>
      <c r="I30" s="144"/>
      <c r="J30" s="144"/>
      <c r="K30" s="144"/>
      <c r="L30" s="144"/>
      <c r="M30" s="144"/>
      <c r="N30" s="144"/>
      <c r="O30" s="144"/>
      <c r="P30" s="147"/>
      <c r="Q30" s="97"/>
    </row>
    <row r="31" spans="2:17" ht="12" customHeight="1">
      <c r="B31" s="736"/>
      <c r="C31" s="734"/>
      <c r="D31" s="469"/>
      <c r="E31" s="93"/>
      <c r="F31" s="93"/>
      <c r="G31" s="93"/>
      <c r="H31" s="93"/>
      <c r="I31" s="93"/>
      <c r="J31" s="93"/>
      <c r="K31" s="93"/>
      <c r="L31" s="93"/>
      <c r="M31" s="93"/>
      <c r="N31" s="93"/>
      <c r="O31" s="93"/>
      <c r="P31" s="93"/>
      <c r="Q31" s="97"/>
    </row>
    <row r="32" spans="2:17" s="65" customFormat="1" ht="12" customHeight="1">
      <c r="B32" s="113"/>
      <c r="C32" s="114"/>
      <c r="D32" s="114"/>
      <c r="E32" s="114"/>
      <c r="F32" s="114"/>
      <c r="G32" s="114"/>
      <c r="H32" s="114"/>
      <c r="I32" s="114"/>
      <c r="J32" s="114"/>
      <c r="K32" s="114"/>
      <c r="L32" s="114"/>
      <c r="M32" s="114"/>
      <c r="N32" s="114"/>
      <c r="O32" s="114"/>
      <c r="P32" s="119" t="s">
        <v>555</v>
      </c>
      <c r="Q32" s="120"/>
    </row>
    <row r="33" ht="12" customHeight="1" collapsed="1"/>
  </sheetData>
  <sheetProtection password="DFB1" sheet="1" objects="1" scenarios="1"/>
  <phoneticPr fontId="0" type="noConversion"/>
  <pageMargins left="0.75" right="0.75" top="1" bottom="1" header="0.5" footer="0.5"/>
  <pageSetup paperSize="9" scale="60" orientation="landscape" r:id="rId1"/>
  <headerFooter alignWithMargins="0">
    <oddHeader>&amp;L&amp;"Arial,Vet"&amp;F&amp;R&amp;"Arial,Vet"&amp;A</oddHeader>
    <oddFooter>&amp;L&amp;"Arial,Vet"keizer / goedhart&amp;C&amp;"Arial,Vet"&amp;D&amp;R&amp;"Arial,Vet"pagina &amp;P</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Werkbladen</vt:lpstr>
      </vt:variant>
      <vt:variant>
        <vt:i4>21</vt:i4>
      </vt:variant>
      <vt:variant>
        <vt:lpstr>Benoemde bereiken</vt:lpstr>
      </vt:variant>
      <vt:variant>
        <vt:i4>35</vt:i4>
      </vt:variant>
    </vt:vector>
  </HeadingPairs>
  <TitlesOfParts>
    <vt:vector size="56" baseType="lpstr">
      <vt:lpstr>toel</vt:lpstr>
      <vt:lpstr>geg</vt:lpstr>
      <vt:lpstr>rugzak</vt:lpstr>
      <vt:lpstr>pers</vt:lpstr>
      <vt:lpstr>dir</vt:lpstr>
      <vt:lpstr>op</vt:lpstr>
      <vt:lpstr>oop</vt:lpstr>
      <vt:lpstr>mat</vt:lpstr>
      <vt:lpstr>mop</vt:lpstr>
      <vt:lpstr>mip</vt:lpstr>
      <vt:lpstr>act</vt:lpstr>
      <vt:lpstr>beleid</vt:lpstr>
      <vt:lpstr>begr</vt:lpstr>
      <vt:lpstr>bal</vt:lpstr>
      <vt:lpstr>liq</vt:lpstr>
      <vt:lpstr>ken</vt:lpstr>
      <vt:lpstr>graf</vt:lpstr>
      <vt:lpstr>som</vt:lpstr>
      <vt:lpstr>tab</vt:lpstr>
      <vt:lpstr>nieuwe bekostiging</vt:lpstr>
      <vt:lpstr>tab nieuw</vt:lpstr>
      <vt:lpstr>act!Afdrukbereik</vt:lpstr>
      <vt:lpstr>bal!Afdrukbereik</vt:lpstr>
      <vt:lpstr>begr!Afdrukbereik</vt:lpstr>
      <vt:lpstr>beleid!Afdrukbereik</vt:lpstr>
      <vt:lpstr>dir!Afdrukbereik</vt:lpstr>
      <vt:lpstr>geg!Afdrukbereik</vt:lpstr>
      <vt:lpstr>graf!Afdrukbereik</vt:lpstr>
      <vt:lpstr>ken!Afdrukbereik</vt:lpstr>
      <vt:lpstr>liq!Afdrukbereik</vt:lpstr>
      <vt:lpstr>mat!Afdrukbereik</vt:lpstr>
      <vt:lpstr>mip!Afdrukbereik</vt:lpstr>
      <vt:lpstr>mop!Afdrukbereik</vt:lpstr>
      <vt:lpstr>'nieuwe bekostiging'!Afdrukbereik</vt:lpstr>
      <vt:lpstr>oop!Afdrukbereik</vt:lpstr>
      <vt:lpstr>op!Afdrukbereik</vt:lpstr>
      <vt:lpstr>pers!Afdrukbereik</vt:lpstr>
      <vt:lpstr>rugzak!Afdrukbereik</vt:lpstr>
      <vt:lpstr>som!Afdrukbereik</vt:lpstr>
      <vt:lpstr>tab!Afdrukbereik</vt:lpstr>
      <vt:lpstr>toel!Afdrukbereik</vt:lpstr>
      <vt:lpstr>baden</vt:lpstr>
      <vt:lpstr>bedragll</vt:lpstr>
      <vt:lpstr>BudgetPB</vt:lpstr>
      <vt:lpstr>ftenorm</vt:lpstr>
      <vt:lpstr>grgr</vt:lpstr>
      <vt:lpstr>LGFMBO</vt:lpstr>
      <vt:lpstr>LGFPOVO</vt:lpstr>
      <vt:lpstr>MIgroep</vt:lpstr>
      <vt:lpstr>MIleerling</vt:lpstr>
      <vt:lpstr>PAB</vt:lpstr>
      <vt:lpstr>regels2011</vt:lpstr>
      <vt:lpstr>schaal2011</vt:lpstr>
      <vt:lpstr>TAB</vt:lpstr>
      <vt:lpstr>toeslag</vt:lpstr>
      <vt:lpstr>toeslag_geb_ond</vt:lpstr>
    </vt:vector>
  </TitlesOfParts>
  <Company>VOS/ABB</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Meerjarenbegroting (V)SO</dc:title>
  <dc:creator>Keizer/Goedhart</dc:creator>
  <cp:lastModifiedBy> </cp:lastModifiedBy>
  <cp:lastPrinted>2012-07-20T09:34:37Z</cp:lastPrinted>
  <dcterms:created xsi:type="dcterms:W3CDTF">2006-02-24T20:41:28Z</dcterms:created>
  <dcterms:modified xsi:type="dcterms:W3CDTF">2012-10-29T10:26:34Z</dcterms:modified>
</cp:coreProperties>
</file>