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55" windowHeight="7200" tabRatio="855" activeTab="1"/>
  </bookViews>
  <sheets>
    <sheet name="toelichting" sheetId="1" r:id="rId1"/>
    <sheet name="geg" sheetId="2" r:id="rId2"/>
    <sheet name="rugzak" sheetId="3" r:id="rId3"/>
    <sheet name="pers" sheetId="4" r:id="rId4"/>
    <sheet name="form t" sheetId="5" r:id="rId5"/>
    <sheet name="form t+1" sheetId="6" r:id="rId6"/>
    <sheet name="fiebouw" sheetId="7" r:id="rId7"/>
    <sheet name="persbel" sheetId="8" r:id="rId8"/>
    <sheet name="mat" sheetId="9" r:id="rId9"/>
    <sheet name="mop" sheetId="10" r:id="rId10"/>
    <sheet name="mip" sheetId="11" r:id="rId11"/>
    <sheet name="act" sheetId="12" r:id="rId12"/>
    <sheet name="begr" sheetId="13" r:id="rId13"/>
    <sheet name="bal" sheetId="14" state="hidden" r:id="rId14"/>
    <sheet name="ken" sheetId="15" r:id="rId15"/>
    <sheet name="som" sheetId="16" r:id="rId16"/>
    <sheet name="tabel" sheetId="17" r:id="rId17"/>
  </sheets>
  <definedNames>
    <definedName name="_xlnm.Print_Area" localSheetId="11">'act'!$B$2:$Q$64</definedName>
    <definedName name="_xlnm.Print_Area" localSheetId="13">'bal'!$B$2:$M$65</definedName>
    <definedName name="_xlnm.Print_Area" localSheetId="12">'begr'!$B$2:$L$127</definedName>
    <definedName name="_xlnm.Print_Area" localSheetId="6">'fiebouw'!$B$2:$AT$115</definedName>
    <definedName name="_xlnm.Print_Area" localSheetId="4">'form t'!$B$2:$V$112</definedName>
    <definedName name="_xlnm.Print_Area" localSheetId="5">'form t+1'!$B$2:$V$112</definedName>
    <definedName name="_xlnm.Print_Area" localSheetId="1">'geg'!$B$2:$X$171</definedName>
    <definedName name="_xlnm.Print_Area" localSheetId="14">'ken'!$B$2:$M$89</definedName>
    <definedName name="_xlnm.Print_Area" localSheetId="8">'mat'!$B$2:$P$307</definedName>
    <definedName name="_xlnm.Print_Area" localSheetId="10">'mip'!$B$2:$Z$97</definedName>
    <definedName name="_xlnm.Print_Area" localSheetId="9">'mop'!$B$2:$Q$32</definedName>
    <definedName name="_xlnm.Print_Area" localSheetId="3">'pers'!$B$2:$W$210</definedName>
    <definedName name="_xlnm.Print_Area" localSheetId="7">'persbel'!$B$2:$P$108</definedName>
    <definedName name="_xlnm.Print_Area" localSheetId="2">'rugzak'!$B$2:$V$111</definedName>
    <definedName name="_xlnm.Print_Area" localSheetId="15">'som'!$B$2:$K$135</definedName>
    <definedName name="_xlnm.Print_Area" localSheetId="16">'tabel'!$A$1:$K$360</definedName>
    <definedName name="_xlnm.Print_Area" localSheetId="0">'toelichting'!$B$2:$D$146</definedName>
    <definedName name="baden">'tabel'!$A$331:$B$343</definedName>
    <definedName name="bedragll">'tabel'!$A$88:$H$100</definedName>
    <definedName name="BudgetPB">'tabel'!$A$230:$H$242</definedName>
    <definedName name="FPE">'tabel'!$A$13:$G$25</definedName>
    <definedName name="ftenorm">'tabel'!$A$13:$G$25</definedName>
    <definedName name="grgr">'tabel'!$A$255:$C$267</definedName>
    <definedName name="kosten_functies_LB">'tabel'!$D$178:$E$219</definedName>
    <definedName name="LGFFPE">'tabel'!$G$30:$I$42</definedName>
    <definedName name="LGFMBO">'tabel'!$A$147:$E$159</definedName>
    <definedName name="LGFPOVO">'tabel'!$A$48:$E$60</definedName>
    <definedName name="MIgroep">'tabel'!$A$274:$F$286</definedName>
    <definedName name="MIleerling">'tabel'!$A$294:$F$306</definedName>
    <definedName name="PAB">'tabel'!$A$106:$E$118</definedName>
    <definedName name="PABFPE">'tabel'!$A$30:$C$42</definedName>
    <definedName name="regels">#REF!</definedName>
    <definedName name="salaristabel">#REF!</definedName>
    <definedName name="schaal">#REF!</definedName>
    <definedName name="schooljaren">'tabel'!$I$3:$L$9</definedName>
    <definedName name="TAB">'tabel'!$A$124:$G$136</definedName>
    <definedName name="TABFPE">'tabel'!$D$30:$F$42</definedName>
    <definedName name="toeslag">'tabel'!#REF!</definedName>
    <definedName name="toeslag_geb_ond">'tabel'!$A$312:$B$324</definedName>
  </definedNames>
  <calcPr fullCalcOnLoad="1"/>
</workbook>
</file>

<file path=xl/comments12.xml><?xml version="1.0" encoding="utf-8"?>
<comments xmlns="http://schemas.openxmlformats.org/spreadsheetml/2006/main">
  <authors>
    <author>Goedhart, R.</author>
  </authors>
  <commentList>
    <comment ref="D41" authorId="0">
      <text>
        <r>
          <rPr>
            <sz val="8"/>
            <rFont val="Tahoma"/>
            <family val="0"/>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comments15.xml><?xml version="1.0" encoding="utf-8"?>
<comments xmlns="http://schemas.openxmlformats.org/spreadsheetml/2006/main">
  <authors>
    <author>Goedhart, R.</author>
  </authors>
  <commentList>
    <comment ref="D65" authorId="0">
      <text>
        <r>
          <rPr>
            <sz val="8"/>
            <rFont val="Tahoma"/>
            <family val="0"/>
          </rPr>
          <t xml:space="preserve">
is geen verplicht kengetal volgens OCW- richtlijn jaarverslaggeving PO
</t>
        </r>
      </text>
    </comment>
    <comment ref="D68" authorId="0">
      <text>
        <r>
          <rPr>
            <sz val="8"/>
            <rFont val="Tahoma"/>
            <family val="0"/>
          </rPr>
          <t xml:space="preserve">
is geen verplicht kengetal volgens OCW- richtlijn jaarverslaggeving PO
</t>
        </r>
      </text>
    </comment>
  </commentList>
</comments>
</file>

<file path=xl/comments17.xml><?xml version="1.0" encoding="utf-8"?>
<comments xmlns="http://schemas.openxmlformats.org/spreadsheetml/2006/main">
  <authors>
    <author>Keizer</author>
    <author>B? Keizer</author>
  </authors>
  <commentList>
    <comment ref="G11" authorId="0">
      <text>
        <r>
          <rPr>
            <sz val="8"/>
            <rFont val="Tahoma"/>
            <family val="2"/>
          </rPr>
          <t>Besluit bekost. WEC , artikel 33 en 34</t>
        </r>
      </text>
    </comment>
    <comment ref="I28" authorId="0">
      <text>
        <r>
          <rPr>
            <sz val="8"/>
            <rFont val="Tahoma"/>
            <family val="2"/>
          </rPr>
          <t>Besluit bekost. WPO, artikel 34 en art. 17</t>
        </r>
      </text>
    </comment>
    <comment ref="G123" authorId="0">
      <text>
        <r>
          <rPr>
            <sz val="9"/>
            <rFont val="Tahoma"/>
            <family val="2"/>
          </rPr>
          <t xml:space="preserve">
Zie PvE (V)SO 2010.
Website Cfi 16 sept 2009.</t>
        </r>
      </text>
    </comment>
    <comment ref="E46" authorId="0">
      <text>
        <r>
          <rPr>
            <sz val="8"/>
            <rFont val="Tahoma"/>
            <family val="2"/>
          </rPr>
          <t xml:space="preserve">
Regeling bekostiging personeel PO 09-10, (art. 7 en 8, en art. 49).</t>
        </r>
      </text>
    </comment>
    <comment ref="D169" authorId="0">
      <text>
        <r>
          <rPr>
            <sz val="8"/>
            <rFont val="Tahoma"/>
            <family val="2"/>
          </rPr>
          <t xml:space="preserve">
Regeling bekostiging personeel PO 2009-2010 artikel 40.</t>
        </r>
      </text>
    </comment>
    <comment ref="B165" authorId="0">
      <text>
        <r>
          <rPr>
            <sz val="8"/>
            <rFont val="Tahoma"/>
            <family val="2"/>
          </rPr>
          <t xml:space="preserve">
Alleen het aantal leerlingen tellen met een positieve beschikking</t>
        </r>
      </text>
    </comment>
    <comment ref="F227" authorId="0">
      <text>
        <r>
          <rPr>
            <sz val="9"/>
            <rFont val="Tahoma"/>
            <family val="2"/>
          </rPr>
          <t xml:space="preserve">
Het criterium van de 50% moet gelden op basis van de leerlinggegevens van  1 okt. 2001. De feitelijke omvang vindt plaats op basis van de reguliere teldatum 1 oktober 2007. 
Deze specifieke regeling voor ≥ 50% cumi is in afbouw na het schooljaar 07-08. De bedragen voor 09-10 zijn 1/3e van de bedragen voor 07-08.</t>
        </r>
      </text>
    </comment>
    <comment ref="A252" authorId="0">
      <text>
        <r>
          <rPr>
            <sz val="8"/>
            <rFont val="Tahoma"/>
            <family val="2"/>
          </rPr>
          <t>Besluit bekost. WEC, artikel 14</t>
        </r>
      </text>
    </comment>
    <comment ref="B309" authorId="0">
      <text>
        <r>
          <rPr>
            <sz val="8"/>
            <rFont val="Tahoma"/>
            <family val="0"/>
          </rPr>
          <t xml:space="preserve">
LG/MG in combinatie met schuifdeur (DO, LG, ZMLK, MG), 
stoellift (LG, LZ, ZMLK, Cluster 4)
extra (LG, MG)</t>
        </r>
      </text>
    </comment>
    <comment ref="D352" authorId="0">
      <text>
        <r>
          <rPr>
            <sz val="8"/>
            <rFont val="Tahoma"/>
            <family val="2"/>
          </rPr>
          <t xml:space="preserve">
Betreft MI bedrag voor 2010.
</t>
        </r>
        <r>
          <rPr>
            <u val="single"/>
            <sz val="8"/>
            <rFont val="Tahoma"/>
            <family val="2"/>
          </rPr>
          <t>Formatie</t>
        </r>
        <r>
          <rPr>
            <sz val="8"/>
            <rFont val="Tahoma"/>
            <family val="2"/>
          </rPr>
          <t xml:space="preserve"> wordt toegewezen aan REC (Regeling personele bekostiging PO 09-10 art. 40)</t>
        </r>
      </text>
    </comment>
    <comment ref="C162" authorId="0">
      <text>
        <r>
          <rPr>
            <sz val="8"/>
            <rFont val="Tahoma"/>
            <family val="2"/>
          </rPr>
          <t>Conform opgave Regeling personele kosten PO 2009-2010 artikel 23.</t>
        </r>
      </text>
    </comment>
    <comment ref="C145" authorId="0">
      <text>
        <r>
          <rPr>
            <sz val="8"/>
            <rFont val="Tahoma"/>
            <family val="2"/>
          </rPr>
          <t xml:space="preserve">
Reg LGF MBO 09-10, 15 juni 2009. Bedragen voltijds zijn conform april circulaire  2009 voor LGF VO. Verhoging wordt daarom nog verwacht.</t>
        </r>
      </text>
    </comment>
    <comment ref="E145" authorId="0">
      <text>
        <r>
          <rPr>
            <sz val="8"/>
            <rFont val="Tahoma"/>
            <family val="2"/>
          </rPr>
          <t xml:space="preserve">
Reg LGF MBO 09-10, 15 juni 2009.</t>
        </r>
      </text>
    </comment>
    <comment ref="A269" authorId="1">
      <text>
        <r>
          <rPr>
            <sz val="9"/>
            <rFont val="Tahoma"/>
            <family val="2"/>
          </rPr>
          <t xml:space="preserve">
Cfi, 16 sept. 2009.</t>
        </r>
      </text>
    </comment>
    <comment ref="A289" authorId="1">
      <text>
        <r>
          <rPr>
            <sz val="9"/>
            <rFont val="Tahoma"/>
            <family val="2"/>
          </rPr>
          <t xml:space="preserve">
Cfi, 16 sept 2009.</t>
        </r>
      </text>
    </comment>
  </commentList>
</comments>
</file>

<file path=xl/comments2.xml><?xml version="1.0" encoding="utf-8"?>
<comments xmlns="http://schemas.openxmlformats.org/spreadsheetml/2006/main">
  <authors>
    <author>Keizer</author>
    <author>B? Keizer</author>
  </authors>
  <commentList>
    <comment ref="G34" authorId="0">
      <text>
        <r>
          <rPr>
            <sz val="8"/>
            <rFont val="Tahoma"/>
            <family val="2"/>
          </rPr>
          <t>VT staat voor verbreed toelaten. De hoofdvestiging van de school betreft niet verbrede toelating, de hierna volgende onderwijssoorten eventueel wel.</t>
        </r>
      </text>
    </comment>
    <comment ref="G41" authorId="0">
      <text>
        <r>
          <rPr>
            <sz val="8"/>
            <rFont val="Tahoma"/>
            <family val="2"/>
          </rPr>
          <t xml:space="preserve">
Tel het feitelijk aantal leerlingen jonger dan 8 jaar op 31 december T-1 dat leerling is van een residentiele instellingen.</t>
        </r>
      </text>
    </comment>
    <comment ref="G42" authorId="0">
      <text>
        <r>
          <rPr>
            <sz val="8"/>
            <rFont val="Tahoma"/>
            <family val="2"/>
          </rPr>
          <t xml:space="preserve">
Geef het feitelijk aantal cumi-leerlingen op dat leerling is op een residentiele instelling.</t>
        </r>
      </text>
    </comment>
    <comment ref="G47" authorId="0">
      <text>
        <r>
          <rPr>
            <sz val="8"/>
            <rFont val="Tahoma"/>
            <family val="2"/>
          </rPr>
          <t>VT staat voor verbreed toelaten. De hoofdvestiging van de school betreft niet verbrede toelating, de andere onderwijssoorten eventueel wel.</t>
        </r>
      </text>
    </comment>
    <comment ref="G40" authorId="0">
      <text>
        <r>
          <rPr>
            <sz val="9"/>
            <rFont val="Tahoma"/>
            <family val="2"/>
          </rPr>
          <t xml:space="preserve">
Met ingang van 08-09 gaat het om opgave van het aantal leerlingen uit residentiele instellingen die op 1 oktober T-1  aanwezig zijn.  Voor een school met leerlingen uit een residentiele instelling geldt een specifieke groeiregeling: artikel 37 van de Regeling bekostiging 08-09. </t>
        </r>
      </text>
    </comment>
    <comment ref="G92" authorId="0">
      <text>
        <r>
          <rPr>
            <sz val="8"/>
            <rFont val="Tahoma"/>
            <family val="2"/>
          </rPr>
          <t xml:space="preserve">
Tel het feitelijk aantal leerlingen jonger dan 8 jaar op 31 december T-1 dat uit residentiele instellingen komt.</t>
        </r>
      </text>
    </comment>
    <comment ref="G60" authorId="0">
      <text>
        <r>
          <rPr>
            <sz val="8"/>
            <rFont val="Tahoma"/>
            <family val="2"/>
          </rPr>
          <t>VT staat voor verbreed toelaten. De hoofdvestiging van de school betreft niet verbrede toelating, de andere onderwijssoorten eventueel wel.</t>
        </r>
      </text>
    </comment>
    <comment ref="G85" authorId="0">
      <text>
        <r>
          <rPr>
            <sz val="8"/>
            <rFont val="Tahoma"/>
            <family val="2"/>
          </rPr>
          <t>VT staat voor verbreed toelaten. De hoofdvestiging van de school betreft niet verbrede toelating, de andere onderwijssoorten eventueel wel.</t>
        </r>
      </text>
    </comment>
    <comment ref="G98" authorId="0">
      <text>
        <r>
          <rPr>
            <sz val="8"/>
            <rFont val="Tahoma"/>
            <family val="2"/>
          </rPr>
          <t>VT staat voor verbreed toelaten. De hoofdvestiging van de school betreft niet verbrede toelating, de andere onderwijssoorten eventueel wel.</t>
        </r>
      </text>
    </comment>
    <comment ref="G111" authorId="0">
      <text>
        <r>
          <rPr>
            <sz val="8"/>
            <rFont val="Tahoma"/>
            <family val="2"/>
          </rPr>
          <t>VT staat voor verbreed toelaten. De hoofdvestiging van de school betreft niet verbrede toelating, de andere onderwijssoorten eventueel wel.</t>
        </r>
      </text>
    </comment>
    <comment ref="G127" authorId="0">
      <text>
        <r>
          <rPr>
            <sz val="8"/>
            <rFont val="Tahoma"/>
            <family val="2"/>
          </rPr>
          <t>VT staat voor verbreed toelaten. De hoofdvestiging van de school betreft niet verbrede toelating, de andere onderwijssoorten eventueel wel.</t>
        </r>
      </text>
    </comment>
    <comment ref="G53" authorId="0">
      <text>
        <r>
          <rPr>
            <sz val="9"/>
            <rFont val="Tahoma"/>
            <family val="2"/>
          </rPr>
          <t xml:space="preserve">
Met ingang van 08-09 gaat het om opgave van het aantal leerlingen uit residentiele instellingen die op 1 oktober T-1  aanwezig zijn.  Voor een school met leerlingen uit een residentiele instelling geldt een specifieke groeiregeling: artikel 37 van de Regeling bekostiging 08-09. </t>
        </r>
      </text>
    </comment>
    <comment ref="G54" authorId="0">
      <text>
        <r>
          <rPr>
            <sz val="8"/>
            <rFont val="Tahoma"/>
            <family val="2"/>
          </rPr>
          <t xml:space="preserve">
Tel het feitelijk aantal leerlingen jonger dan 8 jaar op 31 december T-1 dat leerling is van een residentiele instellingen.</t>
        </r>
      </text>
    </comment>
    <comment ref="G55" authorId="0">
      <text>
        <r>
          <rPr>
            <sz val="8"/>
            <rFont val="Tahoma"/>
            <family val="2"/>
          </rPr>
          <t xml:space="preserve">
Geef het feitelijk aantal cumi-leerlingen op dat leerling is op een residentiele instelling.</t>
        </r>
      </text>
    </comment>
    <comment ref="G66" authorId="0">
      <text>
        <r>
          <rPr>
            <sz val="9"/>
            <rFont val="Tahoma"/>
            <family val="2"/>
          </rPr>
          <t xml:space="preserve">
Met ingang van 08-09 gaat het om opgave van het aantal leerlingen uit residentiele instellingen die op 1 oktober T-1  aanwezig zijn.  Voor een school met leerlingen uit een residentiele instelling geldt een specifieke groeiregeling: artikel 37 van de Regeling bekostiging 08-09. </t>
        </r>
      </text>
    </comment>
    <comment ref="G67" authorId="0">
      <text>
        <r>
          <rPr>
            <sz val="8"/>
            <rFont val="Tahoma"/>
            <family val="2"/>
          </rPr>
          <t xml:space="preserve">
Tel het feitelijk aantal leerlingen jonger dan 8 jaar op 31 december T-1 dat leerling is van een residentiele instellingen.</t>
        </r>
      </text>
    </comment>
    <comment ref="G68" authorId="0">
      <text>
        <r>
          <rPr>
            <sz val="8"/>
            <rFont val="Tahoma"/>
            <family val="2"/>
          </rPr>
          <t xml:space="preserve">
Geef het feitelijk aantal cumi-leerlingen op dat leerling is op een residentiele instelling.</t>
        </r>
      </text>
    </comment>
    <comment ref="G91" authorId="0">
      <text>
        <r>
          <rPr>
            <sz val="9"/>
            <rFont val="Tahoma"/>
            <family val="2"/>
          </rPr>
          <t xml:space="preserve">
Met ingang van 08-09 gaat het om opgave van het aantal leerlingen uit residentiele instellingen die op 1 oktober T-1  aanwezig zijn.  Voor een school met leerlingen uit een residentiele instelling geldt een specifieke groeiregeling: artikel 37 van de Regeling bekostiging 08-09. </t>
        </r>
      </text>
    </comment>
    <comment ref="G93" authorId="0">
      <text>
        <r>
          <rPr>
            <sz val="8"/>
            <rFont val="Tahoma"/>
            <family val="2"/>
          </rPr>
          <t xml:space="preserve">
Geef het feitelijk aantal cumi-leerlingen op dat leerling is op een residentiele instelling.</t>
        </r>
      </text>
    </comment>
    <comment ref="G104" authorId="0">
      <text>
        <r>
          <rPr>
            <sz val="9"/>
            <rFont val="Tahoma"/>
            <family val="2"/>
          </rPr>
          <t xml:space="preserve">
Met ingang van 08-09 gaat het om opgave van het aantal leerlingen uit residentiele instellingen die op 1 oktober T-1  aanwezig zijn.  Voor een school met leerlingen uit een residentiele instelling geldt een specifieke groeiregeling: artikel 37 van de Regeling bekostiging 08-09. </t>
        </r>
      </text>
    </comment>
    <comment ref="G105" authorId="0">
      <text>
        <r>
          <rPr>
            <sz val="8"/>
            <rFont val="Tahoma"/>
            <family val="2"/>
          </rPr>
          <t xml:space="preserve">
Tel het feitelijk aantal leerlingen jonger dan 8 jaar op 31 december T-1 dat uit residentiele instellingen komt.</t>
        </r>
      </text>
    </comment>
    <comment ref="G106" authorId="0">
      <text>
        <r>
          <rPr>
            <sz val="8"/>
            <rFont val="Tahoma"/>
            <family val="2"/>
          </rPr>
          <t xml:space="preserve">
Geef het feitelijk aantal cumi-leerlingen op dat leerling is op een residentiele instelling.</t>
        </r>
      </text>
    </comment>
    <comment ref="G117" authorId="0">
      <text>
        <r>
          <rPr>
            <sz val="9"/>
            <rFont val="Tahoma"/>
            <family val="2"/>
          </rPr>
          <t xml:space="preserve">
Met ingang van 08-09 gaat het om opgave van het aantal leerlingen uit residentiele instellingen die op 1 oktober T-1  aanwezig zijn.  Voor een school met leerlingen uit een residentiele instelling geldt een specifieke groeiregeling: artikel 37 van de Regeling bekostiging 08-09. </t>
        </r>
      </text>
    </comment>
    <comment ref="G118" authorId="0">
      <text>
        <r>
          <rPr>
            <sz val="8"/>
            <rFont val="Tahoma"/>
            <family val="2"/>
          </rPr>
          <t xml:space="preserve">
Tel het feitelijk aantal leerlingen jonger dan 8 jaar op 31 december T-1 dat uit residentiele instellingen komt.</t>
        </r>
      </text>
    </comment>
    <comment ref="G119" authorId="0">
      <text>
        <r>
          <rPr>
            <sz val="8"/>
            <rFont val="Tahoma"/>
            <family val="2"/>
          </rPr>
          <t xml:space="preserve">
Geef het feitelijk aantal cumi-leerlingen op dat leerling is op een residentiele instelling.</t>
        </r>
      </text>
    </comment>
    <comment ref="D35" authorId="1">
      <text>
        <r>
          <rPr>
            <sz val="9"/>
            <rFont val="Tahoma"/>
            <family val="2"/>
          </rPr>
          <t xml:space="preserve">
Voor VSO beginnen bij nr. 4, cel D84.</t>
        </r>
      </text>
    </comment>
  </commentList>
</comments>
</file>

<file path=xl/comments3.xml><?xml version="1.0" encoding="utf-8"?>
<comments xmlns="http://schemas.openxmlformats.org/spreadsheetml/2006/main">
  <authors>
    <author>B? Keizer</author>
  </authors>
  <commentList>
    <comment ref="F9" authorId="0">
      <text>
        <r>
          <rPr>
            <sz val="9"/>
            <rFont val="Tahoma"/>
            <family val="2"/>
          </rPr>
          <t>Opgave van 08-09 noodzakelijk in verband met berekening budget PAB voor ambulante begeleiding.</t>
        </r>
      </text>
    </comment>
    <comment ref="F31" authorId="0">
      <text>
        <r>
          <rPr>
            <sz val="9"/>
            <rFont val="Tahoma"/>
            <family val="2"/>
          </rPr>
          <t>Opgave van 06-07 noodzakelijk in verband met berekening budget PAB voor ambulante begeleiding.
Opgave hier dient incl. web te zijn.</t>
        </r>
      </text>
    </comment>
    <comment ref="F64" authorId="0">
      <text>
        <r>
          <rPr>
            <sz val="9"/>
            <rFont val="Tahoma"/>
            <family val="2"/>
          </rPr>
          <t>Opgave van 08-09 noodzakelijk in verband met berekening budget PAB voor ambulante begeleiding.</t>
        </r>
      </text>
    </comment>
    <comment ref="F86" authorId="0">
      <text>
        <r>
          <rPr>
            <sz val="9"/>
            <rFont val="Tahoma"/>
            <family val="2"/>
          </rPr>
          <t>Opgave van 08-09 noodzakelijk in verband met berekening budget PAB voor ambulante begeleiding.</t>
        </r>
      </text>
    </comment>
  </commentList>
</comments>
</file>

<file path=xl/comments4.xml><?xml version="1.0" encoding="utf-8"?>
<comments xmlns="http://schemas.openxmlformats.org/spreadsheetml/2006/main">
  <authors>
    <author>Keizer</author>
    <author>Goedhart, R.</author>
    <author>B? Keizer</author>
  </authors>
  <commentList>
    <comment ref="G104" authorId="0">
      <text>
        <r>
          <rPr>
            <sz val="8"/>
            <rFont val="Tahoma"/>
            <family val="2"/>
          </rPr>
          <t>Het betreft hier de scholen en afdelingen voor meervoudig gehandicapten anders dan die op basis van artikel 2, lid 5 Wec zijn vastgesteld: (MGA (DO-ZMLK), MGB (SH-ZMLK), MGF (LG-ZMLK) en DO-BLN).</t>
        </r>
      </text>
    </comment>
    <comment ref="F92" authorId="0">
      <text>
        <r>
          <rPr>
            <sz val="8"/>
            <rFont val="Tahoma"/>
            <family val="2"/>
          </rPr>
          <t xml:space="preserve">
Het betreft hier een nevenvestiging die fungeert als een justitiele inrichting of een instelling voor gesloten jeugdzorg waarbinnen onderwijs wordt gegeven.  Artikel 38 lid 1 en 2 Regeling bekostiging personeel PO 09-10.</t>
        </r>
      </text>
    </comment>
    <comment ref="G106" authorId="0">
      <text>
        <r>
          <rPr>
            <sz val="8"/>
            <rFont val="Tahoma"/>
            <family val="2"/>
          </rPr>
          <t xml:space="preserve">
Regeling bekostiging personeel PO 2009-2010 artikel 40 aan REC.
Aantal fre's 05-06 opgeven in Tabellen C190.
 </t>
        </r>
      </text>
    </comment>
    <comment ref="G105" authorId="0">
      <text>
        <r>
          <rPr>
            <sz val="8"/>
            <rFont val="Tahoma"/>
            <family val="2"/>
          </rPr>
          <t>Het betreft hier de scholen van cluster 2 die tot de invoering van LGF leerlingen zowel in het VSO als in het VO mochten inschrijven. Deze regeling compenseert het negatieve effect nu die leerlingen niet langer bij twee scholen mogen worden ingeschreven.</t>
        </r>
      </text>
    </comment>
    <comment ref="G86" authorId="0">
      <text>
        <r>
          <rPr>
            <b/>
            <sz val="8"/>
            <rFont val="Tahoma"/>
            <family val="0"/>
          </rPr>
          <t xml:space="preserve">
percentage opgeven als vermeld op beschikking voor 06-07.</t>
        </r>
      </text>
    </comment>
    <comment ref="G122" authorId="1">
      <text>
        <r>
          <rPr>
            <sz val="10"/>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rFont val="Tahoma"/>
            <family val="0"/>
          </rPr>
          <t xml:space="preserve">
</t>
        </r>
      </text>
    </comment>
    <comment ref="G92" authorId="2">
      <text>
        <r>
          <rPr>
            <sz val="9"/>
            <rFont val="Tahoma"/>
            <family val="2"/>
          </rPr>
          <t xml:space="preserve">
Aantal leerlingen is gelijk aan de door Ministerie van Justitie toegekende capaciteit.</t>
        </r>
      </text>
    </comment>
    <comment ref="G69" authorId="0">
      <text>
        <r>
          <rPr>
            <sz val="8"/>
            <rFont val="Tahoma"/>
            <family val="2"/>
          </rPr>
          <t xml:space="preserve">
Dit betreft de inkomsten rugzak van de leerlingen afkomstig van MBO, voltijds resp. deeltijds, die door Cfi vanaf 1 augustus 2008 rechtstreeks aan de school betaald wordt. 
</t>
        </r>
      </text>
    </comment>
    <comment ref="F93" authorId="0">
      <text>
        <r>
          <rPr>
            <sz val="8"/>
            <rFont val="Tahoma"/>
            <family val="2"/>
          </rPr>
          <t xml:space="preserve">
Het betreft hier een nevenvestiging die fungeert als een justitiele inrichting of een instelling voor gesloten jeugdzorg waarbinnen onderwijs wordt gegeven.  Artikel 38 lid 1 en 2 Regeling bekostiging personeel PO 09-10.</t>
        </r>
      </text>
    </comment>
    <comment ref="G93" authorId="2">
      <text>
        <r>
          <rPr>
            <sz val="9"/>
            <rFont val="Tahoma"/>
            <family val="2"/>
          </rPr>
          <t xml:space="preserve">
Aantal leerlingen is gelijk aan de door Ministerie van Justitie toegekende capaciteit.</t>
        </r>
      </text>
    </comment>
    <comment ref="H113" authorId="2">
      <text>
        <r>
          <rPr>
            <sz val="9"/>
            <rFont val="Tahoma"/>
            <family val="2"/>
          </rPr>
          <t xml:space="preserve">
nieuwe regeling vanaf 1 augustus 2008 (art. 37 van de Regeling personele bekostiging 09-10).</t>
        </r>
      </text>
    </comment>
    <comment ref="H114" authorId="2">
      <text>
        <r>
          <rPr>
            <sz val="9"/>
            <rFont val="Tahoma"/>
            <family val="2"/>
          </rPr>
          <t xml:space="preserve">
nieuwe regeling vanaf 1 augustus 2008 (art. 38 lid 3 en 4 van de Regeling personele bekostiging 09-10).</t>
        </r>
      </text>
    </comment>
  </commentList>
</comments>
</file>

<file path=xl/comments5.xml><?xml version="1.0" encoding="utf-8"?>
<comments xmlns="http://schemas.openxmlformats.org/spreadsheetml/2006/main">
  <authors>
    <author>Keizer</author>
  </authors>
  <commentList>
    <comment ref="N7" authorId="0">
      <text>
        <r>
          <rPr>
            <b/>
            <sz val="8"/>
            <rFont val="Tahoma"/>
            <family val="0"/>
          </rPr>
          <t>Alleen een negatieve wtf invoeren voor BAPO</t>
        </r>
      </text>
    </comment>
  </commentList>
</comments>
</file>

<file path=xl/comments6.xml><?xml version="1.0" encoding="utf-8"?>
<comments xmlns="http://schemas.openxmlformats.org/spreadsheetml/2006/main">
  <authors>
    <author>Keizer</author>
  </authors>
  <commentList>
    <comment ref="N7" authorId="0">
      <text>
        <r>
          <rPr>
            <b/>
            <sz val="8"/>
            <rFont val="Tahoma"/>
            <family val="0"/>
          </rPr>
          <t>Alleen een negatieve wtf invoeren voor BAPO</t>
        </r>
      </text>
    </comment>
  </commentList>
</comments>
</file>

<file path=xl/comments7.xml><?xml version="1.0" encoding="utf-8"?>
<comments xmlns="http://schemas.openxmlformats.org/spreadsheetml/2006/main">
  <authors>
    <author>B? Keizer</author>
  </authors>
  <commentList>
    <comment ref="P72" authorId="0">
      <text>
        <r>
          <rPr>
            <sz val="9"/>
            <rFont val="Tahoma"/>
            <family val="2"/>
          </rPr>
          <t xml:space="preserve">
Hieronder zijn de gegevens opgehaald vanuit het werkblad form t+1. Wijzigingen kunnen dus alleen via het blad form t+1 worden aangebracht.</t>
        </r>
      </text>
    </comment>
    <comment ref="H19" authorId="0">
      <text>
        <r>
          <rPr>
            <sz val="9"/>
            <rFont val="Tahoma"/>
            <family val="2"/>
          </rPr>
          <t xml:space="preserve">
Hieronder zijn de gegevens opgehaald vanuit het werkblad form t. Wijzigingen kunnen dus alleen via het blad form t worden aangebracht.</t>
        </r>
      </text>
    </comment>
  </commentList>
</comments>
</file>

<file path=xl/comments8.xml><?xml version="1.0" encoding="utf-8"?>
<comments xmlns="http://schemas.openxmlformats.org/spreadsheetml/2006/main">
  <authors>
    <author>B? Keizer</author>
    <author>Goedhart, R.</author>
  </authors>
  <commentList>
    <comment ref="F19" authorId="0">
      <text>
        <r>
          <rPr>
            <sz val="9"/>
            <rFont val="Tahoma"/>
            <family val="2"/>
          </rPr>
          <t xml:space="preserve">
In de beschikking van het budget PAB voor 09-10 is het bedrag opgenomen voor het aantal ambulant begeleide rugzakleerlingen in het (s)bao, vo resp. het mbo.  Dat aantal leerlingen dient opgegeven te worden in het werkblad rugzakken in regel 9,31, 64 en 86.
De verdere opgave van de aantallen rugzakken geeft per oktober de data voor de jaren daarna.</t>
        </r>
      </text>
    </comment>
    <comment ref="F33" authorId="1">
      <text>
        <r>
          <rPr>
            <sz val="10"/>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rFont val="Tahoma"/>
            <family val="0"/>
          </rPr>
          <t xml:space="preserve">
</t>
        </r>
      </text>
    </comment>
  </commentList>
</comments>
</file>

<file path=xl/comments9.xml><?xml version="1.0" encoding="utf-8"?>
<comments xmlns="http://schemas.openxmlformats.org/spreadsheetml/2006/main">
  <authors>
    <author>Keizer</author>
    <author>Goedhart, R.</author>
    <author>B? Keizer</author>
  </authors>
  <commentList>
    <comment ref="H62" authorId="0">
      <text>
        <r>
          <rPr>
            <sz val="8"/>
            <rFont val="Tahoma"/>
            <family val="2"/>
          </rPr>
          <t xml:space="preserve">
Bedrag per fte voor 2010 dat wordt toegekend aan het REC.</t>
        </r>
      </text>
    </comment>
    <comment ref="F70" authorId="0">
      <text>
        <r>
          <rPr>
            <sz val="8"/>
            <rFont val="Tahoma"/>
            <family val="2"/>
          </rPr>
          <t>Het betreft hier de scholen en afdelingen voor meervoudig gehandicapten anders dan die op basis van artikel 2, lid 5 Wec zijn vastgesteld. [Vastgesteld zijn: MGA (DO-ZMLK), MGB (SH-ZMLK), MGF (LG-ZMLK) en DO-BLN.]</t>
        </r>
      </text>
    </comment>
    <comment ref="F71" authorId="0">
      <text>
        <r>
          <rPr>
            <sz val="8"/>
            <rFont val="Tahoma"/>
            <family val="2"/>
          </rPr>
          <t>Het betreft hier de scholen van cluster 2 die tot de invoering van LGF leerlingen zowel in het VSO als in het VO mochten inschrijven. Deze regeling compenseert het negatieve effect nu die leerlingen niet langer bij twee scholen mogen worden ingeschreven.</t>
        </r>
      </text>
    </comment>
    <comment ref="D69" authorId="0">
      <text>
        <r>
          <rPr>
            <sz val="9"/>
            <rFont val="Tahoma"/>
            <family val="2"/>
          </rPr>
          <t>Desgewenst kan de verkregen expertisebekostiging gesplitst worden in pers en MI. 
Zo niet dan ligt het voor de hand alleen opgave te doen bij pers.</t>
        </r>
      </text>
    </comment>
    <comment ref="G102" authorId="1">
      <text>
        <r>
          <rPr>
            <sz val="10"/>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rFont val="Tahoma"/>
            <family val="0"/>
          </rPr>
          <t xml:space="preserve">
</t>
        </r>
      </text>
    </comment>
    <comment ref="F186" authorId="1">
      <text>
        <r>
          <rPr>
            <sz val="8"/>
            <rFont val="Tahoma"/>
            <family val="0"/>
          </rPr>
          <t xml:space="preserve">wordt ontleend aan het werkblad mop
</t>
        </r>
      </text>
    </comment>
    <comment ref="N272" authorId="2">
      <text>
        <r>
          <rPr>
            <sz val="9"/>
            <rFont val="Tahoma"/>
            <family val="2"/>
          </rPr>
          <t xml:space="preserve">
Omdat de gegevens van het laatste kalenderjaar  ontbreken zijn de bedragen van dit schooljaar gelijk gesteld aan het laatst beschikbare kalenderjaar.</t>
        </r>
      </text>
    </comment>
  </commentList>
</comments>
</file>

<file path=xl/sharedStrings.xml><?xml version="1.0" encoding="utf-8"?>
<sst xmlns="http://schemas.openxmlformats.org/spreadsheetml/2006/main" count="2277" uniqueCount="752">
  <si>
    <t>Let wel: Het gaat bij de bestuurs-GPL om de GPL van het bestuur zoals die wordt berekend op basis van de GGL van het OP van het gehele bestuur van alle scholen, en niet om de GPL zoals die blijkt uit de feitelijke realisatie!</t>
  </si>
  <si>
    <t>Subtotaal SO</t>
  </si>
  <si>
    <t>Subtotaal VSO</t>
  </si>
  <si>
    <t>LGF leerlingen Voltijds MBO</t>
  </si>
  <si>
    <t>LGF leerlingen Deeltijds MBO</t>
  </si>
  <si>
    <t>Budget Personeels- en ArbeidsmarktBeleid</t>
  </si>
  <si>
    <t>De raming van de kosten van het functiebouwwerk wordt ontleend aan het werkblad Functiebouwwerk.</t>
  </si>
  <si>
    <t>Bij de baten van OCW kan meteen worden aangegeven welk percentage bovenschools wordt afgedragen zodat het budget meteen duidelijk wordt waarover de school zelf beschikt. De indeling van de lasten volgt de indeling zoals die voor het jaarverslag op dit punt is voorgeschreven.</t>
  </si>
  <si>
    <t>Vervolgens kan opgave gedaan worden van toekenningen op grond van specifieke regelingen, overige overheidsbijdragen voor personeel en overige Baten personeel.</t>
  </si>
  <si>
    <t>Lasten</t>
  </si>
  <si>
    <t>Daarnaast kunnen inkomsten worden opgevoerd als overige overheidsbijdragen voor materiele uitgaven en overige baten voor materiele uitgaven.</t>
  </si>
  <si>
    <t>Op grond van het beschikbare budget kan vervolgens het functiebouwwerk worden bepaald.</t>
  </si>
  <si>
    <t xml:space="preserve">Vervolgens kan het gewenste functiebouwwerk worden opgegeven. </t>
  </si>
  <si>
    <t>Dat is de neerslag van de strategische beleidsvisie van de school!</t>
  </si>
  <si>
    <t>De wijziging die optreedt in het functiebouwwerk wordt afzonderlijk aangegeven en geeft het handvat voor het te voeren beleid.</t>
  </si>
  <si>
    <t>Op grond van deze uitgewerkte beleidsvisie is het dan vervolgens mogelijk de realisatie van het functiebouwwerk in de komende schooljaren op te geven. Dan kan men dus toewerken naar het gewenste functiebouwwerk!</t>
  </si>
  <si>
    <t>Voltijds</t>
  </si>
  <si>
    <t>Deeltijds</t>
  </si>
  <si>
    <t>VOLTIJDS</t>
  </si>
  <si>
    <t>DEELTIJDS</t>
  </si>
  <si>
    <t>TE BEKOSTIGEN DOOR Cfi voor WEB (MBO)</t>
  </si>
  <si>
    <t>Uiteraard moet daarbij rekening gehouden worden met de reële mogelijkheden en onmogelijkheden deze wijzigingen door te voeren, bijvoorbeeld als gevolg van natuurlijk verloop dan wel het uitblijven daarvan.</t>
  </si>
  <si>
    <t xml:space="preserve">Voor de invulling van het te realiseren functiebouwwerk op wat langere termijn is het verstandig de toevoeging en vermindering van de formatie te beperken tot die componenten die een structureel karakter hebben. </t>
  </si>
  <si>
    <t>Ook worden de verhoudingstabellen weergegeven tussen de kosten van de functies, genormeerd op basis van de maxima per functie zoals opgenomen in de salaristabellen, waarbij de functie LB op 1,00 is gesteld voor de school voor (voortgezet) speciaal onderwijs.</t>
  </si>
  <si>
    <t>Werkblad Toelichting</t>
  </si>
  <si>
    <t>Nadere informatie</t>
  </si>
  <si>
    <t xml:space="preserve">Hebt u vragen of opmerkingen, adviezen enzovoorts over dit instrument, dan zijn we daar nieuwsgierig naar: </t>
  </si>
  <si>
    <t>Verbrede toelating</t>
  </si>
  <si>
    <t>Tabel Bedrag BVE en scholen VSO t.b.v. ambulante begeleiding</t>
  </si>
  <si>
    <t xml:space="preserve">Aanvullende formatie PI (Reg pers bek. 06-07 art. 38 lid 2) </t>
  </si>
  <si>
    <t>Garantie vm. Afd. zmlk (Reg bek pers 06-07 Art. 38, lid 3)</t>
  </si>
  <si>
    <t>VAN HUIDIG NAAR GEWENST FUNCTIEBOUWWERK (SIMULATIE)</t>
  </si>
  <si>
    <t>2008. In de kolommen onder Gewenst functiebouwwerk dient het gewenste onderwijskundig beleid vertaald te worden naar het gewenste formatieve plaatje: de onderwijs-</t>
  </si>
  <si>
    <t>Subtotaal</t>
  </si>
  <si>
    <t>vastgesteld bedrag in 2004</t>
  </si>
  <si>
    <t>Overgangsregeling t.b.v. LZs resp. PI</t>
  </si>
  <si>
    <t>2. Bepaal de dotatielasten gelijkmatig over de jaren heen (egalisatie van kosten) op zo'n manier dat deze voorziening nooit negatief zal uitvallen.</t>
  </si>
  <si>
    <r>
      <t xml:space="preserve">(alle investeringen </t>
    </r>
    <r>
      <rPr>
        <i/>
        <u val="single"/>
        <sz val="10"/>
        <rFont val="Arial"/>
        <family val="2"/>
      </rPr>
      <t>vanaf 1 januari 2006</t>
    </r>
    <r>
      <rPr>
        <i/>
        <sz val="10"/>
        <rFont val="Arial"/>
        <family val="2"/>
      </rPr>
      <t xml:space="preserve"> en alle toekomstige investeringen)</t>
    </r>
  </si>
  <si>
    <t>effecten &lt;1 jaar</t>
  </si>
  <si>
    <t>Onderhoud CV installatie</t>
  </si>
  <si>
    <t>Zandbakkosten</t>
  </si>
  <si>
    <t>Tuinonderhoud</t>
  </si>
  <si>
    <t>Energiekosten</t>
  </si>
  <si>
    <t>Gas</t>
  </si>
  <si>
    <t>Water</t>
  </si>
  <si>
    <t>Electriciteit</t>
  </si>
  <si>
    <t>Schoonmaakbedrijf</t>
  </si>
  <si>
    <t>Overige kosten schoonmaak</t>
  </si>
  <si>
    <t>Betaalde huren</t>
  </si>
  <si>
    <t>Bijdrage onderwijsbureau (AK)</t>
  </si>
  <si>
    <t>Accountantskosten</t>
  </si>
  <si>
    <t>Telefoon-, internet- en faxkosten</t>
  </si>
  <si>
    <t>Drukwerk</t>
  </si>
  <si>
    <t>Portikosten</t>
  </si>
  <si>
    <t>Kantoorbenodigdheden</t>
  </si>
  <si>
    <t>Overige administratielasten</t>
  </si>
  <si>
    <t>Contributies en bijdrage bestuursorganisatie</t>
  </si>
  <si>
    <t>Kosten beheer en bestuur</t>
  </si>
  <si>
    <t>Deskundigenadvies</t>
  </si>
  <si>
    <t>Onkostenvergoedingen bestuur</t>
  </si>
  <si>
    <t>Representatiekosten</t>
  </si>
  <si>
    <t>Vergaderkosten</t>
  </si>
  <si>
    <t>Medezeggenschap / ouderraad</t>
  </si>
  <si>
    <t xml:space="preserve">PR &amp; marketing </t>
  </si>
  <si>
    <t>Verzekeringen</t>
  </si>
  <si>
    <t>Overige beheerskosten</t>
  </si>
  <si>
    <t>Aanschaf leer en hulpmiddelen</t>
  </si>
  <si>
    <t>Kleine inventaris en onderhoud inventaris</t>
  </si>
  <si>
    <t>Aanschaf en onderhoud van ICT hardware</t>
  </si>
  <si>
    <t>Aanschaf en onderhoud van ICT software</t>
  </si>
  <si>
    <t>Overige ICT-kosten</t>
  </si>
  <si>
    <t>Mediatheek / bibliotheek</t>
  </si>
  <si>
    <t>Reproductiekosten</t>
  </si>
  <si>
    <t>Kabeltelevisie en overige rechten</t>
  </si>
  <si>
    <t>Abonn./ tijdschr./ vakliteratuur</t>
  </si>
  <si>
    <t>Kosten vervoersmiddelen</t>
  </si>
  <si>
    <t>Overige materiaalkosten</t>
  </si>
  <si>
    <t>Culturele (kunstzinnige) vorming</t>
  </si>
  <si>
    <t>Sportdag/ vieringen</t>
  </si>
  <si>
    <t>Reisjes/ excursies</t>
  </si>
  <si>
    <t>Testen en toetsen</t>
  </si>
  <si>
    <t>Schoolzwemmen (incl. vervoer)</t>
  </si>
  <si>
    <t>Materiaal kantine en automaten</t>
  </si>
  <si>
    <t>Religieuze en humanistische vorming</t>
  </si>
  <si>
    <t>Bijdragen aan derden</t>
  </si>
  <si>
    <t>Studiedagen en conferenties</t>
  </si>
  <si>
    <t>Overige onderwijskosten</t>
  </si>
  <si>
    <t>Werkblad Basisgegevens (geg)</t>
  </si>
  <si>
    <t>Bij de berekening in geld wordt uitgegaan van de GPL waarvoor gekozen is: de landelijke GPL of de bestuurs-GPL.</t>
  </si>
  <si>
    <t>Er zijn 99 regels beschikbaar voor opgave van de gegevens van het personeel die nodig zijn voor de berekening van de loonlasten.</t>
  </si>
  <si>
    <t xml:space="preserve">Systematisch wordt bijgehouden hoe groot het beschikbare budget is in geld resp. FPE (uitgedrukt in de functie LB) en wat de kosten zijn van het functiebouwwerk dat ingevuld wordt. </t>
  </si>
  <si>
    <t>Indien op schoolniveau het groot onderhoud aan de orde is wordt in dit werkblad verwerkt hetgeen gedoteerd en onttrokken wordt aan de voorziening. Meestal zal dit bovenschools gebeuren.</t>
  </si>
  <si>
    <t>Werkblad Staat van Baten en Lasten (begr)</t>
  </si>
  <si>
    <t>Die spreekt hopelijk voor zich.</t>
  </si>
  <si>
    <t>Vervolgens het soort onderwijs wat de kern van de school vormt. Op basis van deze gegevens wordt zichtbaar gemaakt welke N relevant is als uitgangspunt voor de bepaling van de normen voor de groeiregelingen. Dat is een half N voor de ene resp. een hele N voor de andere groeiregeling.</t>
  </si>
  <si>
    <t>Er wordt geen rekening gehouden met prijsstijgingen. Dan immers blijft ook de reële aanname van kracht dat de prijsstijging van de inkomsten ongeveer gelijk zal zijn aan de prijsstijging van de uitgaven.</t>
  </si>
  <si>
    <t>Aantal groepen</t>
  </si>
  <si>
    <t>Afdeling Meervoudig gehandicapt</t>
  </si>
  <si>
    <t>Totaal aantal groepen</t>
  </si>
  <si>
    <t>Totaal groeps- en leerlingafhankelijke vergoeding</t>
  </si>
  <si>
    <t>Aanvullende formatie lln met autisme</t>
  </si>
  <si>
    <t xml:space="preserve">   </t>
  </si>
  <si>
    <t>FORMATIEOVERZICHT</t>
  </si>
  <si>
    <t>naam</t>
  </si>
  <si>
    <t>aanstelling</t>
  </si>
  <si>
    <t>begindatum</t>
  </si>
  <si>
    <t>einddatum</t>
  </si>
  <si>
    <t>dagen in jaar</t>
  </si>
  <si>
    <t>functie</t>
  </si>
  <si>
    <t>verbruik</t>
  </si>
  <si>
    <t>bapo</t>
  </si>
  <si>
    <t>indien afwijkend</t>
  </si>
  <si>
    <t>(op jaarbasis)</t>
  </si>
  <si>
    <t>in fpe</t>
  </si>
  <si>
    <t>in €</t>
  </si>
  <si>
    <t>E. Expertisebekostiging voor scholen voor meervoudig gehandicapten resp. cluster 2</t>
  </si>
  <si>
    <t>Artikel VIIA Regeling LGF (KST 30.956)</t>
  </si>
  <si>
    <t>Overgangspercentage 06-07 is voor aangegeven schooljaar</t>
  </si>
  <si>
    <t>Expertisebekostiging scholen voor meervoudig gehandicapten (Reg. Bek. 06-07 Art. 38, lid1)</t>
  </si>
  <si>
    <t>Met de ruimte voor zes afzonderlijke componenten (3 SO en 3 VSO) moet het mogelijk zijn om elke school voor (V)SO hiermee van dienst te zijn. Daarbij blijven de vier scholen voor visueel gehandicapten buiten beschouwing. Die hebben een specifieke eigen bekostigingsregeling die zeer eenvoudig is.</t>
  </si>
  <si>
    <t>U kunt voor de omrekening in geld kiezen voor het gebruik van de landelijke GPL, maar desgewenst ook voor de eigen bestuurs-GPL. Dat laatste is alleen zinvol als uw bestuurs-GPL echt afwijkt van de landelijke GPL.</t>
  </si>
  <si>
    <t>Keuze voor gebruik GPL</t>
  </si>
  <si>
    <t>Naam school</t>
  </si>
  <si>
    <t>brinnummer</t>
  </si>
  <si>
    <t>in FPE</t>
  </si>
  <si>
    <t>Procedure:</t>
  </si>
  <si>
    <t xml:space="preserve">In de kolommen onder Huidig functiebouwwerk zijn de gegevens gehaald uit het werkblad 'formatie'. Die geeft dan in principe de stand van zaken weer per 1 augustus </t>
  </si>
  <si>
    <t xml:space="preserve">kundige visie wordt vertaald in het gewenste functiebouwwerk! Bij de simulatie van het huidige naar het gewenste functiebouwwerk is het budget gelijk gehouden, </t>
  </si>
  <si>
    <t xml:space="preserve">Bij de realisatie van het functiebouwwerk in de kolommen vanaf rij 72 dient de meerjarenraming opgenomen te worden van het functiebouwwerk waarbij rekening wordt </t>
  </si>
  <si>
    <t>gehouden met het gewenste bouwwerk èn met de budgettaire mogelijkheden.</t>
  </si>
  <si>
    <t>REALISATIE FUNCTIEBOUWWERK</t>
  </si>
  <si>
    <t>budget</t>
  </si>
  <si>
    <t>uitputting</t>
  </si>
  <si>
    <t>saldo</t>
  </si>
  <si>
    <t>PERSONEELSBELEID</t>
  </si>
  <si>
    <t>overige overheidsbijdragen</t>
  </si>
  <si>
    <t>contractkosten inhuur (onderhoud)</t>
  </si>
  <si>
    <t>huur</t>
  </si>
  <si>
    <t>contractkosten inhuur (administratiekantoor)</t>
  </si>
  <si>
    <t>VOORZIENING GROOT ONDERHOUD</t>
  </si>
  <si>
    <t>Procedure</t>
  </si>
  <si>
    <t>Op deze wijze kan ook de kosten van de functiemix worden geraamd.</t>
  </si>
  <si>
    <r>
      <t>Handleiding Meerjarenbegroting FPE (V)SO 2010</t>
    </r>
    <r>
      <rPr>
        <b/>
        <sz val="11"/>
        <rFont val="Arial"/>
        <family val="2"/>
      </rPr>
      <t xml:space="preserve">                                                                             vs  </t>
    </r>
    <r>
      <rPr>
        <b/>
        <sz val="14"/>
        <color indexed="10"/>
        <rFont val="Arial"/>
        <family val="2"/>
      </rPr>
      <t>29-sept-09</t>
    </r>
  </si>
  <si>
    <t>1. Voer per jaar de besteding in bij "Onttrekking" die op grond van een recent meerjarenonderhoudsplan (MOP) worden voorgesteld.</t>
  </si>
  <si>
    <t>werkelijke stand  per 01-01</t>
  </si>
  <si>
    <t>Stand voorziening onderhoud per 01-01</t>
  </si>
  <si>
    <t>Dotatie vanuit exploitatie (materieel)</t>
  </si>
  <si>
    <t>onttrekking/ aanschaf</t>
  </si>
  <si>
    <t>Onttrekking</t>
  </si>
  <si>
    <t>stand voorziening  per 31/12</t>
  </si>
  <si>
    <t>MEERJARENINVESTERINGSPLAN (MIP)</t>
  </si>
  <si>
    <t>activagroep</t>
  </si>
  <si>
    <t>omschrijving</t>
  </si>
  <si>
    <t>jaar van</t>
  </si>
  <si>
    <t>aanschafprijs</t>
  </si>
  <si>
    <t>afschrijvings-</t>
  </si>
  <si>
    <t>beslisregel</t>
  </si>
  <si>
    <t>afschrijving</t>
  </si>
  <si>
    <t xml:space="preserve">laatste </t>
  </si>
  <si>
    <t>Beveiliging gebouw</t>
  </si>
  <si>
    <t>Publiekrechtelijke heffingen</t>
  </si>
  <si>
    <t>Overige huisvestingskosten</t>
  </si>
  <si>
    <t>Justitiele jeugdinrichtingen en instellingen voor gesloten jeugdzorg verbonden aan scholen voor cluster 4 (artikel 38 Regeling bekostiging PO 08-09)</t>
  </si>
  <si>
    <t>De eerste drie componenten zijn gereserveerd voor SO: de kernafdeling, vervolgens bijv. een eventuele MG-afdeling en vervolgens de eventuele verbrede toelating. Daarna is er ruimte voor drie VSO-componenten. Wanneer een school alleen VSO componenten heeft vindt invulling vanaf de vierde component plaats (cel D86).</t>
  </si>
  <si>
    <t>Alleen voor justitiele inrichtingen en instellingen voor gesloten jeugdzorg verbonden aan een cluster 4 school kent nog de toekenning van een bepaalde capaciteit. Die capaciteit is tevens de opgave van het aantal leerlingen. Instellingen met residentiele leerlingen kennen een specifieke groeiregeling.</t>
  </si>
  <si>
    <t>Zie de toelichting in het document 'Meerjarenbegroting FPE-model.pdf' voor de afweging hierbij.</t>
  </si>
  <si>
    <t>Tevens wordt aan het budget formatie toegevoegd in FPE dan wel in geld hetgeen daaraan nog wordt bijgedragen en wordt in mindering gebracht hetgeen onttrokken wordt i.v.m. de dekking van de bestuursbegroting. De situatie in het (V)SO kent diverse specifieke bekostigingsregels waardoor het noodzakelijk is daaraan in dat werkblad apart aandacht te besteden. De groeiregeling per 1 januari o.b.v. artikel 38 van het Besluit Bekostiging WEC wordt automatisch verwerkt. Echter voor scholen met residentiele leerlingen geldt een specifieke groeiregeling.</t>
  </si>
  <si>
    <t>Door de splitsing van de GPL in het loonkostendeel en in het BAPOdeel is het eenvoudig mogelijk de BAPO-bijdrage van 2% over te dragen aan het bestuursniveau zodat daar de BAPO-kosten kunnen worden verrekend. Bovendien kan zo bij de berekening van de personele lasten alleen het loonkostendeel mee genomen worden en niet het BAPOdeel.</t>
  </si>
  <si>
    <t>waarde per 01/01</t>
  </si>
  <si>
    <t>aanschaf</t>
  </si>
  <si>
    <t>van budget voor personeelsbeleid</t>
  </si>
  <si>
    <t>van materiële instandhouding</t>
  </si>
  <si>
    <t>naar budget voor personeelsbeleid</t>
  </si>
  <si>
    <t>naar materiële instandhouding</t>
  </si>
  <si>
    <t>Na overdracht tussen budgetten</t>
  </si>
  <si>
    <t>van budget personeel</t>
  </si>
  <si>
    <t>naar budget personeel</t>
  </si>
  <si>
    <t>College-, cursus-, les- en examengelden</t>
  </si>
  <si>
    <t>Baten</t>
  </si>
  <si>
    <t>Saldo baten en lasten</t>
  </si>
  <si>
    <t>Financiële baten en lasten</t>
  </si>
  <si>
    <t>Saldo financiële baten en lasten</t>
  </si>
  <si>
    <t xml:space="preserve">Salarislasten </t>
  </si>
  <si>
    <t>Materiële vaste activa</t>
  </si>
  <si>
    <t xml:space="preserve">Liquide middelen </t>
  </si>
  <si>
    <t>vorderingen</t>
  </si>
  <si>
    <t>Activa totaal</t>
  </si>
  <si>
    <t>Passiva</t>
  </si>
  <si>
    <t>Algemene reserve</t>
  </si>
  <si>
    <t>Bestemmingsreserve 1</t>
  </si>
  <si>
    <t>Bestemmingsreserve 2</t>
  </si>
  <si>
    <t>Bestemmingsreserve 3</t>
  </si>
  <si>
    <t>Voorziening Groot Onderhoud</t>
  </si>
  <si>
    <t>Passiva totaal</t>
  </si>
  <si>
    <t>college-, cursus-, les- en examengelden</t>
  </si>
  <si>
    <t>baten werk in opdracht van derden</t>
  </si>
  <si>
    <t>overige lasten</t>
  </si>
  <si>
    <t>vaste acitva</t>
  </si>
  <si>
    <t>vlottende activa</t>
  </si>
  <si>
    <t>eigen vermogen</t>
  </si>
  <si>
    <t>voorzieningen</t>
  </si>
  <si>
    <t>langlopende schulden</t>
  </si>
  <si>
    <t>kortlopende schulden</t>
  </si>
  <si>
    <t>Resultaat</t>
  </si>
  <si>
    <t>termijn</t>
  </si>
  <si>
    <t>per jaar</t>
  </si>
  <si>
    <t>investering</t>
  </si>
  <si>
    <t>inventaris en apparatuur</t>
  </si>
  <si>
    <t>Correctiepercentage</t>
  </si>
  <si>
    <t>BASISGEGEVENS</t>
  </si>
  <si>
    <t>2012/13</t>
  </si>
  <si>
    <t>Verlaging 2010 t.o.v. 2009:</t>
  </si>
  <si>
    <t>Verhoging 2009 t.o.v. 2010:</t>
  </si>
  <si>
    <t>De overige gegevens, waaronder de MI-bekostiging, zijn bijgewerkt tot en met 2010. Daarbij is de toekenning van het budget B&amp;M m.i.v. 1 augustus 2010 op € 0 gesteld gelet op de maatregel in de begroting 2010.</t>
  </si>
  <si>
    <t>De baten worden berekend conform de laatst bekende gegevens van de regeling budget B&amp;M en budget PB van augustus 2009, met de verdere afbouw van de zwartescholentoeslag in 09-10 naar 1/3e van het bedrag van 07-08. Conform de maatregel in de begroting OCW 2010 is het budget B&amp;M op € 0 gesteld.</t>
  </si>
  <si>
    <t>De baten worden berekend conform de Rijksbijdrage conform de laatst bekende gegevens van de Londo-regeling 2010. De berekening voor 2009 komt tot stand door de bedragen van 2010 te vermenigvuldigen met de factor waarmee de bedragen van 2009 hoger zijn dan die van 2010. Zie daarvoor cel A363 in het blad tabellen. Ook zijn alle specifieke regelingen die van toepassing kunnen zijn van de MI-bekostiging opgevoerd.</t>
  </si>
  <si>
    <t>In de tabellen zijn de gegevens opgenomen die betrekking hebben op de onderliggende normeringen voor de bekostiging. De bedragen betreffen de bedragen zoals die voor het schooljaar 2009-2010 per augustus 2009 gelden. Londo 2010 is al opgenomen. Budget B&amp;M is op € 0 gesteld voor 2010-2011 en daarna.</t>
  </si>
  <si>
    <t>MEERJARENBALANS</t>
  </si>
  <si>
    <t>Activa</t>
  </si>
  <si>
    <t>Vaste activa</t>
  </si>
  <si>
    <t>bedrag per m3</t>
  </si>
  <si>
    <t xml:space="preserve">aantal leerlingen onderbouw </t>
  </si>
  <si>
    <t xml:space="preserve">aantal leerlingen bovenbouw </t>
  </si>
  <si>
    <t>aanltal cumi leerlingen sbo</t>
  </si>
  <si>
    <t>TAB (S)BaO</t>
  </si>
  <si>
    <t>Lasten personeeelsbeleid</t>
  </si>
  <si>
    <t>Overige OCW- subsidies</t>
  </si>
  <si>
    <t>LGF o.b.v. raming aantal leerlingen (S)BaO</t>
  </si>
  <si>
    <t>Bij de 1e component is het noodzakelijk dat de gegevens van de kernafdeling worden opgegeven. Vervolgens de overige componenten waaruit de school bestaat. Daarbij is het noodzakelijk om Verbrede Toelating als een aparte component te beschouwen wat de opgave van leerlingen betreft omdat de bekostiging daarvoor specifiek is.</t>
  </si>
  <si>
    <t>Het wordt op zich niet aanbevolen om geld tussen de verschillende budgetten heen en weer te schuiven. Voor het begrip van de gebruiker is deze mogelijkheid in dit instrument toch wel aanwezig. Het advies is er zo weinig mogelijk gebruik van te maken.</t>
  </si>
  <si>
    <t>Op deze wijze wordt bepaald hoe groot het budget is in geld resp. in FPE dat beschikbaar is voor het functiebouwwerk. Dat verbruik wordt ook zichtbaar gemaakt.</t>
  </si>
  <si>
    <t>In dit werkblad worden alle budgetten weergegeven die betrekking hebben op de bekostiging van personeel. Weergegeven worden met name de inkomsten van het budget formatie, overige overheidsbijdragen voor personele doeleinden en overige baten voor personele doeleinden.</t>
  </si>
  <si>
    <t>Werkblad Personeelsbeleid (persbel)</t>
  </si>
  <si>
    <t xml:space="preserve">Van iedere component van de school wordt hier berekend hoeveel formatie in FPE, gebaseerd op de functie LB, wordt toegekend. De aantallen FPE omvatten zowel de formatie OP als de formatie OOP die conform de verhoudingstabel is omgerekend in formatieplaatsen LB. Ook wordt opgenomen hoeveel de school ontvangt als vaste voet, voor bestrijding onderwijsachterstanden (cumi-leerlingen), en voor de directietoeslagen. </t>
  </si>
  <si>
    <r>
      <t xml:space="preserve">Het beschikbare budget wordt weergegeven in formatieruimte in </t>
    </r>
    <r>
      <rPr>
        <b/>
        <sz val="11"/>
        <rFont val="Arial"/>
        <family val="2"/>
      </rPr>
      <t>FormatiePlaatsenEenheden (FPE) vanaf kolom Q</t>
    </r>
    <r>
      <rPr>
        <sz val="11"/>
        <rFont val="Arial"/>
        <family val="2"/>
      </rPr>
      <t>, gebaseerd op de functie LB en in geld na kolom H.</t>
    </r>
  </si>
  <si>
    <t>Hetgeen hiervoor is vermeld onder werkblad form t is hier eveneens van toepassing.</t>
  </si>
  <si>
    <t>Werkblad Functiebouwwerk (fiebouw)</t>
  </si>
  <si>
    <t>De prognose van het aantal leerlingen kan ook leiden tot een toename of afname, zoals uit de prognose blijkt van de omvang van de genormeerde formatie. Uiteraard dient daar rekening mee gehouden te worden. Daartoe dient ook de informatie over de uitputting die gegeven wordt.</t>
  </si>
  <si>
    <t>Hier wordt weergegeven hetgeen volgens de (bekende) indeling - Rijksbijdrage OCW, overige overheidsbijdragen en overige baten - beschikbaar komt op basis van diverse regelingen. Tevens wordt in dit werkblad verwerkt hetgeen aan personeelsbeleid (in brede zin) wordt uitgegeven.</t>
  </si>
  <si>
    <t>Bij de baten kan meteen het percentage worden opgegeven dat wordt afgedragen aan het bovenschools niveau voor de budgetten van OCW conform de gemaakte afspraken. Daarnaast is ruimte gelaten voor alle mogelijke uitgaven van personele aard die hier kunnen worden opgegeven.</t>
  </si>
  <si>
    <t>Toepassing bestuurs-GPL i.p.v landelijke-GPL</t>
  </si>
  <si>
    <t>Indien gekozen wordt bestuurs-GPL: de bestuurs-GGL</t>
  </si>
  <si>
    <t>Gehanteerde GPL- schoolbestuur</t>
  </si>
  <si>
    <t>PERSONEEL</t>
  </si>
  <si>
    <t>Minus: Overdrachten bestuur</t>
  </si>
  <si>
    <t xml:space="preserve">Overdracht naar bestuur </t>
  </si>
  <si>
    <t>Overdracht van bestuur</t>
  </si>
  <si>
    <t>saldo overdrachten</t>
  </si>
  <si>
    <t>Baten werk in opdracht van derden</t>
  </si>
  <si>
    <t>Overige overheidsbijdragen en -subsidies</t>
  </si>
  <si>
    <t>Totaal baten personeel</t>
  </si>
  <si>
    <t>Saldo personeel</t>
  </si>
  <si>
    <t xml:space="preserve">Rijksbijdragen </t>
  </si>
  <si>
    <t>Ouderbijdragen-personeel</t>
  </si>
  <si>
    <t>Sponsoring-personeel</t>
  </si>
  <si>
    <t>totaal budget personeel in fpe LB (vso)</t>
  </si>
  <si>
    <t>totaal lasten personeel in fpe LB (vso)</t>
  </si>
  <si>
    <t>ouderbijdragen-materieel</t>
  </si>
  <si>
    <t>sponsoring-materieel</t>
  </si>
  <si>
    <t>F. Inkomsten ambulante begeleiding</t>
  </si>
  <si>
    <t>Raming rugzak materieel (s)bao en vo naar kalenderjaar</t>
  </si>
  <si>
    <t>Raming rugzak materieel mbo naar kalenderjaar</t>
  </si>
  <si>
    <t>Raming rugzak personeel (s)bao en vo naar kalenderjaar</t>
  </si>
  <si>
    <t>Raming rugzak personeel mbo naar kalenderjaar</t>
  </si>
  <si>
    <t>NB: Het aantal residentiele leerlingen wordt o.b.v. de telling 1 oktober T-1 vastgesteld</t>
  </si>
  <si>
    <t>Bekostiging REC (Reg Bek PO 09-10 art. 23)</t>
  </si>
  <si>
    <t>Groepsafhankelijke programma's van eisen 2010</t>
  </si>
  <si>
    <t>Leerlingafhankelijke programma's van eisen 2010</t>
  </si>
  <si>
    <t>In deze applicatie zijn de bedragen van de vastgestelde GPL's voor 2009-2010 verwerkt naar de stand per augustus 2009. Daarin zijn de gevolgen van het Convenant actieplan LeerKracht integraal verwerkt zowel wat de baten als de lasten betreft, ook voor de maatregelen die ingaan per 1 januari 2010. De inkorting van de schalen van de leraren en de hogere kosten voor de directeuren vanwege de directietoeslag van 275 euro vanaf 1 januari 2009 is verwerkt in een bijstelling in de verhoudingstabel voor deze functies.</t>
  </si>
  <si>
    <t>In dit werkblad kunt u de leerlinggebonden financiering per maand opgeven zoals die naar verwachting het schooljaar 09-10 en het schooljaar 10-11 zal zijn. De gegevens per maand worden omgerekend naar de bekostiging op schooljaarbasis voor de personele bekostiging en de materiële bekostiging. De bekostiging vindt plaats per maand op basis van het lopende en het komende schooljaar. Onderscheid wordt gemaakt naar leerlingen met een indicatie vanuit het basisonderwijs resp. het voortgezet onderwijs resp. het voltijd dan wel deeltijd MBO.</t>
  </si>
  <si>
    <t>In dit werkblad wordt het formatieoverzicht opgenomen zoals dat vanaf 1 augustus 2010 er naar verwachting uit zal zien. Op deze wijze kunt u alvast rekening houden met mutaties die zullen plaats vinden.</t>
  </si>
  <si>
    <t>In dit werkblad wordt het formatieoverzicht opgenomen zoals dat er vanaf 1 augustus 2009 uit ziet.</t>
  </si>
  <si>
    <t>Om dat eenvoudig mogelijk te maken is de opgave in het werkblad form t omgezet in het van toepassing zijnde functiebouwwerk van de school naar de situatie vanaf 1 augustus 2009.</t>
  </si>
  <si>
    <t>Daarbij is de opgave in het werkblad form t+1 alvast automatisch verwerkt in het van toepassing zijnde functiebouwwerk van de school naar de situatie per 1 augustus 2010 vanaf cel P73. Hier gewenste veranderingen moeten doorgevoerd worden via het werkblad form t+1. Let u er wel op dat de wtf zoals die in kolom P van form t+1 is, ook de wtf is in de schooljaren daarna. Dat kan met name problematisch zijn als het gaat om een aanstelling die niet het gehele jaar doorliep/loopt. In een dergelijk geval moet u de wtf in de jaren daarna corrigeren. U kunt dat ook doen door aan de formule die er staat een getal (= het aantal wtf) af te trekken of toe te voegen.</t>
  </si>
  <si>
    <t>Budget Personeels- en Arbeidsmarktbeleid en B&amp;M en overige (overheids) baten</t>
  </si>
  <si>
    <t>In dit werkblad kunnen alle investeringen vanaf 1 augustus 2006 worden verwerkt. Daarmee is dit de belangrijke concretisering van de beleidsvisie van de school zoals die in het schoolplan is neergelegd! Neem alle nieuwe investeringen over tenminste 6 jaar op!</t>
  </si>
  <si>
    <t>Aan het eind van het werkblad is ook een baten en lasten overzicht gemaakt op basis van het schooljaar.</t>
  </si>
  <si>
    <t>Er is ook een meerjarenbegroting gemaakt op basis van de schooljaren. Daarom is verzocht met het oog op intern gebruik.</t>
  </si>
  <si>
    <t>In verband met de toekenning van de toelage directeuren en in verband met de inkorting van de schalen per 1-1-2009 en 1-1-2010 heeft een dergelijke aanpassing plaats gevonden.</t>
  </si>
  <si>
    <t>Wijzigingen van de salarissen leiden slechts tot aanpassing in de verhoudingen indien de bijstelling relatief niet gelijkmatig is.</t>
  </si>
  <si>
    <t>Saldo personeelsbeleid</t>
  </si>
  <si>
    <t>Totaal baten personeelsbeleid</t>
  </si>
  <si>
    <t>Rijksbijdragen</t>
  </si>
  <si>
    <t xml:space="preserve">MATERIEEL </t>
  </si>
  <si>
    <t>Totaal baten materieel</t>
  </si>
  <si>
    <t>Overige lasten</t>
  </si>
  <si>
    <t>Totaal lasten materieel</t>
  </si>
  <si>
    <t>Saldo materieel</t>
  </si>
  <si>
    <t>STAAT VAN BATEN EN LASTEN</t>
  </si>
  <si>
    <t>Werkblad Materieel (mat)</t>
  </si>
  <si>
    <t>Werkblad Tabellen (tab)</t>
  </si>
  <si>
    <t>Werkblad Meerjarenonderhoudsplan (mop)</t>
  </si>
  <si>
    <t>Werkblad Meerjareninvesteringsplan (mip)</t>
  </si>
  <si>
    <t>Werkblad Activa (act)</t>
  </si>
  <si>
    <r>
      <t xml:space="preserve">De waarde van de activa wordt hier bijgehouden met verwerking van de investeringen en de afschrijvingen. Voor de afschrijving van de activa die al voor 2006 zijn aangeschaft is apart ruimte beschikbaar die ingevuld kan worden vanuit de gegevens van de </t>
    </r>
    <r>
      <rPr>
        <u val="single"/>
        <sz val="11"/>
        <rFont val="Arial"/>
        <family val="2"/>
      </rPr>
      <t>eerste waardering</t>
    </r>
    <r>
      <rPr>
        <sz val="11"/>
        <rFont val="Arial"/>
        <family val="0"/>
      </rPr>
      <t xml:space="preserve"> per 1 januari 2006.</t>
    </r>
  </si>
  <si>
    <t>Dit werkblad geeft een complete meerjarenbegroting conform de voorschriften omtrent de jaarrekening. De invulling vindt automatisch plaats vanuit hetgeen in de andere werkbladen is opgegeven.</t>
  </si>
  <si>
    <t>Werkblad Balans (bal)</t>
  </si>
  <si>
    <t>Extra toeslag directie</t>
  </si>
  <si>
    <t>De afzonderlijke school hoeft volgens de voorschriften OCW geen balans te leveren. Omdat daaraan bij gebruikers van dit instrument in voorkomende gevallen toch wel behoefte bestaat is dit werkblad opgenomen. Voor de liefhebber dus.</t>
  </si>
  <si>
    <t>Wel is voorgeschreven dat een school kengetallen moet leveren. Die worden in dit werkblad gespecificeerd samen met enkele niet verplichte kengetallen.</t>
  </si>
  <si>
    <t>Werkblad Kengetallen (ken)</t>
  </si>
  <si>
    <t>Werkblad Sommatie (som)</t>
  </si>
  <si>
    <t>Onderwijs-soort</t>
  </si>
  <si>
    <t>Ten behoeve van de sommatie van alle gegevens van de scholen op het bovenschoolse bestuursniveau zijn de kerngegevens daarvoor in dit werkblad verzameld. In het blad is aangegeven op welke wijze deze gegevens gekopieerd dienen te worden naar het sommatiemodel. Daarin kunnen behalve de gegevens van basisscholen tevens de gegevens van speciale basisscholen en die van scholen voor (voortgezet) speciaal onderwijs worden verwerkt. In het sommatiemodel kunnen daaraan nog de gegevens van het bestuurskantoor worden toegevoegd. Op die wijze wordt de complete begroting van de gehele organisatie verkregen.</t>
  </si>
  <si>
    <t>Werkblad Rugzak (rugzak)</t>
  </si>
  <si>
    <t>Werkblad Personeelsbudget (pers)</t>
  </si>
  <si>
    <t>Werkblad Formatie jaar T (form t)</t>
  </si>
  <si>
    <t>Werkblad Formatie jaar T + 1 (form t+1)</t>
  </si>
  <si>
    <t>LGF o.b.v. raming aantal leerlingen VO</t>
  </si>
  <si>
    <t>00AA</t>
  </si>
  <si>
    <t>School omvat afdeling MG</t>
  </si>
  <si>
    <t>Speciaal Onderwijs (SO)</t>
  </si>
  <si>
    <t>Voortgezet Speciaal onderwijs (VSO)</t>
  </si>
  <si>
    <t>Omrekening kalenderjaar</t>
  </si>
  <si>
    <t>Overgedragen budget personeel</t>
  </si>
  <si>
    <t>Leerlinggebonden financiering</t>
  </si>
  <si>
    <t>Bapo</t>
  </si>
  <si>
    <t>Groeiregeling school met resid. leerl. niet zijnde just. jeugdinr./jeugdzorg</t>
  </si>
  <si>
    <t>Groeiregeling just. jeugdinr./inst. gesloten jeugdzorg cl. 4</t>
  </si>
  <si>
    <t>omrekening naar kalenderjaar</t>
  </si>
  <si>
    <t xml:space="preserve">Overige overheidsbijdragen - personeelsbeleid </t>
  </si>
  <si>
    <t>Overige baten -  personeelsbeleid</t>
  </si>
  <si>
    <t>Overgedragen budget personeelsbeleid</t>
  </si>
  <si>
    <t>Vlottende activa</t>
  </si>
  <si>
    <t>Eigen Vermogen</t>
  </si>
  <si>
    <t>Voorzieningen</t>
  </si>
  <si>
    <t>Langlopende schulden</t>
  </si>
  <si>
    <t>Kortlopende schulden</t>
  </si>
  <si>
    <t>Waarde activa per 01-01</t>
  </si>
  <si>
    <t>Waarde activa per 31-12</t>
  </si>
  <si>
    <t>ACTIVAOVERZICHT</t>
  </si>
  <si>
    <t>Overgedragen budget naar bestuursniveau</t>
  </si>
  <si>
    <t>Formatie tabel WEC in fte's</t>
  </si>
  <si>
    <t>GGL =</t>
  </si>
  <si>
    <t xml:space="preserve">totaal afschrijvingen </t>
  </si>
  <si>
    <t>Administratie</t>
  </si>
  <si>
    <t>contractkosten inhuur (schoonmaakbedrijf)</t>
  </si>
  <si>
    <t>Schoonmaak</t>
  </si>
  <si>
    <t>schoonmaak personeel</t>
  </si>
  <si>
    <t>ICT- leermiddelen uit exploitatie</t>
  </si>
  <si>
    <t>Leermiddelen</t>
  </si>
  <si>
    <t>afschrijving op ICT- apparatuur</t>
  </si>
  <si>
    <t>Investeringen</t>
  </si>
  <si>
    <t>KENGETALLEN</t>
  </si>
  <si>
    <t>Bestuursnorm</t>
  </si>
  <si>
    <t>Totale baten</t>
  </si>
  <si>
    <t>totaal per leerling</t>
  </si>
  <si>
    <t xml:space="preserve">Totale lasten </t>
  </si>
  <si>
    <t>Personele lasten</t>
  </si>
  <si>
    <t>directie</t>
  </si>
  <si>
    <t xml:space="preserve">onderwijzend personeel </t>
  </si>
  <si>
    <t>onderwijs ondersteunend personeel</t>
  </si>
  <si>
    <t xml:space="preserve">administratief personeel </t>
  </si>
  <si>
    <t>Salarissen en sociale lasten</t>
  </si>
  <si>
    <t>salarissen en sociale lasten</t>
  </si>
  <si>
    <t>overige administratie lasten</t>
  </si>
  <si>
    <t>schoonmaakmiddelen- en materialen</t>
  </si>
  <si>
    <t>afschrijvingen op inventaris en apparatuur (incl. ICT)</t>
  </si>
  <si>
    <t>inventaris en apparatuur uit exploitatie (incl. ICT)</t>
  </si>
  <si>
    <t>afschrijving op leermiddelen (incl. ICT-leermiddelen)</t>
  </si>
  <si>
    <t>leermiddelen uit exploitatie (incl. ICT-leermiddelen)</t>
  </si>
  <si>
    <t>Huisvesting</t>
  </si>
  <si>
    <t>huisvesting-/ onderhoudspersoneel</t>
  </si>
  <si>
    <t>afschrijving gebouwen</t>
  </si>
  <si>
    <t xml:space="preserve">dotatie onderhoudsvoorziening </t>
  </si>
  <si>
    <t xml:space="preserve">klein onderhoud en exploitatie </t>
  </si>
  <si>
    <t>Energie en Water (niet verplicht)</t>
  </si>
  <si>
    <t>ICT (niet verplicht)</t>
  </si>
  <si>
    <t>ICT- personeel</t>
  </si>
  <si>
    <t>ICT- apparatuur uit exploitatie</t>
  </si>
  <si>
    <t>Overige overheidsbijdragen</t>
  </si>
  <si>
    <t>Financiële baten</t>
  </si>
  <si>
    <t>Financiële lasten</t>
  </si>
  <si>
    <t>1. Selecteer lichtblauw gearceerde gebied in dit werkblad</t>
  </si>
  <si>
    <t>- klik op rechter muisknop</t>
  </si>
  <si>
    <t>- klik op optie "kopieren"</t>
  </si>
  <si>
    <t>- ga in linkerbovenhoek staan van het lichtblauw gearceerde gebied waarin selectie van deze school geplakt moet worden</t>
  </si>
  <si>
    <t>- klik op optie "plakken speciaal..."</t>
  </si>
  <si>
    <t>- vink "waarden" aan (onder kopje "plakken")</t>
  </si>
  <si>
    <t>- klik op "OK"</t>
  </si>
  <si>
    <t>Rijksbijdrage OCW</t>
  </si>
  <si>
    <t>aantal gewichtsleerlingen</t>
  </si>
  <si>
    <t xml:space="preserve">Naam school </t>
  </si>
  <si>
    <t>totale baten</t>
  </si>
  <si>
    <t>totale lasten</t>
  </si>
  <si>
    <t>administratie</t>
  </si>
  <si>
    <t>schoonmaak</t>
  </si>
  <si>
    <t>huisvesting</t>
  </si>
  <si>
    <t>energie en water (niet verplicht)</t>
  </si>
  <si>
    <t>personele lasten</t>
  </si>
  <si>
    <t>overige baten</t>
  </si>
  <si>
    <t>financiële baten</t>
  </si>
  <si>
    <t>financiële lasten</t>
  </si>
  <si>
    <t>Budget personeel</t>
  </si>
  <si>
    <t>Budget personeelsbeleid (incl. budget B&amp;M)</t>
  </si>
  <si>
    <t>Budget materieel</t>
  </si>
  <si>
    <t>overgedragen budget aan bestuur/ personeel</t>
  </si>
  <si>
    <t>overgedragen budget aan bestuur/ personeelsbeleid</t>
  </si>
  <si>
    <t>overgedragen budget aan bestuur/ materieel</t>
  </si>
  <si>
    <t>investeringen t.l.v. school</t>
  </si>
  <si>
    <t>groot onderhoud t.l.v. school</t>
  </si>
  <si>
    <t>laatste wijziging</t>
  </si>
  <si>
    <t xml:space="preserve">Saldo baten en lasten </t>
  </si>
  <si>
    <t xml:space="preserve">Saldo financiële baten en lasten </t>
  </si>
  <si>
    <t>Overgedragen budget (Rijk) naar bestuursniveau</t>
  </si>
  <si>
    <t>Budget personeelsbeleid</t>
  </si>
  <si>
    <t>Omrekenfactor MI 2009 t.o.v. 2010:</t>
  </si>
  <si>
    <t>De meerjarenbegroting start met het schooljaar 2009-2010. Bij de omrekening naar kalenderjaar wordt het eerste kalenderjaar 2010 dus voor 7/12e deel gevuld, de periode januari t/m augustus uit het schooljaar 09-10, aangevuld met 5/12e deel, de periode augustus t/m december 2010, van het schooljaar 10-11.</t>
  </si>
  <si>
    <t>De toekenning voor scholen die op 1 okt. 2001 meer dan 50% cumi-leerlingen hadden, de zwartescholentoeslag is in afbouw. De bedragen voor 09-10 zijn 1/3e van die voor 07-08 en nu voor het laatst.</t>
  </si>
  <si>
    <t>De leerlingen moeten gespecificeerd worden naar diverse categorieën zoals jonger dan 8 jaar, 8 jaar en ouder, cumi-leerlingen, leerlingen op residentiele plaatsen, enzovoorts. Sinds augustus 2008 geldt dat de leerlingen op een residentiele instelling als zodanig geteld moeten worden.</t>
  </si>
  <si>
    <t xml:space="preserve">De bekostiging van de eerste twee en sinds augustus 2008 ook die van het MBO, voltijds resp. deeltijds, wordt door u rechtstreeks ontvangen van het Rijk . </t>
  </si>
  <si>
    <t>In het budget Pers. en Arb. Beleid vindt ook een toekenning plaats voor het aantal ambulant begeleide leerlingen. Daaronder vallen ook de ambulant begeleide leerlingen met een rugzak. Voor dit budget gaat het daarbij om de T-1 gegevens, vandaar dat u gevraagd wordt om hier de oktobergegevens van 2008 ook op te voeren m.b.t. alle ambulant begeleide leerlingen met een rugzak. Zowel die vanuit het (s)bao, het vo als het MBO.</t>
  </si>
  <si>
    <t>Ook dient hier het correctiepercentage opgegeven te worden dat geldt voor het schooljaar 2006-2007 in het kader van de overgangsregeling. Het schooljaar 09-10 is het laatste jaar.</t>
  </si>
  <si>
    <t>De kosten van BAPO worden bovenschools betaald en daarom worden die doorlopende salariskosten van de verlofganger apart berekend en in mindering gebracht op de lasten van de school. Bij de sommatie worden deze lasten getransporteerd naar het bovenschoolse niveau.</t>
  </si>
  <si>
    <t>De landelijke GPL is berekend en vastgesteld door het ministerie op basis van de meetjaargegevens die vervolgens zijn geïndexeerd met de salaris- en premieontwikkeling zoals bekend t/m juni 2009.</t>
  </si>
  <si>
    <t xml:space="preserve">Bé Keizer, tel.: 06-22939674 e-mail: bkeizer@vosabb.nl </t>
  </si>
  <si>
    <t xml:space="preserve">Reinier Goedhart, tel.: 06-30049660 of e-mail: rgoedhart@vosabb.nl </t>
  </si>
  <si>
    <t>aantal leerlingen bas</t>
  </si>
  <si>
    <t>aantal leerlingen sbo</t>
  </si>
  <si>
    <t>Van samenwerkingsverband WSNS</t>
  </si>
  <si>
    <t>Leerlinggebondenfinanciering (rugzakje)</t>
  </si>
  <si>
    <t>afschrijving op ICT-leermiddelen</t>
  </si>
  <si>
    <t>leerlinggebondenfinanciering (rugzakje)</t>
  </si>
  <si>
    <t>van samenwerkingsverband WSNS</t>
  </si>
  <si>
    <t>totaal budget personeel in fpe LA (bas)</t>
  </si>
  <si>
    <t>totaal lasten personeel in fpe LA (bas)</t>
  </si>
  <si>
    <t>nog te besteden in fpe LA (bas)</t>
  </si>
  <si>
    <t>totaal budget personeel in fpe LB (sbo)</t>
  </si>
  <si>
    <t>a. GPL- loonkostendeel</t>
  </si>
  <si>
    <t>b. GPL- bapodeel</t>
  </si>
  <si>
    <t>overdracht bapo in €</t>
  </si>
  <si>
    <t>Ouderbijdrage</t>
  </si>
  <si>
    <t>ouderbijdragen</t>
  </si>
  <si>
    <t>sponsoring</t>
  </si>
  <si>
    <t>Cursuskosten (nascholing)</t>
  </si>
  <si>
    <t>Extern personeel</t>
  </si>
  <si>
    <t>Werving personeel</t>
  </si>
  <si>
    <t>Bedrijfsgezondheidszorg</t>
  </si>
  <si>
    <t>Toeslag premiedifferentiatie Vervangingsfonds</t>
  </si>
  <si>
    <t>Overige personele kosten</t>
  </si>
  <si>
    <t>Beleid IPB</t>
  </si>
  <si>
    <t>Kwaliteitszorg</t>
  </si>
  <si>
    <t>Representatie</t>
  </si>
  <si>
    <t>Vrijwilligersvergoeding</t>
  </si>
  <si>
    <t>Salarissen en sociale lasten (functiebouwwerk)</t>
  </si>
  <si>
    <t xml:space="preserve">Dotatie groot onderhoud </t>
  </si>
  <si>
    <t>Klein onderhoud</t>
  </si>
  <si>
    <t>Administratie, beheer en bestuur (ABB)</t>
  </si>
  <si>
    <t>Planmatig onderhoudsbeheer</t>
  </si>
  <si>
    <t>Onderwijs, -materialen, -diensten en vorming</t>
  </si>
  <si>
    <t>totaal lasten personeel in fpe LB (sbo)</t>
  </si>
  <si>
    <t>nog te besteden in fpe LB (sbo)</t>
  </si>
  <si>
    <t>Bapo in geld</t>
  </si>
  <si>
    <t>Kengetallen ten behoeve van bestuur</t>
  </si>
  <si>
    <t>- meubilair</t>
  </si>
  <si>
    <t>- ICT</t>
  </si>
  <si>
    <t>SOMMATIEGEGEVENS</t>
  </si>
  <si>
    <t>2. Ga naar sommatiemodel</t>
  </si>
  <si>
    <r>
      <t xml:space="preserve">Afschrijvingen (vanuit </t>
    </r>
    <r>
      <rPr>
        <b/>
        <u val="single"/>
        <sz val="10"/>
        <rFont val="Arial"/>
        <family val="2"/>
      </rPr>
      <t>eerste waardering</t>
    </r>
    <r>
      <rPr>
        <b/>
        <sz val="10"/>
        <rFont val="Arial"/>
        <family val="2"/>
      </rPr>
      <t>)</t>
    </r>
  </si>
  <si>
    <t>aantal leerlingen (v)so jonger dan 8 jaar</t>
  </si>
  <si>
    <t>aantal leerlingen (v)so</t>
  </si>
  <si>
    <t>aantal cumi leerlingen (v)so</t>
  </si>
  <si>
    <t>aantal leerlingen (v)so  8 jaar en ouder</t>
  </si>
  <si>
    <t>aantal SO-leerlingen</t>
  </si>
  <si>
    <t>aantal VSO-leerlingen</t>
  </si>
  <si>
    <t>totaal budget personeel in fpe LB ((v)so)</t>
  </si>
  <si>
    <t>totaal lasten personeel in fpe LB ((v)so)</t>
  </si>
  <si>
    <t>nog te besteden in fpe LB ((v)so)</t>
  </si>
  <si>
    <t>grootboeknr.</t>
  </si>
  <si>
    <t>SO</t>
  </si>
  <si>
    <t>vast</t>
  </si>
  <si>
    <t>BLND</t>
  </si>
  <si>
    <t>SZ</t>
  </si>
  <si>
    <t>DO</t>
  </si>
  <si>
    <t>SH</t>
  </si>
  <si>
    <t>ESM</t>
  </si>
  <si>
    <t>LG</t>
  </si>
  <si>
    <t>ZMLK</t>
  </si>
  <si>
    <t>LZs</t>
  </si>
  <si>
    <t>LZp</t>
  </si>
  <si>
    <t>ZMOK</t>
  </si>
  <si>
    <t>PI</t>
  </si>
  <si>
    <t>MG (LG-ZMLK)</t>
  </si>
  <si>
    <t>MG (DO-ZMLK)</t>
  </si>
  <si>
    <t>MG (SH-ZMLK)</t>
  </si>
  <si>
    <t>MG (DO-BLND)</t>
  </si>
  <si>
    <t>VSO</t>
  </si>
  <si>
    <t>Onderwijssoort</t>
  </si>
  <si>
    <t>per groep</t>
  </si>
  <si>
    <t xml:space="preserve">school   </t>
  </si>
  <si>
    <t>SO-schooltype</t>
  </si>
  <si>
    <t xml:space="preserve"> VSO-schooltype</t>
  </si>
  <si>
    <t xml:space="preserve">per school   </t>
  </si>
  <si>
    <t>per leerling</t>
  </si>
  <si>
    <t>Aanvullende programma's van eisen</t>
  </si>
  <si>
    <t>soort bad</t>
  </si>
  <si>
    <t>bedrag per bad</t>
  </si>
  <si>
    <t>m3</t>
  </si>
  <si>
    <t>subtotaal</t>
  </si>
  <si>
    <t>bodem</t>
  </si>
  <si>
    <t>hydro-bad</t>
  </si>
  <si>
    <t>watergew</t>
  </si>
  <si>
    <t>Toeslag beweegbare bodem</t>
  </si>
  <si>
    <t>Brancardlift</t>
  </si>
  <si>
    <t>Overige vergoedingsbedragen</t>
  </si>
  <si>
    <t>Vergoeding dienstreizen leerkrachten voor autistische leerlingen</t>
  </si>
  <si>
    <t>toegekende fte als aanvullende formatie</t>
  </si>
  <si>
    <t>op jaarbasis</t>
  </si>
  <si>
    <t>Overgangsregeling t.b.v. leerlinggebonden financiering</t>
  </si>
  <si>
    <t xml:space="preserve">vastgesteld bedrag </t>
  </si>
  <si>
    <t>Fte's OP incl adv</t>
  </si>
  <si>
    <t>Fte's OOP incl adv</t>
  </si>
  <si>
    <t>PAB</t>
  </si>
  <si>
    <t>TAB</t>
  </si>
  <si>
    <t>oso</t>
  </si>
  <si>
    <t>SO &lt;8</t>
  </si>
  <si>
    <t>Groepsgrootte (V)SO</t>
  </si>
  <si>
    <t>SO &gt;=8</t>
  </si>
  <si>
    <t>LGF</t>
  </si>
  <si>
    <t>fte's cumi</t>
  </si>
  <si>
    <t>2013/14</t>
  </si>
  <si>
    <t>Ambulante begeleiding rugzak MBO</t>
  </si>
  <si>
    <t>Justitiele inrichting VSO-ZMOK</t>
  </si>
  <si>
    <t>Instelling gesloten jeugdzorg</t>
  </si>
  <si>
    <r>
      <t xml:space="preserve">daarmee wordt de visie centraal gesteld binnen de beschikbare mogelijkheden. </t>
    </r>
    <r>
      <rPr>
        <b/>
        <i/>
        <sz val="10"/>
        <rFont val="Arial"/>
        <family val="2"/>
      </rPr>
      <t>Op deze wijze kan ook de functiemix worden geraamd!</t>
    </r>
  </si>
  <si>
    <t>MATERIEEL (gecomprimeerd)</t>
  </si>
  <si>
    <t>SCHOOLJAAR</t>
  </si>
  <si>
    <t xml:space="preserve">Baten </t>
  </si>
  <si>
    <t xml:space="preserve">Overige lasten </t>
  </si>
  <si>
    <t xml:space="preserve">OP vast per school </t>
  </si>
  <si>
    <t>SOVSO</t>
  </si>
  <si>
    <t xml:space="preserve">WEC de gpl bedragen </t>
  </si>
  <si>
    <t>Directie</t>
  </si>
  <si>
    <t>OP (landelijk)</t>
  </si>
  <si>
    <t>Toeslag directie</t>
  </si>
  <si>
    <t xml:space="preserve">OOP </t>
  </si>
  <si>
    <t>OP leeftijdsgecorrigeerd : voet</t>
  </si>
  <si>
    <t>OP leeftijdsgecorrigeerd : bedrag * GGL</t>
  </si>
  <si>
    <t>* GGL</t>
  </si>
  <si>
    <t xml:space="preserve">GGL = </t>
  </si>
  <si>
    <t>o.g.v landelijke GGL</t>
  </si>
  <si>
    <t>o.g.v. landelijke GGL</t>
  </si>
  <si>
    <t>GGL</t>
  </si>
  <si>
    <t>Basis per school:</t>
  </si>
  <si>
    <t xml:space="preserve">Cumi leerling boven de 4 </t>
  </si>
  <si>
    <t>LGF-Beroepsonderwijs</t>
  </si>
  <si>
    <t>Basisbedrag</t>
  </si>
  <si>
    <t>Bedrag per school</t>
  </si>
  <si>
    <t>Bedrag per leerling (pos. besch.)</t>
  </si>
  <si>
    <t>Aantal leerlingen, plus</t>
  </si>
  <si>
    <t>vast bedrag per school</t>
  </si>
  <si>
    <t>bedrag per leerling</t>
  </si>
  <si>
    <t>(V)SO</t>
  </si>
  <si>
    <t>Budget Bestuur en Management</t>
  </si>
  <si>
    <t>Bedragen</t>
  </si>
  <si>
    <t>D</t>
  </si>
  <si>
    <t>amb beg</t>
  </si>
  <si>
    <t>cumi</t>
  </si>
  <si>
    <t>≥ 50% cumi</t>
  </si>
  <si>
    <t>cumi-ll</t>
  </si>
  <si>
    <t>A</t>
  </si>
  <si>
    <t>C</t>
  </si>
  <si>
    <t>B</t>
  </si>
  <si>
    <t>Db</t>
  </si>
  <si>
    <t>amb-ll</t>
  </si>
  <si>
    <t>ja</t>
  </si>
  <si>
    <t>nee</t>
  </si>
  <si>
    <t>Materiële vergoeding *</t>
  </si>
  <si>
    <t>* dienstreizen AB-ers</t>
  </si>
  <si>
    <t>School:</t>
  </si>
  <si>
    <t xml:space="preserve"> </t>
  </si>
  <si>
    <t>kernonderwijs</t>
  </si>
  <si>
    <t>Relevante N-factor:</t>
  </si>
  <si>
    <t>MG</t>
  </si>
  <si>
    <t>VT</t>
  </si>
  <si>
    <t>&lt; 8 jaar</t>
  </si>
  <si>
    <t>aantal</t>
  </si>
  <si>
    <t>Totaal</t>
  </si>
  <si>
    <t>volume m3</t>
  </si>
  <si>
    <t>Leerling jonger dan 8 jaar</t>
  </si>
  <si>
    <t>Leerling 8 jaar en ouder</t>
  </si>
  <si>
    <t>Waarvan cumi</t>
  </si>
  <si>
    <t>Residentieel:</t>
  </si>
  <si>
    <t>1.</t>
  </si>
  <si>
    <t>2.</t>
  </si>
  <si>
    <t>Ambulante begeleiding:</t>
  </si>
  <si>
    <t>TAB SO</t>
  </si>
  <si>
    <t>TAB VSO</t>
  </si>
  <si>
    <t>jan</t>
  </si>
  <si>
    <t>feb</t>
  </si>
  <si>
    <t>aug</t>
  </si>
  <si>
    <t>sept</t>
  </si>
  <si>
    <t>okt</t>
  </si>
  <si>
    <t>nov</t>
  </si>
  <si>
    <t>dec</t>
  </si>
  <si>
    <t>mrt</t>
  </si>
  <si>
    <t>apr</t>
  </si>
  <si>
    <t>mei</t>
  </si>
  <si>
    <t>juni</t>
  </si>
  <si>
    <t>juli</t>
  </si>
  <si>
    <t>3.</t>
  </si>
  <si>
    <t>4.</t>
  </si>
  <si>
    <t>5.</t>
  </si>
  <si>
    <t>6.</t>
  </si>
  <si>
    <t>Kengetallen voor bekostiging</t>
  </si>
  <si>
    <t>aantal groepen</t>
  </si>
  <si>
    <t>grgr</t>
  </si>
  <si>
    <t>component</t>
  </si>
  <si>
    <t>School omvat MG</t>
  </si>
  <si>
    <t>Verbrede  toelating SO</t>
  </si>
  <si>
    <t>Verbrede  toelating VSO</t>
  </si>
  <si>
    <t>Rijksbijdragen OCW</t>
  </si>
  <si>
    <t>Overige baten</t>
  </si>
  <si>
    <t>Ouderbijdragen</t>
  </si>
  <si>
    <t>Schenkingen</t>
  </si>
  <si>
    <t>Sponsoring</t>
  </si>
  <si>
    <t>Afschrijvingen</t>
  </si>
  <si>
    <t>Huisvestingslasten</t>
  </si>
  <si>
    <t>Bekostiging voor leerling jonger dan 8 jaar</t>
  </si>
  <si>
    <t>Bekostiging voor leerling 8 jaar en ouder</t>
  </si>
  <si>
    <t>Bekostiging voor BOA</t>
  </si>
  <si>
    <t>1-10-2001: &gt; 50% cumi ll school</t>
  </si>
  <si>
    <t>Toeslagen directie</t>
  </si>
  <si>
    <t>School</t>
  </si>
  <si>
    <t>Leerlingen</t>
  </si>
  <si>
    <t>Budget Personeels- en Arbeidsmarktbeleid</t>
  </si>
  <si>
    <t>SO-leerlingen</t>
  </si>
  <si>
    <t>VSO-leerlingen</t>
  </si>
  <si>
    <t>Projecten (voortgezet) speciaal onderwijs</t>
  </si>
  <si>
    <t>7/12e extra bekostiging vanaf 1 jan T+1</t>
  </si>
  <si>
    <t>Inkomsten vanuit het REC</t>
  </si>
  <si>
    <t>Brancardliften</t>
  </si>
  <si>
    <t>Schoolbaden</t>
  </si>
  <si>
    <t>FTE</t>
  </si>
  <si>
    <t>Toegekend aantal fte op jaarbasis</t>
  </si>
  <si>
    <t>Toeslag geb.onderh. voor LG/MG, schuifdeur en stoellift</t>
  </si>
  <si>
    <t>Dienstreizen leerkrachten autistische ll</t>
  </si>
  <si>
    <t>OSO</t>
  </si>
  <si>
    <t>toeslagen gebouwonderhoud (schuifdeur, stoellift)</t>
  </si>
  <si>
    <t>Totaal effectief cumi, incl. residentieel</t>
  </si>
  <si>
    <t>Artikel VII Wet Regeling LGF</t>
  </si>
  <si>
    <t>Vaste voet per school</t>
  </si>
  <si>
    <t>TAB BaO/SBaO</t>
  </si>
  <si>
    <t>Amb. begeleiding:</t>
  </si>
  <si>
    <t>TAB VO/WEB</t>
  </si>
  <si>
    <t>Samen</t>
  </si>
  <si>
    <t>(S)BaO</t>
  </si>
  <si>
    <t>VO/WEB</t>
  </si>
  <si>
    <t>Ambulante begeleiding TAB</t>
  </si>
  <si>
    <t>Bekostiging formatie</t>
  </si>
  <si>
    <t>Bekostiging materieel</t>
  </si>
  <si>
    <t>Materiele exploitatie</t>
  </si>
  <si>
    <t>Formatie</t>
  </si>
  <si>
    <t>beginschooljaar</t>
  </si>
  <si>
    <t>eind schooljaar</t>
  </si>
  <si>
    <t>Budget B&amp;M</t>
  </si>
  <si>
    <t>GGL bestuur</t>
  </si>
  <si>
    <t>GPL bestuur</t>
  </si>
  <si>
    <t>factor N</t>
  </si>
  <si>
    <t>Rugzakbekostiging Rijk formatie</t>
  </si>
  <si>
    <t>Rugzakbekostiging Rijk materieel</t>
  </si>
  <si>
    <t>gem ll</t>
  </si>
  <si>
    <t>MGA</t>
  </si>
  <si>
    <t>MGB</t>
  </si>
  <si>
    <t>MGF</t>
  </si>
  <si>
    <t>schooljaar</t>
  </si>
  <si>
    <t>schaal</t>
  </si>
  <si>
    <t xml:space="preserve">totaal </t>
  </si>
  <si>
    <t>nvt</t>
  </si>
  <si>
    <t>DC</t>
  </si>
  <si>
    <t>LB</t>
  </si>
  <si>
    <t>teldatum</t>
  </si>
  <si>
    <t>2008/09</t>
  </si>
  <si>
    <t>2009/10</t>
  </si>
  <si>
    <t>2010/11</t>
  </si>
  <si>
    <t>2011/12</t>
  </si>
  <si>
    <t>AA</t>
  </si>
  <si>
    <t>AB</t>
  </si>
  <si>
    <t>AC</t>
  </si>
  <si>
    <t>AD</t>
  </si>
  <si>
    <t>AE</t>
  </si>
  <si>
    <t>DA</t>
  </si>
  <si>
    <t>DB</t>
  </si>
  <si>
    <t>DBuit</t>
  </si>
  <si>
    <t>DCuit</t>
  </si>
  <si>
    <t>DD</t>
  </si>
  <si>
    <t>DE</t>
  </si>
  <si>
    <t>LA</t>
  </si>
  <si>
    <t>LC</t>
  </si>
  <si>
    <t>LD</t>
  </si>
  <si>
    <t>LE</t>
  </si>
  <si>
    <t>LIOa</t>
  </si>
  <si>
    <t>LIOb</t>
  </si>
  <si>
    <t>meerh sbo DB10</t>
  </si>
  <si>
    <t>meerh sbo DB11</t>
  </si>
  <si>
    <t>meerh sbo DCuit15</t>
  </si>
  <si>
    <t>Gebouwen en terreinen</t>
  </si>
  <si>
    <t>Inventaris en apparatuur</t>
  </si>
  <si>
    <t>Leermiddelen PO</t>
  </si>
  <si>
    <t>Overige materiële vaste activa</t>
  </si>
  <si>
    <t>totaal</t>
  </si>
  <si>
    <t>vast bedrag</t>
  </si>
  <si>
    <t>LGF RUGZAKDEEL (verplichte herbesteding)</t>
  </si>
  <si>
    <t>kalenderjaar</t>
  </si>
  <si>
    <t>VO</t>
  </si>
  <si>
    <t>Aanvullende formatie opvang en begeleiding leerlingen met autisme</t>
  </si>
  <si>
    <t>Toegekende formatie in fre's schooljaar 2005-2006</t>
  </si>
  <si>
    <t>Omrekening in fte's</t>
  </si>
  <si>
    <t>Omrekening in geld:</t>
  </si>
  <si>
    <t>Ambulante begeleiding rugzak (S)BaO en VO</t>
  </si>
  <si>
    <t>Bijdrage ambulante begeleiding ivm rugzakken</t>
  </si>
  <si>
    <t>Overige subsidies OCW - personeel</t>
  </si>
  <si>
    <t>Formatiebudget</t>
  </si>
  <si>
    <t>Lasten personeelsbeleid</t>
  </si>
  <si>
    <t>A. Groepsafhankelijke PvE's</t>
  </si>
  <si>
    <t>B. Leerlingafhankelijke PvE's</t>
  </si>
  <si>
    <t>C. Aanvullende programma's van eisen</t>
  </si>
  <si>
    <t>D. Overige vergoedingsbedragen</t>
  </si>
  <si>
    <t>Overige subsidies OCW - materieel</t>
  </si>
  <si>
    <t>Overige overheidsbijdragen - materieel</t>
  </si>
  <si>
    <t>Overige baten - materieel</t>
  </si>
  <si>
    <t>totaal formatiebudget</t>
  </si>
  <si>
    <t xml:space="preserve"> (totalisering)</t>
  </si>
  <si>
    <t>LA = 1,00</t>
  </si>
  <si>
    <t>LB = 1,00</t>
  </si>
  <si>
    <t>Verhoudingstabel</t>
  </si>
  <si>
    <t>max regel</t>
  </si>
  <si>
    <t xml:space="preserve"> max salaris </t>
  </si>
  <si>
    <t>meerh bas DA10</t>
  </si>
  <si>
    <t>meerh bas DA</t>
  </si>
  <si>
    <t>meerh bas DB</t>
  </si>
  <si>
    <t>meerh bas DBuit</t>
  </si>
  <si>
    <t>meerh sbo DC 13</t>
  </si>
  <si>
    <t>Huidig functiebouwwerk</t>
  </si>
  <si>
    <t>Gewenst functiebouwwerk</t>
  </si>
  <si>
    <t>Wijziging t.o.v. bestaande situatie</t>
  </si>
  <si>
    <t>Functies</t>
  </si>
  <si>
    <t>wtf</t>
  </si>
  <si>
    <t>in fie LB</t>
  </si>
  <si>
    <t>in geld</t>
  </si>
  <si>
    <t>Groei op basis van artikel 38 Bekost. Besluit (N)</t>
  </si>
  <si>
    <t>huisvestingslasten</t>
  </si>
  <si>
    <t>leermiddelen</t>
  </si>
  <si>
    <t>afschrijvingen</t>
  </si>
  <si>
    <t>Overgangsregeling lumpsum in FPE</t>
  </si>
  <si>
    <t>positief correctiepercentage</t>
  </si>
  <si>
    <t>negatief correctiepercentage</t>
  </si>
  <si>
    <r>
      <t xml:space="preserve">Het model is beveiligd met het wachtwoord: </t>
    </r>
    <r>
      <rPr>
        <b/>
        <sz val="11"/>
        <rFont val="Arial"/>
        <family val="2"/>
      </rPr>
      <t>vosabb</t>
    </r>
    <r>
      <rPr>
        <sz val="11"/>
        <rFont val="Arial"/>
        <family val="2"/>
      </rPr>
      <t xml:space="preserve"> onder Extra/Beveiliging/Blad beveiligen.</t>
    </r>
  </si>
  <si>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</si>
  <si>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</si>
  <si>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 xml:space="preserve">De invoer van de leerlinggegevens van de (V)SO-school is complex omdat de samenstelling van de school complex kan zijn. </t>
  </si>
  <si>
    <t>Daarom wordt eerst gevraagd om wat voor soort school het gaat: SO, VSO of SOVSO.</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</si>
</sst>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
    <numFmt numFmtId="173" formatCode="#,##0.00_ ;\-#,##0.00\ "/>
    <numFmt numFmtId="174" formatCode="#,##0_ ;\-#,##0\ "/>
    <numFmt numFmtId="175" formatCode="d/mmm/yyyy"/>
    <numFmt numFmtId="176" formatCode="_-&quot;€&quot;\ * #,##0_-;_-&quot;€&quot;\ * #,##0\-;_-&quot;€&quot;\ * &quot;-&quot;??_-;_-@_-"/>
    <numFmt numFmtId="177" formatCode="&quot;€&quot;\ #,##0_-"/>
    <numFmt numFmtId="178" formatCode="#,##0.00000000"/>
    <numFmt numFmtId="179" formatCode="d\ mmmm\ yyyy"/>
    <numFmt numFmtId="180" formatCode="dd/mm/yy"/>
    <numFmt numFmtId="181" formatCode="0.0%"/>
    <numFmt numFmtId="182" formatCode="d/mm/yy;@"/>
    <numFmt numFmtId="183" formatCode="d/mm/yy"/>
    <numFmt numFmtId="184" formatCode="#,##0.0"/>
    <numFmt numFmtId="185" formatCode="_-&quot;€&quot;\ * #,##0.00_-;_-&quot;€&quot;\ * #,##0.00\-;_-&quot;€&quot;\ * &quot;-&quot;_-;_-@_-"/>
    <numFmt numFmtId="186" formatCode="0.0"/>
    <numFmt numFmtId="187" formatCode="0.000000000000000"/>
    <numFmt numFmtId="188" formatCode="0.00000"/>
  </numFmts>
  <fonts count="41">
    <font>
      <sz val="10"/>
      <name val="Arial"/>
      <family val="0"/>
    </font>
    <font>
      <b/>
      <sz val="10"/>
      <name val="Arial"/>
      <family val="2"/>
    </font>
    <font>
      <sz val="10"/>
      <color indexed="10"/>
      <name val="Arial"/>
      <family val="2"/>
    </font>
    <font>
      <b/>
      <sz val="11"/>
      <name val="Arial"/>
      <family val="2"/>
    </font>
    <font>
      <sz val="8"/>
      <name val="Tahoma"/>
      <family val="2"/>
    </font>
    <font>
      <sz val="10"/>
      <color indexed="9"/>
      <name val="Arial"/>
      <family val="2"/>
    </font>
    <font>
      <b/>
      <sz val="12"/>
      <name val="Arial"/>
      <family val="2"/>
    </font>
    <font>
      <b/>
      <sz val="9"/>
      <name val="Arial"/>
      <family val="2"/>
    </font>
    <font>
      <b/>
      <sz val="14"/>
      <name val="Arial"/>
      <family val="2"/>
    </font>
    <font>
      <i/>
      <sz val="10"/>
      <name val="Arial"/>
      <family val="2"/>
    </font>
    <font>
      <b/>
      <i/>
      <sz val="10"/>
      <name val="Arial"/>
      <family val="2"/>
    </font>
    <font>
      <sz val="9"/>
      <name val="Tahoma"/>
      <family val="2"/>
    </font>
    <font>
      <u val="single"/>
      <sz val="10"/>
      <color indexed="20"/>
      <name val="Arial"/>
      <family val="0"/>
    </font>
    <font>
      <u val="single"/>
      <sz val="10"/>
      <color indexed="12"/>
      <name val="Arial"/>
      <family val="0"/>
    </font>
    <font>
      <sz val="11"/>
      <name val="Arial"/>
      <family val="2"/>
    </font>
    <font>
      <b/>
      <i/>
      <sz val="9"/>
      <name val="Arial"/>
      <family val="2"/>
    </font>
    <font>
      <i/>
      <sz val="10"/>
      <color indexed="53"/>
      <name val="Arial"/>
      <family val="2"/>
    </font>
    <font>
      <i/>
      <sz val="11"/>
      <name val="Arial"/>
      <family val="2"/>
    </font>
    <font>
      <b/>
      <i/>
      <sz val="12"/>
      <color indexed="10"/>
      <name val="Arial"/>
      <family val="2"/>
    </font>
    <font>
      <sz val="14"/>
      <name val="Arial"/>
      <family val="2"/>
    </font>
    <font>
      <b/>
      <sz val="8"/>
      <name val="Tahoma"/>
      <family val="0"/>
    </font>
    <font>
      <b/>
      <i/>
      <sz val="14"/>
      <name val="Arial"/>
      <family val="2"/>
    </font>
    <font>
      <b/>
      <sz val="1.25"/>
      <name val="Arial"/>
      <family val="2"/>
    </font>
    <font>
      <sz val="1.75"/>
      <name val="Arial"/>
      <family val="0"/>
    </font>
    <font>
      <sz val="1.5"/>
      <name val="Arial"/>
      <family val="2"/>
    </font>
    <font>
      <b/>
      <sz val="2"/>
      <name val="Arial"/>
      <family val="2"/>
    </font>
    <font>
      <sz val="3.5"/>
      <name val="Arial"/>
      <family val="0"/>
    </font>
    <font>
      <sz val="3"/>
      <name val="Arial"/>
      <family val="2"/>
    </font>
    <font>
      <i/>
      <sz val="1.25"/>
      <name val="Arial"/>
      <family val="2"/>
    </font>
    <font>
      <b/>
      <u val="single"/>
      <sz val="10"/>
      <name val="Arial"/>
      <family val="2"/>
    </font>
    <font>
      <sz val="10"/>
      <color indexed="47"/>
      <name val="Arial"/>
      <family val="2"/>
    </font>
    <font>
      <u val="single"/>
      <sz val="11"/>
      <name val="Arial"/>
      <family val="2"/>
    </font>
    <font>
      <sz val="10"/>
      <color indexed="8"/>
      <name val="Arial"/>
      <family val="2"/>
    </font>
    <font>
      <sz val="10"/>
      <color indexed="22"/>
      <name val="Arial"/>
      <family val="2"/>
    </font>
    <font>
      <sz val="10"/>
      <name val="OCW Swift"/>
      <family val="0"/>
    </font>
    <font>
      <sz val="10"/>
      <name val="Tahoma"/>
      <family val="2"/>
    </font>
    <font>
      <i/>
      <u val="single"/>
      <sz val="10"/>
      <name val="Arial"/>
      <family val="2"/>
    </font>
    <font>
      <u val="single"/>
      <sz val="11"/>
      <color indexed="12"/>
      <name val="Arial"/>
      <family val="0"/>
    </font>
    <font>
      <u val="single"/>
      <sz val="8"/>
      <name val="Tahoma"/>
      <family val="2"/>
    </font>
    <font>
      <b/>
      <sz val="14"/>
      <color indexed="10"/>
      <name val="Arial"/>
      <family val="2"/>
    </font>
    <font>
      <b/>
      <sz val="8"/>
      <name val="Arial"/>
      <family val="2"/>
    </font>
  </fonts>
  <fills count="7">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47">
    <xf numFmtId="0" fontId="0" fillId="0" borderId="0" xfId="0" applyAlignment="1">
      <alignment/>
    </xf>
    <xf numFmtId="0" fontId="0" fillId="2" borderId="0" xfId="0" applyFont="1" applyFill="1" applyBorder="1" applyAlignment="1" applyProtection="1">
      <alignment/>
      <protection/>
    </xf>
    <xf numFmtId="0" fontId="1" fillId="2" borderId="0" xfId="0" applyFont="1" applyFill="1" applyBorder="1" applyAlignment="1" applyProtection="1">
      <alignment horizontal="left"/>
      <protection/>
    </xf>
    <xf numFmtId="0" fontId="1" fillId="2" borderId="0" xfId="0" applyFont="1" applyFill="1" applyBorder="1" applyAlignment="1" applyProtection="1">
      <alignment/>
      <protection/>
    </xf>
    <xf numFmtId="0" fontId="1" fillId="2" borderId="0" xfId="0" applyFont="1" applyFill="1" applyBorder="1" applyAlignment="1" applyProtection="1">
      <alignment horizontal="center"/>
      <protection/>
    </xf>
    <xf numFmtId="0" fontId="0" fillId="3" borderId="0" xfId="0" applyFill="1" applyBorder="1" applyAlignment="1" applyProtection="1">
      <alignment horizontal="center"/>
      <protection locked="0"/>
    </xf>
    <xf numFmtId="0" fontId="0" fillId="4" borderId="0" xfId="0" applyFont="1" applyFill="1" applyAlignment="1" applyProtection="1">
      <alignment/>
      <protection/>
    </xf>
    <xf numFmtId="0" fontId="0" fillId="4" borderId="0" xfId="0" applyFont="1" applyFill="1" applyBorder="1" applyAlignment="1" applyProtection="1">
      <alignment/>
      <protection/>
    </xf>
    <xf numFmtId="0" fontId="0" fillId="4" borderId="0" xfId="0" applyFont="1" applyFill="1" applyBorder="1" applyAlignment="1" applyProtection="1">
      <alignment horizontal="center"/>
      <protection/>
    </xf>
    <xf numFmtId="0" fontId="0" fillId="4" borderId="1" xfId="0" applyFont="1" applyFill="1" applyBorder="1" applyAlignment="1" applyProtection="1">
      <alignment/>
      <protection/>
    </xf>
    <xf numFmtId="0" fontId="0" fillId="4" borderId="2" xfId="0" applyFont="1" applyFill="1" applyBorder="1" applyAlignment="1" applyProtection="1">
      <alignment/>
      <protection/>
    </xf>
    <xf numFmtId="0" fontId="0" fillId="4" borderId="2" xfId="0" applyFont="1" applyFill="1" applyBorder="1" applyAlignment="1" applyProtection="1">
      <alignment horizontal="center"/>
      <protection/>
    </xf>
    <xf numFmtId="0" fontId="0" fillId="4" borderId="3" xfId="0" applyFont="1" applyFill="1" applyBorder="1" applyAlignment="1" applyProtection="1">
      <alignment/>
      <protection/>
    </xf>
    <xf numFmtId="0" fontId="0" fillId="4" borderId="4" xfId="0" applyFont="1" applyFill="1" applyBorder="1" applyAlignment="1" applyProtection="1">
      <alignment/>
      <protection/>
    </xf>
    <xf numFmtId="0" fontId="0" fillId="4" borderId="5" xfId="0" applyFont="1" applyFill="1" applyBorder="1" applyAlignment="1" applyProtection="1">
      <alignment/>
      <protection/>
    </xf>
    <xf numFmtId="0" fontId="19" fillId="4" borderId="0" xfId="0" applyFont="1" applyFill="1" applyBorder="1" applyAlignment="1" applyProtection="1">
      <alignment/>
      <protection/>
    </xf>
    <xf numFmtId="0" fontId="19" fillId="4" borderId="4" xfId="0" applyFont="1" applyFill="1" applyBorder="1" applyAlignment="1" applyProtection="1">
      <alignment/>
      <protection/>
    </xf>
    <xf numFmtId="0" fontId="8" fillId="4" borderId="0" xfId="0" applyFont="1" applyFill="1" applyBorder="1" applyAlignment="1" applyProtection="1">
      <alignment/>
      <protection/>
    </xf>
    <xf numFmtId="0" fontId="19" fillId="4" borderId="0" xfId="0" applyFont="1" applyFill="1" applyBorder="1" applyAlignment="1" applyProtection="1">
      <alignment horizontal="center"/>
      <protection/>
    </xf>
    <xf numFmtId="0" fontId="8" fillId="4" borderId="0" xfId="0" applyFont="1" applyFill="1" applyBorder="1" applyAlignment="1" applyProtection="1">
      <alignment horizontal="center"/>
      <protection/>
    </xf>
    <xf numFmtId="0" fontId="19" fillId="4" borderId="5" xfId="0" applyFont="1" applyFill="1" applyBorder="1" applyAlignment="1" applyProtection="1">
      <alignment/>
      <protection/>
    </xf>
    <xf numFmtId="0" fontId="10" fillId="5" borderId="0" xfId="0" applyNumberFormat="1" applyFont="1" applyFill="1" applyBorder="1" applyAlignment="1" applyProtection="1">
      <alignment horizontal="center"/>
      <protection/>
    </xf>
    <xf numFmtId="0" fontId="9" fillId="5" borderId="0" xfId="0" applyNumberFormat="1" applyFont="1" applyFill="1" applyBorder="1" applyAlignment="1" applyProtection="1">
      <alignment horizontal="center"/>
      <protection/>
    </xf>
    <xf numFmtId="0" fontId="9" fillId="5" borderId="0" xfId="0" applyFont="1" applyFill="1" applyBorder="1" applyAlignment="1" applyProtection="1">
      <alignment horizontal="center"/>
      <protection/>
    </xf>
    <xf numFmtId="180" fontId="9" fillId="5" borderId="0" xfId="0" applyNumberFormat="1" applyFont="1" applyFill="1" applyBorder="1" applyAlignment="1" applyProtection="1">
      <alignment horizontal="center"/>
      <protection/>
    </xf>
    <xf numFmtId="0" fontId="0" fillId="2" borderId="0" xfId="0" applyFont="1" applyFill="1" applyBorder="1" applyAlignment="1" applyProtection="1">
      <alignment horizontal="center"/>
      <protection/>
    </xf>
    <xf numFmtId="0" fontId="0" fillId="4" borderId="0" xfId="0" applyFont="1" applyFill="1" applyBorder="1" applyAlignment="1" applyProtection="1">
      <alignment horizontal="left"/>
      <protection locked="0"/>
    </xf>
    <xf numFmtId="0" fontId="0" fillId="4" borderId="0" xfId="0" applyFont="1" applyFill="1" applyBorder="1" applyAlignment="1" applyProtection="1">
      <alignment horizontal="center"/>
      <protection locked="0"/>
    </xf>
    <xf numFmtId="182" fontId="0" fillId="4" borderId="0" xfId="0" applyNumberFormat="1" applyFont="1" applyFill="1" applyBorder="1" applyAlignment="1" applyProtection="1">
      <alignment horizontal="center"/>
      <protection locked="0"/>
    </xf>
    <xf numFmtId="182" fontId="0" fillId="5" borderId="0" xfId="0" applyNumberFormat="1" applyFont="1" applyFill="1" applyBorder="1" applyAlignment="1" applyProtection="1">
      <alignment horizontal="center"/>
      <protection/>
    </xf>
    <xf numFmtId="1" fontId="0" fillId="5" borderId="0" xfId="0" applyNumberFormat="1" applyFont="1" applyFill="1" applyBorder="1" applyAlignment="1" applyProtection="1">
      <alignment horizontal="center"/>
      <protection/>
    </xf>
    <xf numFmtId="172" fontId="0" fillId="4" borderId="0" xfId="0" applyNumberFormat="1" applyFont="1" applyFill="1" applyBorder="1" applyAlignment="1" applyProtection="1">
      <alignment horizontal="center"/>
      <protection locked="0"/>
    </xf>
    <xf numFmtId="172" fontId="0" fillId="5" borderId="0" xfId="0" applyNumberFormat="1" applyFont="1" applyFill="1" applyBorder="1" applyAlignment="1" applyProtection="1">
      <alignment horizontal="center"/>
      <protection/>
    </xf>
    <xf numFmtId="2" fontId="0" fillId="5" borderId="0" xfId="0" applyNumberFormat="1" applyFont="1" applyFill="1" applyBorder="1" applyAlignment="1" applyProtection="1">
      <alignment horizontal="center"/>
      <protection/>
    </xf>
    <xf numFmtId="168" fontId="0" fillId="5" borderId="0" xfId="0" applyNumberFormat="1" applyFont="1" applyFill="1" applyBorder="1" applyAlignment="1" applyProtection="1">
      <alignment/>
      <protection/>
    </xf>
    <xf numFmtId="168" fontId="0" fillId="5" borderId="0" xfId="0" applyNumberFormat="1" applyFont="1" applyFill="1" applyBorder="1" applyAlignment="1" applyProtection="1">
      <alignment horizontal="center"/>
      <protection/>
    </xf>
    <xf numFmtId="0" fontId="1" fillId="4" borderId="0" xfId="0" applyFont="1" applyFill="1" applyBorder="1" applyAlignment="1" applyProtection="1">
      <alignment/>
      <protection/>
    </xf>
    <xf numFmtId="0" fontId="1" fillId="4" borderId="4" xfId="0" applyFont="1" applyFill="1" applyBorder="1" applyAlignment="1" applyProtection="1">
      <alignment/>
      <protection/>
    </xf>
    <xf numFmtId="182" fontId="1" fillId="2" borderId="0" xfId="0" applyNumberFormat="1" applyFont="1" applyFill="1" applyBorder="1" applyAlignment="1" applyProtection="1">
      <alignment horizontal="center"/>
      <protection/>
    </xf>
    <xf numFmtId="1" fontId="1" fillId="2" borderId="0" xfId="0" applyNumberFormat="1" applyFont="1" applyFill="1" applyBorder="1" applyAlignment="1" applyProtection="1">
      <alignment horizontal="center"/>
      <protection/>
    </xf>
    <xf numFmtId="172" fontId="1" fillId="2" borderId="0" xfId="0" applyNumberFormat="1" applyFont="1" applyFill="1" applyBorder="1" applyAlignment="1" applyProtection="1">
      <alignment horizontal="center"/>
      <protection/>
    </xf>
    <xf numFmtId="172" fontId="1" fillId="5" borderId="0" xfId="0" applyNumberFormat="1" applyFont="1" applyFill="1" applyBorder="1" applyAlignment="1" applyProtection="1">
      <alignment horizontal="center"/>
      <protection/>
    </xf>
    <xf numFmtId="2" fontId="1" fillId="5" borderId="0" xfId="0" applyNumberFormat="1" applyFont="1" applyFill="1" applyBorder="1" applyAlignment="1" applyProtection="1">
      <alignment horizontal="center"/>
      <protection/>
    </xf>
    <xf numFmtId="168" fontId="1" fillId="5" borderId="0" xfId="0" applyNumberFormat="1" applyFont="1" applyFill="1" applyBorder="1" applyAlignment="1" applyProtection="1">
      <alignment horizontal="center"/>
      <protection/>
    </xf>
    <xf numFmtId="0" fontId="1" fillId="4" borderId="5" xfId="0" applyFont="1" applyFill="1" applyBorder="1" applyAlignment="1" applyProtection="1">
      <alignment/>
      <protection/>
    </xf>
    <xf numFmtId="172" fontId="0" fillId="2" borderId="0" xfId="0" applyNumberFormat="1" applyFont="1" applyFill="1" applyBorder="1" applyAlignment="1" applyProtection="1">
      <alignment horizontal="center"/>
      <protection/>
    </xf>
    <xf numFmtId="172" fontId="0" fillId="4" borderId="0" xfId="0" applyNumberFormat="1" applyFont="1" applyFill="1" applyBorder="1" applyAlignment="1" applyProtection="1">
      <alignment horizontal="center"/>
      <protection/>
    </xf>
    <xf numFmtId="0" fontId="1" fillId="4" borderId="0" xfId="0" applyFont="1" applyFill="1" applyBorder="1" applyAlignment="1" applyProtection="1">
      <alignment horizontal="center"/>
      <protection/>
    </xf>
    <xf numFmtId="0" fontId="0" fillId="4" borderId="6" xfId="0" applyFont="1" applyFill="1" applyBorder="1" applyAlignment="1" applyProtection="1">
      <alignment/>
      <protection/>
    </xf>
    <xf numFmtId="0" fontId="0" fillId="4" borderId="7" xfId="0" applyFont="1" applyFill="1" applyBorder="1" applyAlignment="1" applyProtection="1">
      <alignment/>
      <protection/>
    </xf>
    <xf numFmtId="0" fontId="0" fillId="4" borderId="7" xfId="0" applyFont="1" applyFill="1" applyBorder="1" applyAlignment="1" applyProtection="1">
      <alignment horizontal="center"/>
      <protection/>
    </xf>
    <xf numFmtId="0" fontId="0" fillId="4" borderId="8" xfId="0" applyFont="1" applyFill="1" applyBorder="1" applyAlignment="1" applyProtection="1">
      <alignment/>
      <protection/>
    </xf>
    <xf numFmtId="183" fontId="9" fillId="5" borderId="0" xfId="0" applyNumberFormat="1" applyFont="1" applyFill="1" applyBorder="1" applyAlignment="1" applyProtection="1">
      <alignment horizontal="center"/>
      <protection/>
    </xf>
    <xf numFmtId="0" fontId="0" fillId="4" borderId="0" xfId="0" applyFill="1" applyAlignment="1">
      <alignment/>
    </xf>
    <xf numFmtId="1" fontId="9" fillId="5" borderId="0" xfId="0" applyNumberFormat="1" applyFont="1" applyFill="1" applyBorder="1" applyAlignment="1" applyProtection="1">
      <alignment horizontal="center"/>
      <protection/>
    </xf>
    <xf numFmtId="0" fontId="0" fillId="4" borderId="0" xfId="0" applyFill="1" applyBorder="1" applyAlignment="1" applyProtection="1">
      <alignment horizontal="center"/>
      <protection/>
    </xf>
    <xf numFmtId="0" fontId="0" fillId="4" borderId="0" xfId="0" applyFill="1" applyAlignment="1" applyProtection="1">
      <alignment/>
      <protection/>
    </xf>
    <xf numFmtId="16" fontId="0" fillId="4" borderId="2" xfId="0" applyNumberFormat="1" applyFont="1" applyFill="1" applyBorder="1" applyAlignment="1" applyProtection="1">
      <alignment/>
      <protection/>
    </xf>
    <xf numFmtId="0" fontId="0" fillId="4" borderId="2" xfId="0" applyFill="1" applyBorder="1" applyAlignment="1" applyProtection="1">
      <alignment horizontal="center"/>
      <protection/>
    </xf>
    <xf numFmtId="16" fontId="0" fillId="4" borderId="0" xfId="0" applyNumberFormat="1" applyFont="1" applyFill="1" applyBorder="1" applyAlignment="1" applyProtection="1">
      <alignment/>
      <protection/>
    </xf>
    <xf numFmtId="15" fontId="10" fillId="4" borderId="0" xfId="0" applyNumberFormat="1" applyFont="1" applyFill="1" applyBorder="1" applyAlignment="1" applyProtection="1">
      <alignment horizontal="center"/>
      <protection/>
    </xf>
    <xf numFmtId="0" fontId="0" fillId="4" borderId="4" xfId="0" applyFill="1" applyBorder="1" applyAlignment="1" applyProtection="1">
      <alignment/>
      <protection/>
    </xf>
    <xf numFmtId="0" fontId="0" fillId="4" borderId="0" xfId="0" applyFill="1" applyBorder="1" applyAlignment="1" applyProtection="1">
      <alignment/>
      <protection/>
    </xf>
    <xf numFmtId="0" fontId="7" fillId="4" borderId="0" xfId="0" applyFont="1" applyFill="1" applyBorder="1" applyAlignment="1" applyProtection="1">
      <alignment/>
      <protection/>
    </xf>
    <xf numFmtId="175" fontId="1" fillId="4" borderId="0" xfId="0" applyNumberFormat="1" applyFont="1" applyFill="1" applyBorder="1" applyAlignment="1" applyProtection="1">
      <alignment horizontal="right"/>
      <protection/>
    </xf>
    <xf numFmtId="0" fontId="0" fillId="4" borderId="0" xfId="0" applyNumberFormat="1" applyFont="1" applyFill="1" applyBorder="1" applyAlignment="1" applyProtection="1">
      <alignment horizontal="justify" vertical="top" wrapText="1"/>
      <protection/>
    </xf>
    <xf numFmtId="0" fontId="0" fillId="4" borderId="9" xfId="0" applyFont="1" applyFill="1" applyBorder="1" applyAlignment="1" applyProtection="1">
      <alignment/>
      <protection locked="0"/>
    </xf>
    <xf numFmtId="0" fontId="0" fillId="4" borderId="0" xfId="0" applyFont="1" applyFill="1" applyBorder="1" applyAlignment="1" applyProtection="1">
      <alignment horizontal="right"/>
      <protection/>
    </xf>
    <xf numFmtId="0" fontId="0" fillId="4" borderId="0" xfId="0" applyFill="1" applyBorder="1" applyAlignment="1" applyProtection="1">
      <alignment horizontal="center"/>
      <protection locked="0"/>
    </xf>
    <xf numFmtId="175" fontId="0" fillId="4" borderId="0" xfId="0" applyNumberFormat="1" applyFont="1" applyFill="1" applyBorder="1" applyAlignment="1" applyProtection="1">
      <alignment horizontal="right"/>
      <protection/>
    </xf>
    <xf numFmtId="0" fontId="0" fillId="4" borderId="6" xfId="0" applyFill="1" applyBorder="1" applyAlignment="1" applyProtection="1">
      <alignment/>
      <protection/>
    </xf>
    <xf numFmtId="0" fontId="0" fillId="4" borderId="7" xfId="0" applyFill="1" applyBorder="1" applyAlignment="1" applyProtection="1">
      <alignment/>
      <protection/>
    </xf>
    <xf numFmtId="0" fontId="1" fillId="4" borderId="7" xfId="0" applyFont="1" applyFill="1" applyBorder="1" applyAlignment="1" applyProtection="1">
      <alignment/>
      <protection/>
    </xf>
    <xf numFmtId="175" fontId="1" fillId="4" borderId="7" xfId="0" applyNumberFormat="1" applyFont="1" applyFill="1" applyBorder="1" applyAlignment="1" applyProtection="1">
      <alignment horizontal="right"/>
      <protection/>
    </xf>
    <xf numFmtId="175" fontId="0" fillId="4" borderId="7" xfId="0" applyNumberFormat="1" applyFont="1" applyFill="1" applyBorder="1" applyAlignment="1" applyProtection="1">
      <alignment horizontal="right"/>
      <protection/>
    </xf>
    <xf numFmtId="0" fontId="0" fillId="4" borderId="7" xfId="0" applyFill="1" applyBorder="1" applyAlignment="1" applyProtection="1">
      <alignment horizontal="center"/>
      <protection/>
    </xf>
    <xf numFmtId="0" fontId="0" fillId="4" borderId="1" xfId="0" applyFill="1" applyBorder="1" applyAlignment="1" applyProtection="1">
      <alignment/>
      <protection/>
    </xf>
    <xf numFmtId="0" fontId="0" fillId="4" borderId="2" xfId="0" applyFill="1" applyBorder="1" applyAlignment="1" applyProtection="1">
      <alignment/>
      <protection/>
    </xf>
    <xf numFmtId="0" fontId="1" fillId="4" borderId="2" xfId="0" applyFont="1" applyFill="1" applyBorder="1" applyAlignment="1" applyProtection="1">
      <alignment/>
      <protection/>
    </xf>
    <xf numFmtId="175" fontId="1" fillId="4" borderId="2" xfId="0" applyNumberFormat="1" applyFont="1" applyFill="1" applyBorder="1" applyAlignment="1" applyProtection="1">
      <alignment horizontal="right"/>
      <protection/>
    </xf>
    <xf numFmtId="175" fontId="0" fillId="4" borderId="2" xfId="0" applyNumberFormat="1" applyFont="1" applyFill="1" applyBorder="1" applyAlignment="1" applyProtection="1">
      <alignment horizontal="right"/>
      <protection/>
    </xf>
    <xf numFmtId="15" fontId="1" fillId="4" borderId="0" xfId="0" applyNumberFormat="1" applyFont="1" applyFill="1" applyBorder="1" applyAlignment="1" applyProtection="1">
      <alignment/>
      <protection/>
    </xf>
    <xf numFmtId="16" fontId="0" fillId="2" borderId="0" xfId="0" applyNumberFormat="1" applyFont="1" applyFill="1" applyBorder="1" applyAlignment="1" applyProtection="1">
      <alignment/>
      <protection/>
    </xf>
    <xf numFmtId="0" fontId="0" fillId="2" borderId="0" xfId="0" applyFill="1" applyBorder="1" applyAlignment="1" applyProtection="1">
      <alignment horizontal="center"/>
      <protection/>
    </xf>
    <xf numFmtId="0" fontId="1" fillId="2" borderId="0" xfId="0" applyFont="1" applyFill="1" applyBorder="1" applyAlignment="1" applyProtection="1">
      <alignment horizontal="right"/>
      <protection/>
    </xf>
    <xf numFmtId="0" fontId="0" fillId="2" borderId="0" xfId="0" applyFill="1" applyBorder="1" applyAlignment="1" applyProtection="1">
      <alignment/>
      <protection/>
    </xf>
    <xf numFmtId="0" fontId="7" fillId="2" borderId="0" xfId="0" applyFont="1" applyFill="1" applyBorder="1" applyAlignment="1" applyProtection="1">
      <alignment/>
      <protection/>
    </xf>
    <xf numFmtId="175" fontId="1" fillId="2" borderId="0" xfId="0" applyNumberFormat="1" applyFont="1" applyFill="1" applyBorder="1" applyAlignment="1" applyProtection="1">
      <alignment horizontal="right"/>
      <protection/>
    </xf>
    <xf numFmtId="0" fontId="10" fillId="4" borderId="0" xfId="0" applyFont="1" applyFill="1" applyBorder="1" applyAlignment="1" applyProtection="1">
      <alignment horizontal="center"/>
      <protection/>
    </xf>
    <xf numFmtId="0" fontId="10" fillId="5" borderId="0" xfId="0" applyFont="1" applyFill="1" applyBorder="1" applyAlignment="1" applyProtection="1">
      <alignment horizontal="center"/>
      <protection/>
    </xf>
    <xf numFmtId="15" fontId="10" fillId="5" borderId="0" xfId="0" applyNumberFormat="1" applyFont="1" applyFill="1" applyBorder="1" applyAlignment="1" applyProtection="1">
      <alignment horizontal="center"/>
      <protection/>
    </xf>
    <xf numFmtId="0" fontId="0" fillId="2" borderId="0" xfId="0" applyFont="1" applyFill="1" applyBorder="1" applyAlignment="1" applyProtection="1">
      <alignment horizontal="left"/>
      <protection/>
    </xf>
    <xf numFmtId="175" fontId="0" fillId="2" borderId="0" xfId="0" applyNumberFormat="1" applyFont="1" applyFill="1" applyBorder="1" applyAlignment="1" applyProtection="1">
      <alignment horizontal="left"/>
      <protection/>
    </xf>
    <xf numFmtId="15" fontId="0" fillId="2" borderId="0" xfId="0" applyNumberFormat="1" applyFont="1" applyFill="1" applyBorder="1" applyAlignment="1" applyProtection="1">
      <alignment horizontal="left"/>
      <protection/>
    </xf>
    <xf numFmtId="0" fontId="9" fillId="2" borderId="0" xfId="0" applyFont="1" applyFill="1" applyBorder="1" applyAlignment="1" applyProtection="1">
      <alignment/>
      <protection/>
    </xf>
    <xf numFmtId="0" fontId="0" fillId="2" borderId="0" xfId="0" applyFont="1" applyFill="1" applyBorder="1" applyAlignment="1" applyProtection="1">
      <alignment horizontal="right"/>
      <protection/>
    </xf>
    <xf numFmtId="0" fontId="2" fillId="2" borderId="0" xfId="0" applyFont="1" applyFill="1" applyBorder="1" applyAlignment="1" applyProtection="1">
      <alignment/>
      <protection/>
    </xf>
    <xf numFmtId="175" fontId="0" fillId="2" borderId="0" xfId="0" applyNumberFormat="1" applyFont="1" applyFill="1" applyBorder="1" applyAlignment="1" applyProtection="1">
      <alignment horizontal="right"/>
      <protection/>
    </xf>
    <xf numFmtId="15" fontId="1" fillId="2" borderId="0" xfId="0" applyNumberFormat="1" applyFont="1" applyFill="1" applyBorder="1" applyAlignment="1" applyProtection="1">
      <alignment horizontal="center"/>
      <protection/>
    </xf>
    <xf numFmtId="0" fontId="0" fillId="4" borderId="0" xfId="0" applyFont="1" applyFill="1" applyBorder="1" applyAlignment="1" applyProtection="1">
      <alignment horizontal="left"/>
      <protection/>
    </xf>
    <xf numFmtId="175" fontId="0" fillId="5" borderId="9" xfId="0" applyNumberFormat="1" applyFont="1" applyFill="1" applyBorder="1" applyAlignment="1" applyProtection="1">
      <alignment/>
      <protection/>
    </xf>
    <xf numFmtId="0" fontId="0" fillId="5" borderId="9" xfId="0" applyFont="1" applyFill="1" applyBorder="1" applyAlignment="1" applyProtection="1">
      <alignment/>
      <protection/>
    </xf>
    <xf numFmtId="0" fontId="0" fillId="5" borderId="0" xfId="0" applyFont="1" applyFill="1" applyBorder="1" applyAlignment="1" applyProtection="1">
      <alignment/>
      <protection/>
    </xf>
    <xf numFmtId="175" fontId="1" fillId="4" borderId="0" xfId="0" applyNumberFormat="1" applyFont="1" applyFill="1" applyBorder="1" applyAlignment="1" applyProtection="1">
      <alignment horizontal="center"/>
      <protection/>
    </xf>
    <xf numFmtId="0" fontId="1" fillId="4" borderId="0" xfId="0" applyFont="1" applyFill="1" applyBorder="1" applyAlignment="1" applyProtection="1">
      <alignment horizontal="left"/>
      <protection/>
    </xf>
    <xf numFmtId="0" fontId="0" fillId="4" borderId="0" xfId="0" applyFont="1" applyFill="1" applyAlignment="1" applyProtection="1">
      <alignment/>
      <protection/>
    </xf>
    <xf numFmtId="0" fontId="0" fillId="2" borderId="0" xfId="0" applyFont="1" applyFill="1" applyBorder="1" applyAlignment="1" applyProtection="1">
      <alignment horizontal="center"/>
      <protection/>
    </xf>
    <xf numFmtId="2" fontId="0" fillId="2" borderId="0" xfId="0" applyNumberFormat="1" applyFill="1" applyBorder="1" applyAlignment="1" applyProtection="1">
      <alignment/>
      <protection/>
    </xf>
    <xf numFmtId="2" fontId="0" fillId="5" borderId="0" xfId="0" applyNumberFormat="1" applyFill="1" applyBorder="1" applyAlignment="1" applyProtection="1">
      <alignment horizontal="center"/>
      <protection/>
    </xf>
    <xf numFmtId="0" fontId="10" fillId="4" borderId="0" xfId="0" applyFont="1" applyFill="1" applyBorder="1" applyAlignment="1" applyProtection="1">
      <alignment/>
      <protection/>
    </xf>
    <xf numFmtId="170" fontId="1" fillId="4" borderId="0" xfId="0" applyNumberFormat="1" applyFont="1" applyFill="1" applyBorder="1" applyAlignment="1" applyProtection="1">
      <alignment/>
      <protection/>
    </xf>
    <xf numFmtId="0" fontId="9" fillId="4" borderId="0" xfId="0" applyFont="1" applyFill="1" applyAlignment="1" applyProtection="1">
      <alignment/>
      <protection/>
    </xf>
    <xf numFmtId="168" fontId="1" fillId="4" borderId="0" xfId="0" applyNumberFormat="1" applyFont="1" applyFill="1" applyBorder="1" applyAlignment="1" applyProtection="1">
      <alignment/>
      <protection/>
    </xf>
    <xf numFmtId="168" fontId="0" fillId="4" borderId="0" xfId="0" applyNumberFormat="1" applyFont="1" applyFill="1" applyAlignment="1" applyProtection="1">
      <alignment/>
      <protection/>
    </xf>
    <xf numFmtId="0" fontId="8" fillId="4" borderId="0" xfId="0" applyFont="1" applyFill="1" applyAlignment="1" applyProtection="1">
      <alignment/>
      <protection/>
    </xf>
    <xf numFmtId="0" fontId="3" fillId="4" borderId="0" xfId="0" applyFont="1" applyFill="1" applyAlignment="1">
      <alignment wrapText="1"/>
    </xf>
    <xf numFmtId="0" fontId="14" fillId="4" borderId="0" xfId="0" applyFont="1" applyFill="1" applyAlignment="1">
      <alignment wrapText="1"/>
    </xf>
    <xf numFmtId="0" fontId="17" fillId="4" borderId="0" xfId="0" applyFont="1" applyFill="1" applyAlignment="1">
      <alignment wrapText="1"/>
    </xf>
    <xf numFmtId="0" fontId="18" fillId="4" borderId="0" xfId="0" applyFont="1" applyFill="1" applyAlignment="1">
      <alignment horizontal="center" wrapText="1"/>
    </xf>
    <xf numFmtId="0" fontId="13" fillId="4" borderId="0" xfId="17" applyFill="1" applyAlignment="1">
      <alignment wrapText="1"/>
    </xf>
    <xf numFmtId="0" fontId="0" fillId="4" borderId="0" xfId="0" applyFill="1" applyAlignment="1">
      <alignment wrapText="1"/>
    </xf>
    <xf numFmtId="0" fontId="15" fillId="4" borderId="0" xfId="0" applyFont="1" applyFill="1" applyAlignment="1">
      <alignment horizontal="left" wrapText="1"/>
    </xf>
    <xf numFmtId="0" fontId="1" fillId="4" borderId="0" xfId="0" applyFont="1" applyFill="1" applyBorder="1" applyAlignment="1" applyProtection="1">
      <alignment horizontal="right"/>
      <protection/>
    </xf>
    <xf numFmtId="0" fontId="8" fillId="4" borderId="0" xfId="0" applyFont="1" applyFill="1" applyBorder="1" applyAlignment="1" applyProtection="1">
      <alignment horizontal="left"/>
      <protection/>
    </xf>
    <xf numFmtId="176" fontId="0" fillId="4" borderId="0" xfId="0" applyNumberFormat="1" applyFont="1" applyFill="1" applyBorder="1" applyAlignment="1" applyProtection="1">
      <alignment/>
      <protection/>
    </xf>
    <xf numFmtId="0" fontId="9" fillId="4" borderId="0" xfId="0" applyFont="1" applyFill="1" applyBorder="1" applyAlignment="1" applyProtection="1">
      <alignment horizontal="left"/>
      <protection/>
    </xf>
    <xf numFmtId="172" fontId="0" fillId="4" borderId="0" xfId="0" applyNumberFormat="1" applyFont="1" applyFill="1" applyBorder="1" applyAlignment="1" applyProtection="1">
      <alignment/>
      <protection/>
    </xf>
    <xf numFmtId="0" fontId="9" fillId="4" borderId="0" xfId="0" applyFont="1" applyFill="1" applyBorder="1" applyAlignment="1" applyProtection="1">
      <alignment/>
      <protection/>
    </xf>
    <xf numFmtId="0" fontId="9" fillId="4" borderId="0" xfId="0" applyFont="1" applyFill="1" applyBorder="1" applyAlignment="1" applyProtection="1">
      <alignment horizontal="right"/>
      <protection/>
    </xf>
    <xf numFmtId="175" fontId="0" fillId="4" borderId="0" xfId="0" applyNumberFormat="1" applyFont="1" applyFill="1" applyBorder="1" applyAlignment="1" applyProtection="1">
      <alignment horizontal="left"/>
      <protection/>
    </xf>
    <xf numFmtId="170" fontId="0" fillId="4" borderId="0" xfId="0" applyNumberFormat="1" applyFont="1" applyFill="1" applyBorder="1" applyAlignment="1" applyProtection="1">
      <alignment/>
      <protection/>
    </xf>
    <xf numFmtId="0" fontId="10" fillId="4" borderId="0" xfId="0" applyFont="1" applyFill="1" applyBorder="1" applyAlignment="1" applyProtection="1">
      <alignment horizontal="left"/>
      <protection/>
    </xf>
    <xf numFmtId="10" fontId="0" fillId="4" borderId="0" xfId="0" applyNumberFormat="1" applyFont="1" applyFill="1" applyBorder="1" applyAlignment="1" applyProtection="1">
      <alignment/>
      <protection/>
    </xf>
    <xf numFmtId="176" fontId="1" fillId="4" borderId="0" xfId="0" applyNumberFormat="1" applyFont="1" applyFill="1" applyBorder="1" applyAlignment="1" applyProtection="1">
      <alignment/>
      <protection/>
    </xf>
    <xf numFmtId="168" fontId="0" fillId="4" borderId="0" xfId="0" applyNumberFormat="1" applyFont="1" applyFill="1" applyBorder="1" applyAlignment="1" applyProtection="1">
      <alignment/>
      <protection/>
    </xf>
    <xf numFmtId="176" fontId="10" fillId="4" borderId="0" xfId="0" applyNumberFormat="1" applyFont="1" applyFill="1" applyBorder="1" applyAlignment="1" applyProtection="1">
      <alignment/>
      <protection/>
    </xf>
    <xf numFmtId="0" fontId="0" fillId="4" borderId="0" xfId="0" applyFont="1" applyFill="1" applyBorder="1" applyAlignment="1" applyProtection="1">
      <alignment/>
      <protection locked="0"/>
    </xf>
    <xf numFmtId="170" fontId="10" fillId="4" borderId="0" xfId="0" applyNumberFormat="1" applyFont="1" applyFill="1" applyBorder="1" applyAlignment="1" applyProtection="1">
      <alignment horizontal="center"/>
      <protection/>
    </xf>
    <xf numFmtId="168" fontId="0" fillId="4" borderId="0" xfId="21" applyNumberFormat="1" applyFont="1" applyFill="1" applyBorder="1" applyAlignment="1" applyProtection="1">
      <alignment/>
      <protection locked="0"/>
    </xf>
    <xf numFmtId="168" fontId="0" fillId="4" borderId="0" xfId="0" applyNumberFormat="1" applyFont="1" applyFill="1" applyBorder="1" applyAlignment="1" applyProtection="1">
      <alignment horizontal="left"/>
      <protection locked="0"/>
    </xf>
    <xf numFmtId="168" fontId="0" fillId="4" borderId="0" xfId="21" applyNumberFormat="1" applyFont="1" applyFill="1" applyBorder="1" applyAlignment="1" applyProtection="1">
      <alignment/>
      <protection/>
    </xf>
    <xf numFmtId="168" fontId="1" fillId="4" borderId="0" xfId="0" applyNumberFormat="1" applyFont="1" applyFill="1" applyBorder="1" applyAlignment="1" applyProtection="1">
      <alignment horizontal="center"/>
      <protection/>
    </xf>
    <xf numFmtId="176" fontId="1" fillId="4" borderId="0" xfId="0" applyNumberFormat="1" applyFont="1" applyFill="1" applyBorder="1" applyAlignment="1" applyProtection="1">
      <alignment horizontal="center"/>
      <protection/>
    </xf>
    <xf numFmtId="0" fontId="0" fillId="4" borderId="0" xfId="0" applyFont="1" applyFill="1" applyAlignment="1" applyProtection="1">
      <alignment horizontal="center"/>
      <protection/>
    </xf>
    <xf numFmtId="176" fontId="0" fillId="4" borderId="0" xfId="0" applyNumberFormat="1" applyFont="1" applyFill="1" applyBorder="1" applyAlignment="1" applyProtection="1">
      <alignment horizontal="center"/>
      <protection/>
    </xf>
    <xf numFmtId="0" fontId="10" fillId="4" borderId="0" xfId="0" applyFont="1" applyFill="1" applyBorder="1" applyAlignment="1" applyProtection="1">
      <alignment horizontal="right"/>
      <protection/>
    </xf>
    <xf numFmtId="176" fontId="10" fillId="4" borderId="0" xfId="0" applyNumberFormat="1" applyFont="1" applyFill="1" applyBorder="1" applyAlignment="1" applyProtection="1">
      <alignment horizontal="center"/>
      <protection/>
    </xf>
    <xf numFmtId="4" fontId="0" fillId="4" borderId="0" xfId="0" applyNumberFormat="1" applyFont="1" applyFill="1" applyBorder="1" applyAlignment="1" applyProtection="1">
      <alignment/>
      <protection/>
    </xf>
    <xf numFmtId="3" fontId="0" fillId="4" borderId="0" xfId="0" applyNumberFormat="1" applyFont="1" applyFill="1" applyBorder="1" applyAlignment="1" applyProtection="1">
      <alignment/>
      <protection/>
    </xf>
    <xf numFmtId="176" fontId="0" fillId="2" borderId="0" xfId="0" applyNumberFormat="1" applyFont="1" applyFill="1" applyBorder="1" applyAlignment="1" applyProtection="1">
      <alignment horizontal="center"/>
      <protection/>
    </xf>
    <xf numFmtId="0" fontId="9" fillId="2" borderId="0" xfId="0" applyFont="1" applyFill="1" applyBorder="1" applyAlignment="1" applyProtection="1">
      <alignment horizontal="left"/>
      <protection/>
    </xf>
    <xf numFmtId="0" fontId="9" fillId="2" borderId="0" xfId="0" applyFont="1" applyFill="1" applyBorder="1" applyAlignment="1" applyProtection="1">
      <alignment horizontal="right"/>
      <protection/>
    </xf>
    <xf numFmtId="170" fontId="0" fillId="2" borderId="0" xfId="0" applyNumberFormat="1" applyFont="1" applyFill="1" applyBorder="1" applyAlignment="1" applyProtection="1">
      <alignment/>
      <protection/>
    </xf>
    <xf numFmtId="0" fontId="10" fillId="2" borderId="0" xfId="0" applyFont="1" applyFill="1" applyBorder="1" applyAlignment="1" applyProtection="1">
      <alignment horizontal="left"/>
      <protection/>
    </xf>
    <xf numFmtId="10" fontId="0" fillId="2" borderId="0" xfId="0" applyNumberFormat="1" applyFont="1" applyFill="1" applyBorder="1" applyAlignment="1" applyProtection="1">
      <alignment/>
      <protection/>
    </xf>
    <xf numFmtId="176" fontId="1" fillId="2" borderId="0" xfId="0" applyNumberFormat="1" applyFont="1" applyFill="1" applyBorder="1" applyAlignment="1" applyProtection="1">
      <alignment horizontal="center"/>
      <protection/>
    </xf>
    <xf numFmtId="10" fontId="0" fillId="5" borderId="0" xfId="0" applyNumberFormat="1" applyFont="1" applyFill="1" applyBorder="1" applyAlignment="1" applyProtection="1">
      <alignment horizontal="center"/>
      <protection/>
    </xf>
    <xf numFmtId="4" fontId="0" fillId="2" borderId="0" xfId="0" applyNumberFormat="1" applyFill="1" applyBorder="1" applyAlignment="1" applyProtection="1">
      <alignment/>
      <protection/>
    </xf>
    <xf numFmtId="168" fontId="0" fillId="2" borderId="0" xfId="0" applyNumberFormat="1" applyFont="1" applyFill="1" applyBorder="1" applyAlignment="1" applyProtection="1">
      <alignment/>
      <protection/>
    </xf>
    <xf numFmtId="0" fontId="10" fillId="2" borderId="0" xfId="0" applyFont="1" applyFill="1" applyBorder="1" applyAlignment="1" applyProtection="1">
      <alignment/>
      <protection/>
    </xf>
    <xf numFmtId="170" fontId="1" fillId="2" borderId="0" xfId="0" applyNumberFormat="1" applyFont="1" applyFill="1" applyBorder="1" applyAlignment="1" applyProtection="1">
      <alignment/>
      <protection/>
    </xf>
    <xf numFmtId="176" fontId="1" fillId="2" borderId="0" xfId="0" applyNumberFormat="1" applyFont="1" applyFill="1" applyBorder="1" applyAlignment="1" applyProtection="1">
      <alignment/>
      <protection/>
    </xf>
    <xf numFmtId="0" fontId="10" fillId="2" borderId="0" xfId="0" applyFont="1" applyFill="1" applyBorder="1" applyAlignment="1" applyProtection="1">
      <alignment horizontal="center"/>
      <protection/>
    </xf>
    <xf numFmtId="168" fontId="1" fillId="2" borderId="0" xfId="0" applyNumberFormat="1" applyFont="1" applyFill="1" applyBorder="1" applyAlignment="1" applyProtection="1">
      <alignment horizontal="center"/>
      <protection/>
    </xf>
    <xf numFmtId="176" fontId="1" fillId="5" borderId="0" xfId="0" applyNumberFormat="1" applyFont="1" applyFill="1" applyBorder="1" applyAlignment="1" applyProtection="1">
      <alignment/>
      <protection/>
    </xf>
    <xf numFmtId="176" fontId="1" fillId="5" borderId="0" xfId="0" applyNumberFormat="1" applyFont="1" applyFill="1" applyBorder="1" applyAlignment="1" applyProtection="1">
      <alignment horizontal="center"/>
      <protection/>
    </xf>
    <xf numFmtId="0" fontId="1" fillId="4" borderId="2" xfId="0" applyFont="1" applyFill="1" applyBorder="1" applyAlignment="1" applyProtection="1">
      <alignment horizontal="right"/>
      <protection/>
    </xf>
    <xf numFmtId="175" fontId="0" fillId="4" borderId="7" xfId="0" applyNumberFormat="1" applyFont="1" applyFill="1" applyBorder="1" applyAlignment="1" applyProtection="1">
      <alignment horizontal="left"/>
      <protection/>
    </xf>
    <xf numFmtId="175" fontId="0" fillId="4" borderId="2" xfId="0" applyNumberFormat="1" applyFont="1" applyFill="1" applyBorder="1" applyAlignment="1" applyProtection="1">
      <alignment horizontal="left"/>
      <protection/>
    </xf>
    <xf numFmtId="0" fontId="1" fillId="4" borderId="7" xfId="0" applyFont="1" applyFill="1" applyBorder="1" applyAlignment="1" applyProtection="1">
      <alignment horizontal="right"/>
      <protection/>
    </xf>
    <xf numFmtId="168" fontId="1" fillId="2" borderId="0" xfId="0" applyNumberFormat="1" applyFont="1" applyFill="1" applyBorder="1" applyAlignment="1" applyProtection="1">
      <alignment/>
      <protection/>
    </xf>
    <xf numFmtId="168" fontId="9" fillId="5" borderId="0" xfId="0" applyNumberFormat="1" applyFont="1" applyFill="1" applyBorder="1" applyAlignment="1" applyProtection="1">
      <alignment horizontal="center"/>
      <protection/>
    </xf>
    <xf numFmtId="168" fontId="0" fillId="4" borderId="7" xfId="0" applyNumberFormat="1" applyFont="1" applyFill="1" applyBorder="1" applyAlignment="1" applyProtection="1">
      <alignment/>
      <protection/>
    </xf>
    <xf numFmtId="168" fontId="0" fillId="4" borderId="2" xfId="0" applyNumberFormat="1" applyFont="1" applyFill="1" applyBorder="1" applyAlignment="1" applyProtection="1">
      <alignment/>
      <protection/>
    </xf>
    <xf numFmtId="168" fontId="10" fillId="5" borderId="0" xfId="0" applyNumberFormat="1" applyFont="1" applyFill="1" applyBorder="1" applyAlignment="1" applyProtection="1">
      <alignment horizontal="center"/>
      <protection/>
    </xf>
    <xf numFmtId="168" fontId="0" fillId="4" borderId="0" xfId="0" applyNumberFormat="1" applyFont="1" applyFill="1" applyBorder="1" applyAlignment="1" applyProtection="1">
      <alignment/>
      <protection locked="0"/>
    </xf>
    <xf numFmtId="168" fontId="0" fillId="4" borderId="0" xfId="0" applyNumberFormat="1" applyFont="1" applyFill="1" applyBorder="1" applyAlignment="1" applyProtection="1">
      <alignment horizontal="center"/>
      <protection locked="0"/>
    </xf>
    <xf numFmtId="168" fontId="1" fillId="5" borderId="0" xfId="0" applyNumberFormat="1" applyFont="1" applyFill="1" applyBorder="1" applyAlignment="1" applyProtection="1">
      <alignment/>
      <protection/>
    </xf>
    <xf numFmtId="168" fontId="10" fillId="5" borderId="0" xfId="0" applyNumberFormat="1" applyFont="1" applyFill="1" applyBorder="1" applyAlignment="1" applyProtection="1">
      <alignment/>
      <protection/>
    </xf>
    <xf numFmtId="168" fontId="10" fillId="2" borderId="0" xfId="0" applyNumberFormat="1" applyFont="1" applyFill="1" applyBorder="1" applyAlignment="1" applyProtection="1">
      <alignment horizontal="center"/>
      <protection/>
    </xf>
    <xf numFmtId="168" fontId="0" fillId="4" borderId="0" xfId="0" applyNumberFormat="1" applyFont="1" applyFill="1" applyBorder="1" applyAlignment="1" applyProtection="1">
      <alignment horizontal="center"/>
      <protection/>
    </xf>
    <xf numFmtId="168" fontId="0" fillId="2" borderId="0" xfId="0" applyNumberFormat="1" applyFont="1" applyFill="1" applyBorder="1" applyAlignment="1" applyProtection="1">
      <alignment horizontal="center"/>
      <protection/>
    </xf>
    <xf numFmtId="2" fontId="0" fillId="2" borderId="0" xfId="0" applyNumberFormat="1" applyFont="1" applyFill="1" applyBorder="1" applyAlignment="1" applyProtection="1">
      <alignment horizontal="center"/>
      <protection/>
    </xf>
    <xf numFmtId="2" fontId="0" fillId="2" borderId="0" xfId="0" applyNumberFormat="1" applyFill="1" applyBorder="1" applyAlignment="1" applyProtection="1">
      <alignment horizontal="center"/>
      <protection/>
    </xf>
    <xf numFmtId="2" fontId="10" fillId="2" borderId="0" xfId="0" applyNumberFormat="1" applyFont="1" applyFill="1" applyBorder="1" applyAlignment="1" applyProtection="1">
      <alignment horizontal="center"/>
      <protection/>
    </xf>
    <xf numFmtId="2" fontId="10" fillId="4" borderId="0" xfId="0" applyNumberFormat="1" applyFont="1" applyFill="1" applyBorder="1" applyAlignment="1" applyProtection="1">
      <alignment horizontal="center"/>
      <protection/>
    </xf>
    <xf numFmtId="2" fontId="0" fillId="2" borderId="0" xfId="0" applyNumberFormat="1" applyFont="1" applyFill="1" applyBorder="1" applyAlignment="1" applyProtection="1">
      <alignment/>
      <protection/>
    </xf>
    <xf numFmtId="2" fontId="9" fillId="2" borderId="0" xfId="0" applyNumberFormat="1" applyFont="1" applyFill="1" applyBorder="1" applyAlignment="1" applyProtection="1">
      <alignment horizontal="center"/>
      <protection/>
    </xf>
    <xf numFmtId="2" fontId="10" fillId="4" borderId="7" xfId="0" applyNumberFormat="1" applyFont="1" applyFill="1" applyBorder="1" applyAlignment="1" applyProtection="1">
      <alignment horizontal="center"/>
      <protection/>
    </xf>
    <xf numFmtId="2" fontId="10" fillId="4" borderId="2" xfId="0" applyNumberFormat="1" applyFont="1" applyFill="1" applyBorder="1" applyAlignment="1" applyProtection="1">
      <alignment horizontal="center"/>
      <protection/>
    </xf>
    <xf numFmtId="2" fontId="10" fillId="5" borderId="0" xfId="0" applyNumberFormat="1" applyFont="1" applyFill="1" applyBorder="1" applyAlignment="1" applyProtection="1">
      <alignment horizontal="center"/>
      <protection/>
    </xf>
    <xf numFmtId="2" fontId="1" fillId="2" borderId="0" xfId="0" applyNumberFormat="1" applyFont="1" applyFill="1" applyBorder="1" applyAlignment="1" applyProtection="1">
      <alignment horizontal="center"/>
      <protection/>
    </xf>
    <xf numFmtId="2" fontId="0" fillId="4" borderId="0" xfId="0" applyNumberFormat="1" applyFont="1" applyFill="1" applyBorder="1" applyAlignment="1" applyProtection="1">
      <alignment horizontal="center"/>
      <protection/>
    </xf>
    <xf numFmtId="2" fontId="1" fillId="4" borderId="0" xfId="0" applyNumberFormat="1" applyFont="1" applyFill="1" applyBorder="1" applyAlignment="1" applyProtection="1">
      <alignment horizontal="center"/>
      <protection/>
    </xf>
    <xf numFmtId="0" fontId="9" fillId="4" borderId="4" xfId="0" applyFont="1" applyFill="1" applyBorder="1" applyAlignment="1" applyProtection="1">
      <alignment/>
      <protection/>
    </xf>
    <xf numFmtId="168" fontId="9" fillId="5" borderId="0" xfId="0" applyNumberFormat="1" applyFont="1" applyFill="1" applyBorder="1" applyAlignment="1" applyProtection="1">
      <alignment/>
      <protection/>
    </xf>
    <xf numFmtId="0" fontId="9" fillId="4" borderId="5" xfId="0" applyFont="1" applyFill="1" applyBorder="1" applyAlignment="1" applyProtection="1">
      <alignment/>
      <protection/>
    </xf>
    <xf numFmtId="0" fontId="10" fillId="4" borderId="4" xfId="0" applyFont="1" applyFill="1" applyBorder="1" applyAlignment="1" applyProtection="1">
      <alignment/>
      <protection/>
    </xf>
    <xf numFmtId="0" fontId="10" fillId="4" borderId="5" xfId="0" applyFont="1" applyFill="1" applyBorder="1" applyAlignment="1" applyProtection="1">
      <alignment/>
      <protection/>
    </xf>
    <xf numFmtId="168" fontId="0" fillId="3" borderId="0" xfId="0" applyNumberFormat="1" applyFont="1" applyFill="1" applyBorder="1" applyAlignment="1" applyProtection="1">
      <alignment horizontal="center"/>
      <protection locked="0"/>
    </xf>
    <xf numFmtId="0" fontId="0" fillId="4" borderId="0" xfId="0" applyFont="1" applyFill="1" applyAlignment="1" applyProtection="1">
      <alignment horizontal="left"/>
      <protection/>
    </xf>
    <xf numFmtId="0" fontId="19" fillId="4" borderId="0" xfId="0" applyFont="1" applyFill="1" applyAlignment="1" applyProtection="1">
      <alignment/>
      <protection/>
    </xf>
    <xf numFmtId="168" fontId="0" fillId="4" borderId="0" xfId="0" applyNumberFormat="1" applyFont="1" applyFill="1" applyAlignment="1" applyProtection="1">
      <alignment horizontal="left"/>
      <protection/>
    </xf>
    <xf numFmtId="168" fontId="1" fillId="4" borderId="0" xfId="0" applyNumberFormat="1" applyFont="1" applyFill="1" applyBorder="1" applyAlignment="1" applyProtection="1">
      <alignment horizontal="left"/>
      <protection/>
    </xf>
    <xf numFmtId="168" fontId="0" fillId="5" borderId="0" xfId="0" applyNumberFormat="1" applyFont="1" applyFill="1" applyBorder="1" applyAlignment="1" applyProtection="1">
      <alignment horizontal="left"/>
      <protection/>
    </xf>
    <xf numFmtId="168" fontId="1" fillId="5" borderId="0" xfId="0" applyNumberFormat="1" applyFont="1" applyFill="1" applyBorder="1" applyAlignment="1" applyProtection="1">
      <alignment horizontal="left"/>
      <protection/>
    </xf>
    <xf numFmtId="0" fontId="0" fillId="4" borderId="2" xfId="0" applyFont="1" applyFill="1" applyBorder="1" applyAlignment="1" applyProtection="1">
      <alignment horizontal="left"/>
      <protection/>
    </xf>
    <xf numFmtId="168" fontId="0" fillId="4" borderId="2" xfId="0" applyNumberFormat="1" applyFont="1" applyFill="1" applyBorder="1" applyAlignment="1" applyProtection="1">
      <alignment horizontal="left"/>
      <protection/>
    </xf>
    <xf numFmtId="168" fontId="0" fillId="4" borderId="0" xfId="0" applyNumberFormat="1" applyFont="1" applyFill="1" applyBorder="1" applyAlignment="1" applyProtection="1">
      <alignment horizontal="left"/>
      <protection/>
    </xf>
    <xf numFmtId="168" fontId="19" fillId="4" borderId="0" xfId="0" applyNumberFormat="1" applyFont="1" applyFill="1" applyBorder="1" applyAlignment="1" applyProtection="1">
      <alignment horizontal="left"/>
      <protection/>
    </xf>
    <xf numFmtId="168" fontId="19" fillId="4" borderId="0" xfId="0" applyNumberFormat="1" applyFont="1" applyFill="1" applyBorder="1" applyAlignment="1" applyProtection="1">
      <alignment/>
      <protection/>
    </xf>
    <xf numFmtId="0" fontId="1" fillId="4" borderId="5" xfId="0" applyFont="1" applyFill="1" applyBorder="1" applyAlignment="1" applyProtection="1">
      <alignment horizontal="center"/>
      <protection/>
    </xf>
    <xf numFmtId="168" fontId="1" fillId="2" borderId="0" xfId="0" applyNumberFormat="1" applyFont="1" applyFill="1" applyBorder="1" applyAlignment="1" applyProtection="1">
      <alignment horizontal="left"/>
      <protection/>
    </xf>
    <xf numFmtId="2" fontId="1" fillId="2" borderId="0" xfId="0" applyNumberFormat="1" applyFont="1" applyFill="1" applyBorder="1" applyAlignment="1" applyProtection="1">
      <alignment/>
      <protection/>
    </xf>
    <xf numFmtId="0" fontId="2" fillId="4" borderId="0" xfId="0" applyFont="1" applyFill="1" applyBorder="1" applyAlignment="1" applyProtection="1">
      <alignment horizontal="left"/>
      <protection/>
    </xf>
    <xf numFmtId="0" fontId="2" fillId="4" borderId="0" xfId="0" applyFont="1" applyFill="1" applyBorder="1" applyAlignment="1" applyProtection="1">
      <alignment/>
      <protection/>
    </xf>
    <xf numFmtId="168" fontId="0" fillId="4" borderId="7" xfId="0" applyNumberFormat="1" applyFont="1" applyFill="1" applyBorder="1" applyAlignment="1" applyProtection="1">
      <alignment horizontal="left"/>
      <protection/>
    </xf>
    <xf numFmtId="0" fontId="1" fillId="4" borderId="7" xfId="0" applyFont="1" applyFill="1" applyBorder="1" applyAlignment="1" applyProtection="1">
      <alignment horizontal="left"/>
      <protection/>
    </xf>
    <xf numFmtId="168" fontId="1" fillId="4" borderId="7" xfId="0" applyNumberFormat="1" applyFont="1" applyFill="1" applyBorder="1" applyAlignment="1" applyProtection="1">
      <alignment horizontal="center"/>
      <protection/>
    </xf>
    <xf numFmtId="168" fontId="1" fillId="4" borderId="7" xfId="0" applyNumberFormat="1" applyFont="1" applyFill="1" applyBorder="1" applyAlignment="1" applyProtection="1">
      <alignment/>
      <protection/>
    </xf>
    <xf numFmtId="168" fontId="1" fillId="4" borderId="7" xfId="0" applyNumberFormat="1" applyFont="1" applyFill="1" applyBorder="1" applyAlignment="1" applyProtection="1">
      <alignment horizontal="left"/>
      <protection/>
    </xf>
    <xf numFmtId="0" fontId="8" fillId="4" borderId="4" xfId="0" applyFont="1" applyFill="1" applyBorder="1" applyAlignment="1" applyProtection="1">
      <alignment/>
      <protection/>
    </xf>
    <xf numFmtId="168" fontId="8" fillId="4" borderId="0" xfId="0" applyNumberFormat="1" applyFont="1" applyFill="1" applyBorder="1" applyAlignment="1" applyProtection="1">
      <alignment horizontal="left"/>
      <protection/>
    </xf>
    <xf numFmtId="168" fontId="8" fillId="4" borderId="0" xfId="0" applyNumberFormat="1" applyFont="1" applyFill="1" applyBorder="1" applyAlignment="1" applyProtection="1">
      <alignment/>
      <protection/>
    </xf>
    <xf numFmtId="0" fontId="8" fillId="4" borderId="5" xfId="0" applyFont="1" applyFill="1" applyBorder="1" applyAlignment="1" applyProtection="1">
      <alignment/>
      <protection/>
    </xf>
    <xf numFmtId="0" fontId="0" fillId="4" borderId="7" xfId="0" applyFont="1" applyFill="1" applyBorder="1" applyAlignment="1" applyProtection="1">
      <alignment horizontal="left"/>
      <protection/>
    </xf>
    <xf numFmtId="168" fontId="0" fillId="4" borderId="0" xfId="0" applyNumberFormat="1" applyFont="1" applyFill="1" applyAlignment="1" applyProtection="1">
      <alignment horizontal="center"/>
      <protection/>
    </xf>
    <xf numFmtId="168" fontId="0" fillId="4" borderId="2" xfId="0" applyNumberFormat="1" applyFont="1" applyFill="1" applyBorder="1" applyAlignment="1" applyProtection="1">
      <alignment horizontal="center"/>
      <protection/>
    </xf>
    <xf numFmtId="168" fontId="8" fillId="4" borderId="0" xfId="0" applyNumberFormat="1" applyFont="1" applyFill="1" applyBorder="1" applyAlignment="1" applyProtection="1">
      <alignment horizontal="center"/>
      <protection/>
    </xf>
    <xf numFmtId="0" fontId="9" fillId="4" borderId="0" xfId="0" applyFont="1" applyFill="1" applyBorder="1" applyAlignment="1" applyProtection="1">
      <alignment horizontal="center"/>
      <protection/>
    </xf>
    <xf numFmtId="168" fontId="9" fillId="4" borderId="0" xfId="0" applyNumberFormat="1" applyFont="1" applyFill="1" applyBorder="1" applyAlignment="1" applyProtection="1">
      <alignment horizontal="center"/>
      <protection/>
    </xf>
    <xf numFmtId="168" fontId="0" fillId="4" borderId="7" xfId="0" applyNumberFormat="1" applyFont="1" applyFill="1" applyBorder="1" applyAlignment="1" applyProtection="1">
      <alignment horizontal="center"/>
      <protection/>
    </xf>
    <xf numFmtId="168" fontId="19" fillId="4" borderId="0" xfId="0" applyNumberFormat="1" applyFont="1" applyFill="1" applyBorder="1" applyAlignment="1" applyProtection="1">
      <alignment horizontal="center"/>
      <protection/>
    </xf>
    <xf numFmtId="2" fontId="0" fillId="3" borderId="0" xfId="0" applyNumberFormat="1" applyFont="1" applyFill="1" applyBorder="1" applyAlignment="1" applyProtection="1">
      <alignment horizontal="center"/>
      <protection locked="0"/>
    </xf>
    <xf numFmtId="0" fontId="9" fillId="2" borderId="0" xfId="0" applyFont="1" applyFill="1" applyBorder="1" applyAlignment="1" applyProtection="1">
      <alignment horizontal="center"/>
      <protection/>
    </xf>
    <xf numFmtId="168" fontId="0" fillId="3" borderId="0" xfId="21" applyNumberFormat="1" applyFont="1" applyFill="1" applyBorder="1" applyAlignment="1" applyProtection="1">
      <alignment/>
      <protection locked="0"/>
    </xf>
    <xf numFmtId="168" fontId="9" fillId="2" borderId="0" xfId="0" applyNumberFormat="1" applyFont="1" applyFill="1" applyBorder="1" applyAlignment="1" applyProtection="1">
      <alignment/>
      <protection/>
    </xf>
    <xf numFmtId="0" fontId="1" fillId="4" borderId="5" xfId="0" applyFont="1" applyFill="1" applyBorder="1" applyAlignment="1" applyProtection="1">
      <alignment horizontal="left"/>
      <protection/>
    </xf>
    <xf numFmtId="0" fontId="9" fillId="4" borderId="5" xfId="0" applyFont="1" applyFill="1" applyBorder="1" applyAlignment="1" applyProtection="1">
      <alignment horizontal="right"/>
      <protection/>
    </xf>
    <xf numFmtId="0" fontId="10" fillId="2" borderId="0" xfId="0" applyFont="1" applyFill="1" applyBorder="1" applyAlignment="1" applyProtection="1">
      <alignment horizontal="right"/>
      <protection/>
    </xf>
    <xf numFmtId="170" fontId="0" fillId="2" borderId="0" xfId="0" applyNumberFormat="1" applyFont="1" applyFill="1" applyBorder="1" applyAlignment="1" applyProtection="1">
      <alignment horizontal="center"/>
      <protection/>
    </xf>
    <xf numFmtId="4" fontId="0" fillId="2" borderId="0" xfId="0" applyNumberFormat="1" applyFont="1" applyFill="1" applyBorder="1" applyAlignment="1" applyProtection="1">
      <alignment/>
      <protection/>
    </xf>
    <xf numFmtId="3" fontId="0" fillId="2" borderId="0" xfId="0" applyNumberFormat="1" applyFont="1" applyFill="1" applyBorder="1" applyAlignment="1" applyProtection="1">
      <alignment/>
      <protection/>
    </xf>
    <xf numFmtId="3" fontId="9" fillId="2" borderId="0" xfId="0" applyNumberFormat="1" applyFont="1" applyFill="1" applyBorder="1" applyAlignment="1" applyProtection="1">
      <alignment/>
      <protection/>
    </xf>
    <xf numFmtId="1" fontId="0" fillId="2" borderId="0" xfId="0" applyNumberFormat="1" applyFont="1" applyFill="1" applyBorder="1" applyAlignment="1" applyProtection="1">
      <alignment/>
      <protection/>
    </xf>
    <xf numFmtId="1" fontId="1" fillId="2" borderId="0" xfId="0" applyNumberFormat="1" applyFont="1" applyFill="1" applyBorder="1" applyAlignment="1" applyProtection="1">
      <alignment/>
      <protection/>
    </xf>
    <xf numFmtId="176" fontId="0" fillId="5" borderId="0" xfId="0" applyNumberFormat="1" applyFont="1" applyFill="1" applyBorder="1" applyAlignment="1" applyProtection="1">
      <alignment horizontal="center"/>
      <protection/>
    </xf>
    <xf numFmtId="176" fontId="10" fillId="5" borderId="0" xfId="0" applyNumberFormat="1" applyFont="1" applyFill="1" applyBorder="1" applyAlignment="1" applyProtection="1">
      <alignment horizontal="center"/>
      <protection/>
    </xf>
    <xf numFmtId="4" fontId="0" fillId="5" borderId="0" xfId="0" applyNumberFormat="1" applyFont="1" applyFill="1" applyBorder="1" applyAlignment="1" applyProtection="1">
      <alignment/>
      <protection/>
    </xf>
    <xf numFmtId="3" fontId="0" fillId="4" borderId="0" xfId="0" applyNumberFormat="1" applyFont="1" applyFill="1" applyBorder="1" applyAlignment="1" applyProtection="1">
      <alignment/>
      <protection locked="0"/>
    </xf>
    <xf numFmtId="1" fontId="10" fillId="2" borderId="0" xfId="0" applyNumberFormat="1" applyFont="1" applyFill="1" applyBorder="1" applyAlignment="1" applyProtection="1">
      <alignment/>
      <protection/>
    </xf>
    <xf numFmtId="1" fontId="9" fillId="2" borderId="0" xfId="0" applyNumberFormat="1" applyFont="1" applyFill="1" applyBorder="1" applyAlignment="1" applyProtection="1">
      <alignment/>
      <protection/>
    </xf>
    <xf numFmtId="0" fontId="0" fillId="4" borderId="0" xfId="0" applyNumberFormat="1" applyFont="1" applyFill="1" applyBorder="1" applyAlignment="1" applyProtection="1">
      <alignment/>
      <protection/>
    </xf>
    <xf numFmtId="0" fontId="0" fillId="4" borderId="2" xfId="0" applyNumberFormat="1" applyFont="1" applyFill="1" applyBorder="1" applyAlignment="1" applyProtection="1">
      <alignment/>
      <protection/>
    </xf>
    <xf numFmtId="0" fontId="9" fillId="4" borderId="4" xfId="0" applyFont="1" applyFill="1" applyBorder="1" applyAlignment="1" applyProtection="1">
      <alignment horizontal="right"/>
      <protection/>
    </xf>
    <xf numFmtId="0" fontId="9" fillId="4" borderId="0" xfId="0" applyNumberFormat="1" applyFont="1" applyFill="1" applyBorder="1" applyAlignment="1" applyProtection="1">
      <alignment horizontal="right"/>
      <protection/>
    </xf>
    <xf numFmtId="0" fontId="0" fillId="2" borderId="0" xfId="0" applyFont="1" applyFill="1" applyBorder="1" applyAlignment="1" applyProtection="1">
      <alignment horizontal="left" indent="2"/>
      <protection/>
    </xf>
    <xf numFmtId="168" fontId="0" fillId="3" borderId="0" xfId="0" applyNumberFormat="1" applyFont="1" applyFill="1" applyBorder="1" applyAlignment="1" applyProtection="1">
      <alignment/>
      <protection locked="0"/>
    </xf>
    <xf numFmtId="168" fontId="0" fillId="5" borderId="0" xfId="0" applyNumberFormat="1" applyFont="1" applyFill="1" applyBorder="1" applyAlignment="1" applyProtection="1">
      <alignment/>
      <protection/>
    </xf>
    <xf numFmtId="168" fontId="0" fillId="4" borderId="0" xfId="0" applyNumberFormat="1" applyFont="1" applyFill="1" applyBorder="1" applyAlignment="1" applyProtection="1">
      <alignment/>
      <protection locked="0"/>
    </xf>
    <xf numFmtId="0" fontId="1" fillId="2" borderId="0" xfId="0" applyFont="1" applyFill="1" applyBorder="1" applyAlignment="1" applyProtection="1">
      <alignment horizontal="left" indent="2"/>
      <protection/>
    </xf>
    <xf numFmtId="168" fontId="1" fillId="5" borderId="0" xfId="0" applyNumberFormat="1" applyFont="1" applyFill="1" applyBorder="1" applyAlignment="1" applyProtection="1">
      <alignment/>
      <protection/>
    </xf>
    <xf numFmtId="0" fontId="0" fillId="2" borderId="0" xfId="0" applyNumberFormat="1" applyFont="1" applyFill="1" applyBorder="1" applyAlignment="1" applyProtection="1">
      <alignment/>
      <protection/>
    </xf>
    <xf numFmtId="0" fontId="19" fillId="4" borderId="6" xfId="0" applyFont="1" applyFill="1" applyBorder="1" applyAlignment="1" applyProtection="1">
      <alignment/>
      <protection/>
    </xf>
    <xf numFmtId="0" fontId="19" fillId="4" borderId="7" xfId="0" applyFont="1" applyFill="1" applyBorder="1" applyAlignment="1" applyProtection="1">
      <alignment/>
      <protection/>
    </xf>
    <xf numFmtId="0" fontId="19" fillId="4" borderId="8" xfId="0" applyFont="1" applyFill="1" applyBorder="1" applyAlignment="1" applyProtection="1">
      <alignment/>
      <protection/>
    </xf>
    <xf numFmtId="0" fontId="21" fillId="4" borderId="0" xfId="0" applyFont="1" applyFill="1" applyBorder="1" applyAlignment="1" applyProtection="1">
      <alignment/>
      <protection/>
    </xf>
    <xf numFmtId="0" fontId="9" fillId="4" borderId="4" xfId="0" applyFont="1" applyFill="1" applyBorder="1" applyAlignment="1" applyProtection="1">
      <alignment horizontal="center"/>
      <protection/>
    </xf>
    <xf numFmtId="0" fontId="9" fillId="2" borderId="0" xfId="0" applyNumberFormat="1" applyFont="1" applyFill="1" applyBorder="1" applyAlignment="1" applyProtection="1">
      <alignment horizontal="center"/>
      <protection/>
    </xf>
    <xf numFmtId="1" fontId="9" fillId="2" borderId="0" xfId="0" applyNumberFormat="1" applyFont="1" applyFill="1" applyBorder="1" applyAlignment="1" applyProtection="1" quotePrefix="1">
      <alignment horizontal="center"/>
      <protection/>
    </xf>
    <xf numFmtId="1" fontId="9" fillId="2" borderId="0" xfId="0" applyNumberFormat="1" applyFont="1" applyFill="1" applyBorder="1" applyAlignment="1" applyProtection="1">
      <alignment horizontal="center"/>
      <protection/>
    </xf>
    <xf numFmtId="0" fontId="9" fillId="4" borderId="5" xfId="0" applyFont="1" applyFill="1" applyBorder="1" applyAlignment="1" applyProtection="1">
      <alignment horizontal="center"/>
      <protection/>
    </xf>
    <xf numFmtId="0" fontId="0" fillId="5" borderId="0" xfId="0" applyNumberFormat="1" applyFont="1" applyFill="1" applyBorder="1" applyAlignment="1" applyProtection="1">
      <alignment horizontal="center"/>
      <protection/>
    </xf>
    <xf numFmtId="0" fontId="0" fillId="2" borderId="0" xfId="0" applyFont="1" applyFill="1" applyBorder="1" applyAlignment="1" applyProtection="1" quotePrefix="1">
      <alignment horizontal="left"/>
      <protection/>
    </xf>
    <xf numFmtId="0" fontId="9" fillId="4" borderId="0" xfId="0" applyFont="1" applyFill="1" applyBorder="1" applyAlignment="1" applyProtection="1">
      <alignment/>
      <protection/>
    </xf>
    <xf numFmtId="170" fontId="9" fillId="4" borderId="0" xfId="21" applyNumberFormat="1" applyFont="1" applyFill="1" applyBorder="1" applyAlignment="1" applyProtection="1">
      <alignment/>
      <protection/>
    </xf>
    <xf numFmtId="170" fontId="9" fillId="4" borderId="5" xfId="21" applyNumberFormat="1" applyFont="1" applyFill="1" applyBorder="1" applyAlignment="1" applyProtection="1">
      <alignment/>
      <protection/>
    </xf>
    <xf numFmtId="170" fontId="9" fillId="2" borderId="0" xfId="21" applyNumberFormat="1" applyFont="1" applyFill="1" applyBorder="1" applyAlignment="1" applyProtection="1">
      <alignment/>
      <protection/>
    </xf>
    <xf numFmtId="0" fontId="1" fillId="4" borderId="4" xfId="0" applyFont="1" applyFill="1" applyBorder="1" applyAlignment="1" applyProtection="1">
      <alignment horizontal="left"/>
      <protection/>
    </xf>
    <xf numFmtId="168" fontId="0" fillId="5" borderId="0" xfId="21" applyNumberFormat="1" applyFont="1" applyFill="1" applyBorder="1" applyAlignment="1" applyProtection="1">
      <alignment horizontal="left"/>
      <protection/>
    </xf>
    <xf numFmtId="0" fontId="0" fillId="2" borderId="0" xfId="0" applyNumberFormat="1" applyFont="1" applyFill="1" applyBorder="1" applyAlignment="1" applyProtection="1">
      <alignment horizontal="left"/>
      <protection/>
    </xf>
    <xf numFmtId="168" fontId="0" fillId="3" borderId="0" xfId="0" applyNumberFormat="1" applyFont="1" applyFill="1" applyBorder="1" applyAlignment="1" applyProtection="1">
      <alignment/>
      <protection locked="0"/>
    </xf>
    <xf numFmtId="177" fontId="0" fillId="4" borderId="0" xfId="0" applyNumberFormat="1" applyFont="1" applyFill="1" applyBorder="1" applyAlignment="1" applyProtection="1">
      <alignment/>
      <protection/>
    </xf>
    <xf numFmtId="177" fontId="0" fillId="2" borderId="0" xfId="0" applyNumberFormat="1" applyFont="1" applyFill="1" applyBorder="1" applyAlignment="1" applyProtection="1">
      <alignment/>
      <protection/>
    </xf>
    <xf numFmtId="177" fontId="0" fillId="4" borderId="7" xfId="0" applyNumberFormat="1" applyFont="1" applyFill="1" applyBorder="1" applyAlignment="1" applyProtection="1">
      <alignment/>
      <protection/>
    </xf>
    <xf numFmtId="0" fontId="0" fillId="4" borderId="0" xfId="0" applyFont="1" applyFill="1" applyBorder="1" applyAlignment="1" applyProtection="1">
      <alignment/>
      <protection/>
    </xf>
    <xf numFmtId="0" fontId="0" fillId="4" borderId="2" xfId="0" applyFont="1" applyFill="1" applyBorder="1" applyAlignment="1" applyProtection="1">
      <alignment/>
      <protection/>
    </xf>
    <xf numFmtId="0" fontId="19" fillId="4" borderId="0" xfId="0" applyFont="1" applyFill="1" applyBorder="1" applyAlignment="1" applyProtection="1">
      <alignment/>
      <protection/>
    </xf>
    <xf numFmtId="168" fontId="5" fillId="4" borderId="0" xfId="0" applyNumberFormat="1" applyFont="1" applyFill="1" applyBorder="1" applyAlignment="1" applyProtection="1">
      <alignment horizontal="center"/>
      <protection/>
    </xf>
    <xf numFmtId="0" fontId="0" fillId="2" borderId="0" xfId="0" applyFont="1" applyFill="1" applyBorder="1" applyAlignment="1" applyProtection="1">
      <alignment/>
      <protection/>
    </xf>
    <xf numFmtId="0" fontId="10" fillId="4" borderId="6" xfId="0" applyFont="1" applyFill="1" applyBorder="1" applyAlignment="1" applyProtection="1">
      <alignment/>
      <protection/>
    </xf>
    <xf numFmtId="176" fontId="0" fillId="4" borderId="2" xfId="0" applyNumberFormat="1" applyFont="1" applyFill="1" applyBorder="1" applyAlignment="1" applyProtection="1">
      <alignment/>
      <protection/>
    </xf>
    <xf numFmtId="0" fontId="10" fillId="4" borderId="0" xfId="0" applyNumberFormat="1" applyFont="1" applyFill="1" applyBorder="1" applyAlignment="1" applyProtection="1" quotePrefix="1">
      <alignment horizontal="center"/>
      <protection/>
    </xf>
    <xf numFmtId="0" fontId="10" fillId="4" borderId="5" xfId="0" applyNumberFormat="1" applyFont="1" applyFill="1" applyBorder="1" applyAlignment="1" applyProtection="1" quotePrefix="1">
      <alignment horizontal="center"/>
      <protection/>
    </xf>
    <xf numFmtId="176" fontId="10" fillId="4" borderId="0" xfId="0" applyNumberFormat="1" applyFont="1" applyFill="1" applyBorder="1" applyAlignment="1" applyProtection="1" quotePrefix="1">
      <alignment horizontal="center"/>
      <protection/>
    </xf>
    <xf numFmtId="0" fontId="0" fillId="4" borderId="0" xfId="0" applyFont="1" applyFill="1" applyBorder="1" applyAlignment="1" applyProtection="1" quotePrefix="1">
      <alignment/>
      <protection/>
    </xf>
    <xf numFmtId="0" fontId="0" fillId="4" borderId="0" xfId="0" applyNumberFormat="1" applyFont="1" applyFill="1" applyBorder="1" applyAlignment="1" applyProtection="1" quotePrefix="1">
      <alignment horizontal="center"/>
      <protection/>
    </xf>
    <xf numFmtId="0" fontId="0" fillId="4" borderId="5" xfId="0" applyNumberFormat="1" applyFont="1" applyFill="1" applyBorder="1" applyAlignment="1" applyProtection="1" quotePrefix="1">
      <alignment horizontal="center"/>
      <protection/>
    </xf>
    <xf numFmtId="0" fontId="1" fillId="4" borderId="0" xfId="0" applyNumberFormat="1" applyFont="1" applyFill="1" applyBorder="1" applyAlignment="1" applyProtection="1">
      <alignment horizontal="center"/>
      <protection/>
    </xf>
    <xf numFmtId="0" fontId="0" fillId="4" borderId="0" xfId="0" applyNumberFormat="1" applyFont="1" applyFill="1" applyBorder="1" applyAlignment="1" applyProtection="1">
      <alignment horizontal="center"/>
      <protection/>
    </xf>
    <xf numFmtId="0" fontId="0" fillId="4" borderId="5" xfId="0" applyFont="1" applyFill="1" applyBorder="1" applyAlignment="1" applyProtection="1">
      <alignment horizontal="center"/>
      <protection/>
    </xf>
    <xf numFmtId="2" fontId="9" fillId="4" borderId="0" xfId="0" applyNumberFormat="1" applyFont="1" applyFill="1" applyBorder="1" applyAlignment="1" applyProtection="1">
      <alignment horizontal="center"/>
      <protection/>
    </xf>
    <xf numFmtId="1" fontId="0" fillId="4" borderId="0" xfId="0" applyNumberFormat="1" applyFont="1" applyFill="1" applyBorder="1" applyAlignment="1" applyProtection="1">
      <alignment horizontal="center"/>
      <protection/>
    </xf>
    <xf numFmtId="1" fontId="0" fillId="2" borderId="0" xfId="0" applyNumberFormat="1" applyFont="1" applyFill="1" applyBorder="1" applyAlignment="1" applyProtection="1">
      <alignment horizontal="center"/>
      <protection/>
    </xf>
    <xf numFmtId="1" fontId="0" fillId="6" borderId="0" xfId="0" applyNumberFormat="1" applyFont="1" applyFill="1" applyBorder="1" applyAlignment="1" applyProtection="1">
      <alignment horizontal="left"/>
      <protection/>
    </xf>
    <xf numFmtId="1" fontId="0" fillId="6" borderId="0" xfId="0" applyNumberFormat="1" applyFont="1" applyFill="1" applyBorder="1" applyAlignment="1" applyProtection="1">
      <alignment horizontal="center"/>
      <protection/>
    </xf>
    <xf numFmtId="179" fontId="0" fillId="6" borderId="0" xfId="0" applyNumberFormat="1" applyFont="1" applyFill="1" applyBorder="1" applyAlignment="1" applyProtection="1">
      <alignment horizontal="left"/>
      <protection/>
    </xf>
    <xf numFmtId="0" fontId="0" fillId="6" borderId="0" xfId="0" applyFont="1" applyFill="1" applyBorder="1" applyAlignment="1" applyProtection="1">
      <alignment horizontal="center"/>
      <protection/>
    </xf>
    <xf numFmtId="4" fontId="0" fillId="6" borderId="0" xfId="0" applyNumberFormat="1" applyFont="1" applyFill="1" applyBorder="1" applyAlignment="1" applyProtection="1">
      <alignment horizontal="center"/>
      <protection/>
    </xf>
    <xf numFmtId="168" fontId="0" fillId="6" borderId="0" xfId="0" applyNumberFormat="1" applyFont="1" applyFill="1" applyBorder="1" applyAlignment="1" applyProtection="1">
      <alignment horizontal="center"/>
      <protection/>
    </xf>
    <xf numFmtId="172" fontId="0" fillId="6" borderId="0" xfId="0" applyNumberFormat="1" applyFont="1" applyFill="1" applyBorder="1" applyAlignment="1" applyProtection="1">
      <alignment horizontal="center"/>
      <protection/>
    </xf>
    <xf numFmtId="168" fontId="0" fillId="6" borderId="0" xfId="0" applyNumberFormat="1" applyFont="1" applyFill="1" applyBorder="1" applyAlignment="1" applyProtection="1" quotePrefix="1">
      <alignment horizontal="center"/>
      <protection/>
    </xf>
    <xf numFmtId="1" fontId="0" fillId="2" borderId="0" xfId="0" applyNumberFormat="1" applyFont="1" applyFill="1" applyBorder="1" applyAlignment="1" applyProtection="1" quotePrefix="1">
      <alignment horizontal="center"/>
      <protection/>
    </xf>
    <xf numFmtId="1" fontId="0" fillId="4" borderId="5" xfId="0" applyNumberFormat="1" applyFont="1" applyFill="1" applyBorder="1" applyAlignment="1" applyProtection="1" quotePrefix="1">
      <alignment horizontal="center"/>
      <protection/>
    </xf>
    <xf numFmtId="1" fontId="0" fillId="4" borderId="7" xfId="0" applyNumberFormat="1" applyFont="1" applyFill="1" applyBorder="1" applyAlignment="1" applyProtection="1">
      <alignment horizontal="center"/>
      <protection/>
    </xf>
    <xf numFmtId="0" fontId="0" fillId="4" borderId="7" xfId="0" applyNumberFormat="1" applyFont="1" applyFill="1" applyBorder="1" applyAlignment="1" applyProtection="1" quotePrefix="1">
      <alignment horizontal="center"/>
      <protection/>
    </xf>
    <xf numFmtId="0" fontId="0" fillId="4" borderId="8" xfId="0" applyFont="1" applyFill="1" applyBorder="1" applyAlignment="1" applyProtection="1">
      <alignment horizontal="center"/>
      <protection/>
    </xf>
    <xf numFmtId="2" fontId="0" fillId="4" borderId="2" xfId="0" applyNumberFormat="1" applyFont="1" applyFill="1" applyBorder="1" applyAlignment="1" applyProtection="1">
      <alignment horizontal="center"/>
      <protection/>
    </xf>
    <xf numFmtId="168" fontId="0" fillId="3" borderId="0" xfId="21" applyNumberFormat="1" applyFont="1" applyFill="1" applyBorder="1" applyAlignment="1" applyProtection="1">
      <alignment horizontal="left"/>
      <protection locked="0"/>
    </xf>
    <xf numFmtId="173" fontId="1" fillId="5" borderId="0" xfId="0" applyNumberFormat="1" applyFont="1" applyFill="1" applyBorder="1" applyAlignment="1" applyProtection="1">
      <alignment horizontal="center"/>
      <protection/>
    </xf>
    <xf numFmtId="0" fontId="16" fillId="4" borderId="0" xfId="0" applyFont="1" applyFill="1" applyBorder="1" applyAlignment="1" applyProtection="1">
      <alignment/>
      <protection/>
    </xf>
    <xf numFmtId="10" fontId="0" fillId="4" borderId="0" xfId="0" applyNumberFormat="1" applyFont="1" applyFill="1" applyBorder="1" applyAlignment="1" applyProtection="1">
      <alignment horizontal="center"/>
      <protection locked="0"/>
    </xf>
    <xf numFmtId="174" fontId="0" fillId="4" borderId="0" xfId="0" applyNumberFormat="1" applyFont="1" applyFill="1" applyBorder="1" applyAlignment="1" applyProtection="1">
      <alignment horizontal="center"/>
      <protection locked="0"/>
    </xf>
    <xf numFmtId="176" fontId="0" fillId="4" borderId="5" xfId="0" applyNumberFormat="1" applyFont="1" applyFill="1" applyBorder="1" applyAlignment="1" applyProtection="1">
      <alignment horizontal="center"/>
      <protection/>
    </xf>
    <xf numFmtId="2" fontId="0" fillId="6" borderId="0" xfId="0" applyNumberFormat="1" applyFont="1" applyFill="1" applyBorder="1" applyAlignment="1" applyProtection="1">
      <alignment horizontal="center"/>
      <protection/>
    </xf>
    <xf numFmtId="0" fontId="9" fillId="4" borderId="2" xfId="0" applyFont="1" applyFill="1" applyBorder="1" applyAlignment="1" applyProtection="1">
      <alignment/>
      <protection/>
    </xf>
    <xf numFmtId="0" fontId="9" fillId="4" borderId="7" xfId="0" applyFont="1" applyFill="1" applyBorder="1" applyAlignment="1" applyProtection="1">
      <alignment/>
      <protection/>
    </xf>
    <xf numFmtId="181" fontId="9" fillId="5" borderId="0" xfId="0" applyNumberFormat="1" applyFont="1" applyFill="1" applyBorder="1" applyAlignment="1" applyProtection="1">
      <alignment horizontal="center"/>
      <protection/>
    </xf>
    <xf numFmtId="0" fontId="1" fillId="3" borderId="0" xfId="0" applyFont="1" applyFill="1" applyBorder="1" applyAlignment="1" applyProtection="1">
      <alignment horizontal="center"/>
      <protection locked="0"/>
    </xf>
    <xf numFmtId="49" fontId="10" fillId="5" borderId="0" xfId="0" applyNumberFormat="1" applyFont="1" applyFill="1" applyBorder="1" applyAlignment="1" applyProtection="1">
      <alignment horizontal="center"/>
      <protection/>
    </xf>
    <xf numFmtId="0" fontId="30" fillId="2" borderId="0" xfId="0" applyFont="1" applyFill="1" applyBorder="1" applyAlignment="1" applyProtection="1">
      <alignment/>
      <protection/>
    </xf>
    <xf numFmtId="0" fontId="21" fillId="4" borderId="4" xfId="0" applyFont="1" applyFill="1" applyBorder="1" applyAlignment="1" applyProtection="1">
      <alignment/>
      <protection/>
    </xf>
    <xf numFmtId="174" fontId="1" fillId="4" borderId="7" xfId="0" applyNumberFormat="1" applyFont="1" applyFill="1" applyBorder="1" applyAlignment="1" applyProtection="1">
      <alignment horizontal="center"/>
      <protection/>
    </xf>
    <xf numFmtId="49" fontId="1" fillId="2" borderId="0" xfId="0" applyNumberFormat="1" applyFont="1" applyFill="1" applyBorder="1" applyAlignment="1" applyProtection="1">
      <alignment horizontal="center"/>
      <protection/>
    </xf>
    <xf numFmtId="0" fontId="9" fillId="5" borderId="0" xfId="0" applyFont="1" applyFill="1" applyBorder="1" applyAlignment="1" applyProtection="1">
      <alignment horizontal="left"/>
      <protection/>
    </xf>
    <xf numFmtId="0" fontId="9" fillId="5" borderId="0" xfId="0" applyFont="1" applyFill="1" applyBorder="1" applyAlignment="1" applyProtection="1">
      <alignment/>
      <protection/>
    </xf>
    <xf numFmtId="0" fontId="1" fillId="5" borderId="0" xfId="0" applyFont="1" applyFill="1" applyBorder="1" applyAlignment="1" applyProtection="1">
      <alignment horizontal="center"/>
      <protection/>
    </xf>
    <xf numFmtId="0" fontId="0" fillId="5" borderId="9" xfId="0" applyFont="1" applyFill="1" applyBorder="1" applyAlignment="1" applyProtection="1">
      <alignment horizontal="left"/>
      <protection/>
    </xf>
    <xf numFmtId="0" fontId="1" fillId="4" borderId="0" xfId="0" applyFont="1" applyFill="1" applyAlignment="1" applyProtection="1">
      <alignment/>
      <protection/>
    </xf>
    <xf numFmtId="0" fontId="1" fillId="4" borderId="0" xfId="0" applyFont="1" applyFill="1" applyAlignment="1" applyProtection="1">
      <alignment horizontal="right"/>
      <protection/>
    </xf>
    <xf numFmtId="173" fontId="0" fillId="4" borderId="0" xfId="0" applyNumberFormat="1" applyFont="1" applyFill="1" applyBorder="1" applyAlignment="1" applyProtection="1">
      <alignment/>
      <protection/>
    </xf>
    <xf numFmtId="0" fontId="10" fillId="4" borderId="0" xfId="0" applyNumberFormat="1" applyFont="1" applyFill="1" applyBorder="1" applyAlignment="1" applyProtection="1">
      <alignment horizontal="center"/>
      <protection/>
    </xf>
    <xf numFmtId="0" fontId="10" fillId="2" borderId="0" xfId="0" applyFont="1" applyFill="1" applyAlignment="1" applyProtection="1">
      <alignment horizontal="left"/>
      <protection/>
    </xf>
    <xf numFmtId="0" fontId="10" fillId="4" borderId="5" xfId="0" applyFont="1" applyFill="1" applyBorder="1" applyAlignment="1" applyProtection="1">
      <alignment horizontal="right"/>
      <protection/>
    </xf>
    <xf numFmtId="175" fontId="10" fillId="4" borderId="0" xfId="0" applyNumberFormat="1" applyFont="1" applyFill="1" applyBorder="1" applyAlignment="1" applyProtection="1">
      <alignment horizontal="left"/>
      <protection/>
    </xf>
    <xf numFmtId="175" fontId="10" fillId="4" borderId="0" xfId="0" applyNumberFormat="1" applyFont="1" applyFill="1" applyBorder="1" applyAlignment="1" applyProtection="1">
      <alignment horizontal="right"/>
      <protection/>
    </xf>
    <xf numFmtId="172" fontId="10" fillId="4" borderId="0" xfId="0" applyNumberFormat="1" applyFont="1" applyFill="1" applyBorder="1" applyAlignment="1" applyProtection="1">
      <alignment/>
      <protection/>
    </xf>
    <xf numFmtId="10" fontId="1" fillId="2" borderId="0" xfId="20" applyNumberFormat="1" applyFont="1" applyFill="1" applyBorder="1" applyAlignment="1" applyProtection="1">
      <alignment/>
      <protection/>
    </xf>
    <xf numFmtId="9" fontId="0" fillId="4" borderId="0" xfId="0" applyNumberFormat="1" applyFont="1" applyFill="1" applyBorder="1" applyAlignment="1" applyProtection="1">
      <alignment/>
      <protection/>
    </xf>
    <xf numFmtId="0" fontId="0" fillId="4" borderId="0" xfId="0" applyFill="1" applyBorder="1" applyAlignment="1" applyProtection="1">
      <alignment/>
      <protection/>
    </xf>
    <xf numFmtId="0" fontId="0" fillId="4" borderId="0" xfId="0" applyFill="1" applyAlignment="1" applyProtection="1">
      <alignment horizontal="center"/>
      <protection/>
    </xf>
    <xf numFmtId="0" fontId="0" fillId="4" borderId="3" xfId="0" applyFill="1" applyBorder="1" applyAlignment="1" applyProtection="1">
      <alignment/>
      <protection/>
    </xf>
    <xf numFmtId="0" fontId="0" fillId="4" borderId="5" xfId="0" applyFill="1" applyBorder="1" applyAlignment="1" applyProtection="1">
      <alignment/>
      <protection/>
    </xf>
    <xf numFmtId="0" fontId="6" fillId="4" borderId="0" xfId="0" applyFont="1" applyFill="1" applyBorder="1" applyAlignment="1" applyProtection="1">
      <alignment/>
      <protection/>
    </xf>
    <xf numFmtId="176" fontId="0" fillId="4" borderId="0" xfId="0" applyNumberFormat="1" applyFont="1" applyFill="1" applyBorder="1" applyAlignment="1" applyProtection="1">
      <alignment horizontal="center"/>
      <protection locked="0"/>
    </xf>
    <xf numFmtId="176" fontId="0" fillId="3" borderId="0" xfId="0" applyNumberFormat="1" applyFont="1" applyFill="1" applyBorder="1" applyAlignment="1" applyProtection="1">
      <alignment horizontal="center"/>
      <protection locked="0"/>
    </xf>
    <xf numFmtId="4" fontId="0" fillId="4" borderId="0" xfId="0" applyNumberFormat="1" applyFill="1" applyAlignment="1" applyProtection="1">
      <alignment/>
      <protection/>
    </xf>
    <xf numFmtId="170" fontId="1" fillId="5" borderId="0" xfId="0" applyNumberFormat="1" applyFont="1" applyFill="1" applyBorder="1" applyAlignment="1" applyProtection="1">
      <alignment horizontal="center"/>
      <protection/>
    </xf>
    <xf numFmtId="4" fontId="0" fillId="4" borderId="0" xfId="0" applyNumberFormat="1" applyFont="1" applyFill="1" applyAlignment="1" applyProtection="1">
      <alignment/>
      <protection/>
    </xf>
    <xf numFmtId="2" fontId="0" fillId="4" borderId="0" xfId="0" applyNumberFormat="1" applyFill="1" applyAlignment="1" applyProtection="1">
      <alignment/>
      <protection/>
    </xf>
    <xf numFmtId="0" fontId="0" fillId="4" borderId="8" xfId="0" applyFill="1" applyBorder="1" applyAlignment="1" applyProtection="1">
      <alignment/>
      <protection/>
    </xf>
    <xf numFmtId="4" fontId="0" fillId="3" borderId="0" xfId="0" applyNumberFormat="1" applyFont="1" applyFill="1" applyBorder="1" applyAlignment="1" applyProtection="1">
      <alignment horizontal="center"/>
      <protection locked="0"/>
    </xf>
    <xf numFmtId="2" fontId="0" fillId="4" borderId="0" xfId="0" applyNumberFormat="1" applyFont="1" applyFill="1" applyBorder="1" applyAlignment="1" applyProtection="1">
      <alignment horizontal="center"/>
      <protection locked="0"/>
    </xf>
    <xf numFmtId="170" fontId="1" fillId="2" borderId="0" xfId="0" applyNumberFormat="1" applyFont="1" applyFill="1" applyBorder="1" applyAlignment="1" applyProtection="1">
      <alignment horizontal="center"/>
      <protection/>
    </xf>
    <xf numFmtId="0" fontId="14" fillId="4" borderId="0" xfId="0" applyFont="1" applyFill="1" applyAlignment="1">
      <alignment wrapText="1"/>
    </xf>
    <xf numFmtId="0" fontId="14" fillId="4" borderId="0" xfId="0" applyFont="1" applyFill="1" applyAlignment="1">
      <alignment/>
    </xf>
    <xf numFmtId="0" fontId="0" fillId="0" borderId="0" xfId="0" applyFont="1" applyFill="1" applyBorder="1" applyAlignment="1" applyProtection="1">
      <alignment horizontal="left"/>
      <protection/>
    </xf>
    <xf numFmtId="0" fontId="0" fillId="3" borderId="0" xfId="0" applyFont="1" applyFill="1" applyBorder="1" applyAlignment="1" applyProtection="1">
      <alignment horizontal="left"/>
      <protection locked="0"/>
    </xf>
    <xf numFmtId="180" fontId="0" fillId="3" borderId="0" xfId="0" applyNumberFormat="1" applyFont="1" applyFill="1" applyBorder="1" applyAlignment="1" applyProtection="1">
      <alignment horizontal="left"/>
      <protection locked="0"/>
    </xf>
    <xf numFmtId="0" fontId="1" fillId="0" borderId="0" xfId="0" applyFont="1" applyFill="1" applyBorder="1" applyAlignment="1" applyProtection="1">
      <alignment horizontal="left"/>
      <protection/>
    </xf>
    <xf numFmtId="170" fontId="0" fillId="0" borderId="0" xfId="0" applyNumberFormat="1" applyFont="1" applyFill="1" applyBorder="1" applyAlignment="1" applyProtection="1">
      <alignment horizontal="left"/>
      <protection/>
    </xf>
    <xf numFmtId="170" fontId="0" fillId="3" borderId="0" xfId="0" applyNumberFormat="1" applyFont="1" applyFill="1" applyBorder="1" applyAlignment="1" applyProtection="1">
      <alignment horizontal="left"/>
      <protection locked="0"/>
    </xf>
    <xf numFmtId="3" fontId="0" fillId="0" borderId="0" xfId="0" applyNumberFormat="1" applyFont="1" applyFill="1" applyBorder="1" applyAlignment="1" applyProtection="1">
      <alignment horizontal="left"/>
      <protection/>
    </xf>
    <xf numFmtId="10" fontId="0" fillId="0" borderId="0" xfId="0" applyNumberFormat="1" applyFont="1" applyFill="1" applyBorder="1" applyAlignment="1" applyProtection="1">
      <alignment horizontal="left"/>
      <protection/>
    </xf>
    <xf numFmtId="10" fontId="0" fillId="3" borderId="0" xfId="0" applyNumberFormat="1" applyFont="1" applyFill="1" applyBorder="1" applyAlignment="1" applyProtection="1">
      <alignment horizontal="left"/>
      <protection locked="0"/>
    </xf>
    <xf numFmtId="4"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14" fontId="0" fillId="0" borderId="0" xfId="0" applyNumberFormat="1" applyFont="1" applyFill="1" applyBorder="1" applyAlignment="1" applyProtection="1">
      <alignment horizontal="left"/>
      <protection/>
    </xf>
    <xf numFmtId="1" fontId="9" fillId="4" borderId="0" xfId="0" applyNumberFormat="1" applyFont="1" applyFill="1" applyBorder="1" applyAlignment="1" applyProtection="1">
      <alignment/>
      <protection/>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32" fillId="0" borderId="0" xfId="0" applyFont="1" applyBorder="1" applyAlignment="1" applyProtection="1">
      <alignment horizontal="left" vertical="top" wrapText="1"/>
      <protection/>
    </xf>
    <xf numFmtId="0" fontId="1" fillId="0" borderId="0" xfId="0" applyFont="1" applyFill="1" applyAlignment="1" applyProtection="1" quotePrefix="1">
      <alignment horizontal="left"/>
      <protection/>
    </xf>
    <xf numFmtId="0" fontId="0" fillId="0" borderId="0" xfId="0" applyFont="1" applyAlignment="1" applyProtection="1">
      <alignment horizontal="left"/>
      <protection/>
    </xf>
    <xf numFmtId="0" fontId="1" fillId="0" borderId="0" xfId="0" applyFont="1" applyAlignment="1" applyProtection="1">
      <alignment horizontal="left"/>
      <protection/>
    </xf>
    <xf numFmtId="0" fontId="1" fillId="0" borderId="0" xfId="0" applyFont="1" applyFill="1" applyBorder="1" applyAlignment="1" applyProtection="1" quotePrefix="1">
      <alignment horizontal="left"/>
      <protection/>
    </xf>
    <xf numFmtId="0" fontId="1" fillId="0" borderId="0" xfId="0" applyFont="1" applyBorder="1" applyAlignment="1" applyProtection="1">
      <alignment horizontal="left"/>
      <protection/>
    </xf>
    <xf numFmtId="0" fontId="0" fillId="0" borderId="0" xfId="0" applyFont="1" applyBorder="1" applyAlignment="1" applyProtection="1">
      <alignment horizontal="left" wrapText="1"/>
      <protection/>
    </xf>
    <xf numFmtId="0" fontId="0" fillId="0" borderId="0" xfId="0" applyFont="1" applyFill="1" applyBorder="1" applyAlignment="1" applyProtection="1" quotePrefix="1">
      <alignment horizontal="left"/>
      <protection/>
    </xf>
    <xf numFmtId="0" fontId="0" fillId="0" borderId="0" xfId="0" applyFont="1" applyAlignment="1" applyProtection="1" quotePrefix="1">
      <alignment horizontal="left"/>
      <protection/>
    </xf>
    <xf numFmtId="2" fontId="0" fillId="0" borderId="0" xfId="0" applyNumberFormat="1" applyFont="1" applyFill="1" applyBorder="1" applyAlignment="1" applyProtection="1">
      <alignment horizontal="left"/>
      <protection/>
    </xf>
    <xf numFmtId="2" fontId="0" fillId="0" borderId="0" xfId="0" applyNumberFormat="1" applyFont="1" applyBorder="1" applyAlignment="1" applyProtection="1">
      <alignment horizontal="left"/>
      <protection/>
    </xf>
    <xf numFmtId="0" fontId="33" fillId="0" borderId="0" xfId="0" applyFont="1" applyBorder="1" applyAlignment="1" applyProtection="1">
      <alignment horizontal="left"/>
      <protection/>
    </xf>
    <xf numFmtId="10" fontId="33" fillId="0" borderId="0" xfId="0" applyNumberFormat="1" applyFont="1" applyBorder="1" applyAlignment="1" applyProtection="1">
      <alignment horizontal="left"/>
      <protection/>
    </xf>
    <xf numFmtId="173" fontId="0" fillId="0" borderId="0" xfId="0" applyNumberFormat="1" applyFont="1" applyBorder="1" applyAlignment="1" applyProtection="1">
      <alignment horizontal="left"/>
      <protection/>
    </xf>
    <xf numFmtId="170" fontId="0" fillId="0" borderId="0" xfId="0" applyNumberFormat="1" applyFont="1" applyAlignment="1" applyProtection="1">
      <alignment horizontal="left"/>
      <protection/>
    </xf>
    <xf numFmtId="4" fontId="0" fillId="0" borderId="0" xfId="0" applyNumberFormat="1" applyFont="1" applyBorder="1" applyAlignment="1" applyProtection="1">
      <alignment horizontal="left"/>
      <protection/>
    </xf>
    <xf numFmtId="3" fontId="0" fillId="3" borderId="0" xfId="0" applyNumberFormat="1" applyFont="1" applyFill="1" applyBorder="1" applyAlignment="1" applyProtection="1">
      <alignment horizontal="left"/>
      <protection locked="0"/>
    </xf>
    <xf numFmtId="0" fontId="0" fillId="0" borderId="0" xfId="0" applyNumberFormat="1" applyFont="1" applyAlignment="1" applyProtection="1">
      <alignment horizontal="left"/>
      <protection/>
    </xf>
    <xf numFmtId="2" fontId="0" fillId="3" borderId="0" xfId="0" applyNumberFormat="1" applyFont="1" applyFill="1" applyBorder="1" applyAlignment="1" applyProtection="1">
      <alignment horizontal="left"/>
      <protection locked="0"/>
    </xf>
    <xf numFmtId="0" fontId="0" fillId="0" borderId="0" xfId="0" applyNumberFormat="1" applyFont="1" applyBorder="1" applyAlignment="1" applyProtection="1">
      <alignment horizontal="left"/>
      <protection/>
    </xf>
    <xf numFmtId="0" fontId="0" fillId="0" borderId="0"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0" fillId="0" borderId="0" xfId="0" applyFont="1" applyBorder="1" applyAlignment="1" applyProtection="1">
      <alignment horizontal="left"/>
      <protection/>
    </xf>
    <xf numFmtId="0" fontId="32" fillId="0" borderId="0" xfId="0" applyNumberFormat="1" applyFont="1" applyBorder="1" applyAlignment="1" applyProtection="1">
      <alignment horizontal="left" vertical="top" wrapText="1"/>
      <protection/>
    </xf>
    <xf numFmtId="0" fontId="34" fillId="0" borderId="0" xfId="0" applyFont="1" applyBorder="1" applyAlignment="1" applyProtection="1">
      <alignment horizontal="left"/>
      <protection/>
    </xf>
    <xf numFmtId="0" fontId="32" fillId="0" borderId="0" xfId="0" applyFont="1" applyBorder="1" applyAlignment="1" applyProtection="1">
      <alignment horizontal="left" vertical="top"/>
      <protection/>
    </xf>
    <xf numFmtId="0" fontId="0" fillId="0" borderId="0" xfId="0" applyFont="1" applyBorder="1" applyAlignment="1" applyProtection="1">
      <alignment horizontal="left" vertical="top"/>
      <protection/>
    </xf>
    <xf numFmtId="4" fontId="32" fillId="0" borderId="0" xfId="0" applyNumberFormat="1" applyFont="1" applyBorder="1" applyAlignment="1" applyProtection="1">
      <alignment horizontal="left" vertical="top" wrapText="1"/>
      <protection/>
    </xf>
    <xf numFmtId="4" fontId="32" fillId="0" borderId="0" xfId="0" applyNumberFormat="1" applyFont="1" applyBorder="1" applyAlignment="1" applyProtection="1">
      <alignment horizontal="left" vertical="top"/>
      <protection/>
    </xf>
    <xf numFmtId="4" fontId="34" fillId="0" borderId="0" xfId="0" applyNumberFormat="1" applyFont="1" applyBorder="1" applyAlignment="1" applyProtection="1">
      <alignment horizontal="left" vertical="top" wrapText="1"/>
      <protection/>
    </xf>
    <xf numFmtId="0" fontId="1" fillId="0" borderId="0" xfId="0" applyNumberFormat="1" applyFont="1" applyBorder="1" applyAlignment="1" applyProtection="1">
      <alignment horizontal="left"/>
      <protection/>
    </xf>
    <xf numFmtId="4" fontId="32" fillId="0" borderId="0" xfId="0" applyNumberFormat="1" applyFont="1" applyFill="1" applyBorder="1" applyAlignment="1" applyProtection="1">
      <alignment horizontal="left" vertical="top" wrapText="1"/>
      <protection/>
    </xf>
    <xf numFmtId="2" fontId="0" fillId="0" borderId="0" xfId="0" applyNumberFormat="1" applyFont="1" applyBorder="1" applyAlignment="1" applyProtection="1">
      <alignment horizontal="left" vertical="top" wrapText="1"/>
      <protection/>
    </xf>
    <xf numFmtId="3" fontId="32" fillId="0" borderId="0" xfId="0" applyNumberFormat="1" applyFont="1" applyFill="1" applyBorder="1" applyAlignment="1" applyProtection="1">
      <alignment horizontal="left" vertical="top" wrapText="1"/>
      <protection/>
    </xf>
    <xf numFmtId="3" fontId="32" fillId="0" borderId="0" xfId="0" applyNumberFormat="1" applyFont="1" applyBorder="1" applyAlignment="1" applyProtection="1">
      <alignment horizontal="left" vertical="top" wrapText="1"/>
      <protection/>
    </xf>
    <xf numFmtId="10" fontId="0" fillId="3" borderId="0" xfId="0" applyNumberFormat="1" applyFont="1" applyFill="1" applyAlignment="1" applyProtection="1">
      <alignment horizontal="left"/>
      <protection locked="0"/>
    </xf>
    <xf numFmtId="0" fontId="0" fillId="3" borderId="0" xfId="0" applyFont="1" applyFill="1" applyAlignment="1" applyProtection="1">
      <alignment horizontal="left"/>
      <protection locked="0"/>
    </xf>
    <xf numFmtId="172" fontId="0" fillId="0" borderId="0" xfId="0" applyNumberFormat="1" applyFont="1" applyAlignment="1" applyProtection="1">
      <alignment horizontal="left"/>
      <protection/>
    </xf>
    <xf numFmtId="49" fontId="0" fillId="0" borderId="0" xfId="0" applyNumberFormat="1" applyFont="1" applyBorder="1" applyAlignment="1" applyProtection="1">
      <alignment horizontal="left"/>
      <protection/>
    </xf>
    <xf numFmtId="14" fontId="0" fillId="0" borderId="0" xfId="0" applyNumberFormat="1" applyFont="1" applyBorder="1" applyAlignment="1" applyProtection="1">
      <alignment horizontal="left"/>
      <protection/>
    </xf>
    <xf numFmtId="170" fontId="0" fillId="0" borderId="0" xfId="0" applyNumberFormat="1" applyFont="1" applyBorder="1" applyAlignment="1" applyProtection="1">
      <alignment horizontal="left"/>
      <protection/>
    </xf>
    <xf numFmtId="170" fontId="0" fillId="3" borderId="0" xfId="0" applyNumberFormat="1" applyFont="1" applyFill="1" applyBorder="1" applyAlignment="1" applyProtection="1">
      <alignment horizontal="left" vertical="top" wrapText="1"/>
      <protection locked="0"/>
    </xf>
    <xf numFmtId="178" fontId="33" fillId="0" borderId="0" xfId="0" applyNumberFormat="1" applyFont="1" applyBorder="1" applyAlignment="1" applyProtection="1">
      <alignment horizontal="left"/>
      <protection/>
    </xf>
    <xf numFmtId="3" fontId="0" fillId="0" borderId="0" xfId="0" applyNumberFormat="1" applyFont="1" applyBorder="1" applyAlignment="1" applyProtection="1">
      <alignment horizontal="left"/>
      <protection/>
    </xf>
    <xf numFmtId="0" fontId="1" fillId="0" borderId="0" xfId="0" applyFont="1" applyFill="1" applyAlignment="1" applyProtection="1">
      <alignment horizontal="left"/>
      <protection/>
    </xf>
    <xf numFmtId="0" fontId="10" fillId="2" borderId="0" xfId="0" applyFont="1" applyFill="1" applyBorder="1" applyAlignment="1" applyProtection="1" quotePrefix="1">
      <alignment/>
      <protection/>
    </xf>
    <xf numFmtId="0" fontId="1" fillId="4" borderId="0" xfId="0" applyFont="1" applyFill="1" applyBorder="1" applyAlignment="1" applyProtection="1">
      <alignment horizontal="center"/>
      <protection locked="0"/>
    </xf>
    <xf numFmtId="170" fontId="0" fillId="5" borderId="0" xfId="0" applyNumberFormat="1" applyFont="1" applyFill="1" applyBorder="1" applyAlignment="1" applyProtection="1">
      <alignment/>
      <protection/>
    </xf>
    <xf numFmtId="0" fontId="0" fillId="5" borderId="0" xfId="0"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Font="1" applyFill="1" applyBorder="1" applyAlignment="1" applyProtection="1">
      <alignment horizontal="center"/>
      <protection/>
    </xf>
    <xf numFmtId="15" fontId="1" fillId="2" borderId="0" xfId="0" applyNumberFormat="1" applyFont="1" applyFill="1" applyBorder="1" applyAlignment="1" applyProtection="1">
      <alignment/>
      <protection/>
    </xf>
    <xf numFmtId="49" fontId="1" fillId="2" borderId="0" xfId="0" applyNumberFormat="1" applyFont="1" applyFill="1" applyBorder="1" applyAlignment="1" applyProtection="1">
      <alignment horizontal="left"/>
      <protection/>
    </xf>
    <xf numFmtId="0" fontId="10" fillId="2" borderId="0" xfId="0" applyFont="1" applyFill="1" applyBorder="1" applyAlignment="1" applyProtection="1" quotePrefix="1">
      <alignment horizontal="left"/>
      <protection/>
    </xf>
    <xf numFmtId="168" fontId="10" fillId="5" borderId="0" xfId="0" applyNumberFormat="1" applyFont="1" applyFill="1" applyBorder="1" applyAlignment="1" applyProtection="1">
      <alignment/>
      <protection locked="0"/>
    </xf>
    <xf numFmtId="2" fontId="9" fillId="5" borderId="0" xfId="0" applyNumberFormat="1" applyFont="1" applyFill="1" applyBorder="1" applyAlignment="1" applyProtection="1">
      <alignment horizontal="center"/>
      <protection/>
    </xf>
    <xf numFmtId="0" fontId="0" fillId="4" borderId="4" xfId="0" applyNumberFormat="1" applyFont="1" applyFill="1" applyBorder="1" applyAlignment="1" applyProtection="1">
      <alignment/>
      <protection/>
    </xf>
    <xf numFmtId="0" fontId="0" fillId="4" borderId="0" xfId="0" applyNumberFormat="1" applyFont="1" applyFill="1" applyBorder="1" applyAlignment="1" applyProtection="1">
      <alignment horizontal="right"/>
      <protection/>
    </xf>
    <xf numFmtId="0" fontId="0" fillId="4" borderId="5" xfId="0" applyNumberFormat="1" applyFont="1" applyFill="1" applyBorder="1" applyAlignment="1" applyProtection="1">
      <alignment/>
      <protection/>
    </xf>
    <xf numFmtId="0" fontId="0" fillId="4" borderId="0" xfId="0" applyNumberFormat="1" applyFill="1" applyBorder="1" applyAlignment="1" applyProtection="1">
      <alignment/>
      <protection/>
    </xf>
    <xf numFmtId="0" fontId="9" fillId="2" borderId="0" xfId="0" applyFont="1" applyFill="1" applyBorder="1" applyAlignment="1" applyProtection="1" quotePrefix="1">
      <alignment horizontal="left"/>
      <protection/>
    </xf>
    <xf numFmtId="0" fontId="9" fillId="2" borderId="0" xfId="0" applyFont="1" applyFill="1" applyBorder="1" applyAlignment="1" applyProtection="1" quotePrefix="1">
      <alignment/>
      <protection/>
    </xf>
    <xf numFmtId="0" fontId="0" fillId="2" borderId="0" xfId="0" applyFont="1" applyFill="1" applyBorder="1" applyAlignment="1" applyProtection="1">
      <alignment horizontal="left"/>
      <protection locked="0"/>
    </xf>
    <xf numFmtId="0" fontId="0" fillId="2" borderId="0" xfId="0" applyFont="1" applyFill="1" applyBorder="1" applyAlignment="1" applyProtection="1">
      <alignment/>
      <protection locked="0"/>
    </xf>
    <xf numFmtId="0" fontId="0" fillId="2" borderId="0" xfId="0" applyFont="1" applyFill="1" applyBorder="1" applyAlignment="1" applyProtection="1">
      <alignment horizontal="center"/>
      <protection locked="0"/>
    </xf>
    <xf numFmtId="168" fontId="0" fillId="2" borderId="0" xfId="21" applyNumberFormat="1" applyFont="1" applyFill="1" applyBorder="1" applyAlignment="1" applyProtection="1">
      <alignment/>
      <protection locked="0"/>
    </xf>
    <xf numFmtId="0" fontId="0" fillId="4" borderId="5" xfId="0" applyFont="1" applyFill="1" applyBorder="1" applyAlignment="1" applyProtection="1">
      <alignment horizontal="right"/>
      <protection/>
    </xf>
    <xf numFmtId="4" fontId="0" fillId="4" borderId="0" xfId="0" applyNumberFormat="1" applyFont="1" applyFill="1" applyBorder="1" applyAlignment="1" applyProtection="1">
      <alignment horizontal="center"/>
      <protection locked="0"/>
    </xf>
    <xf numFmtId="1" fontId="1" fillId="2" borderId="0" xfId="0" applyNumberFormat="1" applyFont="1" applyFill="1" applyBorder="1" applyAlignment="1" applyProtection="1">
      <alignment horizontal="left"/>
      <protection/>
    </xf>
    <xf numFmtId="176" fontId="9" fillId="5" borderId="0" xfId="0" applyNumberFormat="1" applyFont="1" applyFill="1" applyBorder="1" applyAlignment="1" applyProtection="1">
      <alignment horizontal="center"/>
      <protection/>
    </xf>
    <xf numFmtId="3" fontId="0" fillId="4" borderId="7" xfId="0" applyNumberFormat="1" applyFont="1" applyFill="1" applyBorder="1" applyAlignment="1" applyProtection="1">
      <alignment/>
      <protection/>
    </xf>
    <xf numFmtId="176" fontId="0" fillId="4" borderId="7" xfId="0" applyNumberFormat="1" applyFont="1" applyFill="1" applyBorder="1" applyAlignment="1" applyProtection="1">
      <alignment horizontal="center"/>
      <protection/>
    </xf>
    <xf numFmtId="1" fontId="0" fillId="4" borderId="0" xfId="0" applyNumberFormat="1" applyFont="1" applyFill="1" applyBorder="1" applyAlignment="1" applyProtection="1">
      <alignment/>
      <protection locked="0"/>
    </xf>
    <xf numFmtId="1" fontId="0" fillId="4" borderId="0" xfId="0" applyNumberFormat="1" applyFont="1" applyFill="1" applyBorder="1" applyAlignment="1" applyProtection="1">
      <alignment horizontal="left"/>
      <protection locked="0"/>
    </xf>
    <xf numFmtId="2" fontId="0" fillId="4" borderId="7" xfId="0" applyNumberFormat="1" applyFont="1" applyFill="1" applyBorder="1" applyAlignment="1" applyProtection="1">
      <alignment horizontal="center"/>
      <protection/>
    </xf>
    <xf numFmtId="2" fontId="0" fillId="4" borderId="0" xfId="0" applyNumberFormat="1" applyFont="1" applyFill="1" applyAlignment="1" applyProtection="1">
      <alignment horizontal="center"/>
      <protection/>
    </xf>
    <xf numFmtId="168" fontId="0" fillId="5" borderId="0" xfId="21" applyNumberFormat="1" applyFont="1" applyFill="1" applyBorder="1" applyAlignment="1" applyProtection="1">
      <alignment/>
      <protection/>
    </xf>
    <xf numFmtId="168" fontId="0" fillId="2" borderId="0" xfId="0" applyNumberFormat="1" applyFont="1" applyFill="1" applyBorder="1" applyAlignment="1" applyProtection="1">
      <alignment/>
      <protection/>
    </xf>
    <xf numFmtId="168" fontId="0" fillId="2" borderId="0" xfId="21" applyNumberFormat="1" applyFont="1" applyFill="1" applyBorder="1" applyAlignment="1" applyProtection="1">
      <alignment/>
      <protection/>
    </xf>
    <xf numFmtId="168" fontId="9" fillId="2" borderId="0" xfId="0" applyNumberFormat="1" applyFont="1" applyFill="1" applyBorder="1" applyAlignment="1" applyProtection="1">
      <alignment/>
      <protection/>
    </xf>
    <xf numFmtId="168" fontId="9" fillId="4" borderId="0" xfId="0" applyNumberFormat="1" applyFont="1" applyFill="1" applyBorder="1" applyAlignment="1" applyProtection="1">
      <alignment/>
      <protection/>
    </xf>
    <xf numFmtId="168" fontId="1" fillId="2" borderId="0" xfId="0" applyNumberFormat="1" applyFont="1" applyFill="1" applyBorder="1" applyAlignment="1" applyProtection="1">
      <alignment/>
      <protection/>
    </xf>
    <xf numFmtId="168" fontId="0" fillId="4" borderId="0" xfId="0" applyNumberFormat="1" applyFont="1" applyFill="1" applyBorder="1" applyAlignment="1" applyProtection="1">
      <alignment/>
      <protection/>
    </xf>
    <xf numFmtId="168" fontId="1" fillId="4" borderId="0" xfId="0" applyNumberFormat="1" applyFont="1" applyFill="1" applyBorder="1" applyAlignment="1" applyProtection="1">
      <alignment/>
      <protection/>
    </xf>
    <xf numFmtId="168" fontId="0" fillId="3" borderId="0" xfId="0" applyNumberFormat="1" applyFont="1" applyFill="1" applyBorder="1" applyAlignment="1" applyProtection="1">
      <alignment horizontal="left"/>
      <protection locked="0"/>
    </xf>
    <xf numFmtId="0" fontId="5" fillId="2" borderId="0" xfId="0" applyFont="1" applyFill="1" applyBorder="1" applyAlignment="1" applyProtection="1">
      <alignment horizontal="left"/>
      <protection/>
    </xf>
    <xf numFmtId="10" fontId="0" fillId="2" borderId="0" xfId="0" applyNumberFormat="1" applyFont="1" applyFill="1" applyBorder="1" applyAlignment="1" applyProtection="1">
      <alignment horizontal="center"/>
      <protection/>
    </xf>
    <xf numFmtId="0" fontId="9" fillId="5" borderId="0" xfId="0" applyFont="1" applyFill="1" applyBorder="1" applyAlignment="1" applyProtection="1">
      <alignment horizontal="right"/>
      <protection/>
    </xf>
    <xf numFmtId="9" fontId="30" fillId="2" borderId="0" xfId="20" applyFont="1" applyFill="1" applyBorder="1" applyAlignment="1" applyProtection="1">
      <alignment/>
      <protection/>
    </xf>
    <xf numFmtId="170" fontId="9" fillId="5" borderId="0" xfId="0" applyNumberFormat="1" applyFont="1" applyFill="1" applyBorder="1" applyAlignment="1" applyProtection="1">
      <alignment/>
      <protection/>
    </xf>
    <xf numFmtId="0" fontId="0" fillId="4" borderId="0" xfId="0" applyFont="1" applyFill="1" applyAlignment="1" applyProtection="1">
      <alignment/>
      <protection/>
    </xf>
    <xf numFmtId="0" fontId="0" fillId="4" borderId="4" xfId="0" applyFont="1" applyFill="1" applyBorder="1" applyAlignment="1" applyProtection="1">
      <alignment/>
      <protection/>
    </xf>
    <xf numFmtId="0" fontId="1"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4" borderId="0" xfId="0" applyFont="1" applyFill="1" applyBorder="1" applyAlignment="1" applyProtection="1">
      <alignment horizontal="center"/>
      <protection/>
    </xf>
    <xf numFmtId="0" fontId="0" fillId="4" borderId="5" xfId="0" applyFont="1" applyFill="1" applyBorder="1" applyAlignment="1" applyProtection="1">
      <alignment/>
      <protection/>
    </xf>
    <xf numFmtId="0" fontId="0" fillId="4" borderId="0" xfId="0" applyFont="1" applyFill="1" applyAlignment="1" applyProtection="1">
      <alignment/>
      <protection/>
    </xf>
    <xf numFmtId="0" fontId="0" fillId="4" borderId="4" xfId="0" applyFont="1" applyFill="1" applyBorder="1" applyAlignment="1" applyProtection="1">
      <alignment/>
      <protection/>
    </xf>
    <xf numFmtId="175" fontId="9" fillId="2"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locked="0"/>
    </xf>
    <xf numFmtId="1" fontId="0" fillId="2" borderId="0" xfId="0" applyNumberFormat="1" applyFont="1" applyFill="1" applyBorder="1" applyAlignment="1" applyProtection="1">
      <alignment/>
      <protection locked="0"/>
    </xf>
    <xf numFmtId="1" fontId="9" fillId="2" borderId="0" xfId="0" applyNumberFormat="1" applyFont="1" applyFill="1" applyBorder="1" applyAlignment="1" applyProtection="1">
      <alignment/>
      <protection locked="0"/>
    </xf>
    <xf numFmtId="3" fontId="0" fillId="2" borderId="0" xfId="0" applyNumberFormat="1" applyFont="1" applyFill="1" applyBorder="1" applyAlignment="1" applyProtection="1">
      <alignment/>
      <protection locked="0"/>
    </xf>
    <xf numFmtId="176" fontId="0" fillId="2"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left" wrapText="1"/>
      <protection/>
    </xf>
    <xf numFmtId="168" fontId="0" fillId="6" borderId="0" xfId="0" applyNumberFormat="1" applyFont="1" applyFill="1" applyBorder="1" applyAlignment="1" applyProtection="1">
      <alignment horizontal="left"/>
      <protection/>
    </xf>
    <xf numFmtId="173" fontId="0" fillId="0" borderId="0" xfId="0" applyNumberFormat="1" applyFont="1" applyFill="1" applyBorder="1" applyAlignment="1" applyProtection="1">
      <alignment horizontal="left"/>
      <protection/>
    </xf>
    <xf numFmtId="172" fontId="0" fillId="0" borderId="0" xfId="0" applyNumberFormat="1" applyFont="1" applyFill="1" applyBorder="1" applyAlignment="1" applyProtection="1">
      <alignment horizontal="left"/>
      <protection/>
    </xf>
    <xf numFmtId="0" fontId="32" fillId="0" borderId="0" xfId="0" applyFont="1" applyFill="1" applyBorder="1" applyAlignment="1" applyProtection="1">
      <alignment horizontal="left" vertical="top" wrapText="1"/>
      <protection/>
    </xf>
    <xf numFmtId="16" fontId="0" fillId="0" borderId="0" xfId="0" applyNumberFormat="1" applyFont="1" applyFill="1" applyAlignment="1" applyProtection="1" quotePrefix="1">
      <alignment horizontal="left"/>
      <protection/>
    </xf>
    <xf numFmtId="185" fontId="0" fillId="3" borderId="0" xfId="0" applyNumberFormat="1" applyFont="1" applyFill="1" applyAlignment="1" applyProtection="1">
      <alignment horizontal="left"/>
      <protection locked="0"/>
    </xf>
    <xf numFmtId="0" fontId="9" fillId="0" borderId="0" xfId="0" applyFont="1" applyBorder="1" applyAlignment="1" applyProtection="1">
      <alignment horizontal="left"/>
      <protection/>
    </xf>
    <xf numFmtId="170" fontId="0" fillId="3" borderId="0" xfId="0" applyNumberFormat="1" applyFont="1" applyFill="1" applyBorder="1" applyAlignment="1" applyProtection="1">
      <alignment horizontal="left"/>
      <protection locked="0"/>
    </xf>
    <xf numFmtId="49" fontId="0" fillId="3" borderId="0" xfId="0" applyNumberFormat="1" applyFont="1" applyFill="1" applyBorder="1" applyAlignment="1" applyProtection="1">
      <alignment horizontal="left"/>
      <protection locked="0"/>
    </xf>
    <xf numFmtId="14" fontId="0" fillId="3" borderId="0" xfId="0" applyNumberFormat="1" applyFont="1" applyFill="1" applyBorder="1" applyAlignment="1" applyProtection="1">
      <alignment horizontal="left"/>
      <protection locked="0"/>
    </xf>
    <xf numFmtId="9" fontId="0" fillId="3" borderId="0" xfId="0" applyNumberFormat="1" applyFont="1" applyFill="1" applyAlignment="1" applyProtection="1">
      <alignment horizontal="left"/>
      <protection locked="0"/>
    </xf>
    <xf numFmtId="0" fontId="0" fillId="3" borderId="0" xfId="0" applyFont="1" applyFill="1" applyBorder="1" applyAlignment="1" applyProtection="1">
      <alignment horizontal="left"/>
      <protection locked="0"/>
    </xf>
    <xf numFmtId="170" fontId="0" fillId="3" borderId="0" xfId="0" applyNumberFormat="1" applyFont="1" applyFill="1" applyBorder="1" applyAlignment="1" applyProtection="1">
      <alignment horizontal="left"/>
      <protection locked="0"/>
    </xf>
    <xf numFmtId="170" fontId="1" fillId="3" borderId="0" xfId="0" applyNumberFormat="1" applyFont="1" applyFill="1" applyAlignment="1" applyProtection="1">
      <alignment horizontal="left"/>
      <protection locked="0"/>
    </xf>
    <xf numFmtId="10" fontId="0" fillId="0" borderId="0" xfId="0" applyNumberFormat="1" applyFont="1" applyFill="1" applyAlignment="1" applyProtection="1">
      <alignment horizontal="left"/>
      <protection/>
    </xf>
    <xf numFmtId="170" fontId="32" fillId="3" borderId="0" xfId="15" applyFont="1" applyFill="1" applyBorder="1" applyAlignment="1" applyProtection="1">
      <alignment horizontal="right" vertical="top" wrapText="1"/>
      <protection locked="0"/>
    </xf>
    <xf numFmtId="170" fontId="32" fillId="3" borderId="0" xfId="0" applyNumberFormat="1" applyFont="1" applyFill="1" applyBorder="1" applyAlignment="1" applyProtection="1">
      <alignment horizontal="right" vertical="top" wrapText="1"/>
      <protection locked="0"/>
    </xf>
    <xf numFmtId="42" fontId="0" fillId="3" borderId="0" xfId="0" applyNumberFormat="1" applyFont="1" applyFill="1" applyBorder="1" applyAlignment="1" applyProtection="1">
      <alignment horizontal="right"/>
      <protection locked="0"/>
    </xf>
    <xf numFmtId="44" fontId="32" fillId="3" borderId="0" xfId="0" applyNumberFormat="1" applyFont="1" applyFill="1" applyBorder="1" applyAlignment="1" applyProtection="1">
      <alignment horizontal="right" vertical="top" wrapText="1"/>
      <protection locked="0"/>
    </xf>
    <xf numFmtId="44" fontId="0" fillId="3" borderId="0" xfId="0" applyNumberFormat="1" applyFont="1" applyFill="1" applyBorder="1" applyAlignment="1" applyProtection="1">
      <alignment horizontal="right"/>
      <protection locked="0"/>
    </xf>
    <xf numFmtId="0" fontId="37" fillId="4" borderId="0" xfId="17" applyFont="1" applyFill="1" applyAlignment="1">
      <alignment wrapText="1"/>
    </xf>
    <xf numFmtId="170" fontId="32" fillId="0" borderId="0" xfId="0" applyNumberFormat="1" applyFont="1" applyFill="1" applyBorder="1" applyAlignment="1" applyProtection="1">
      <alignment horizontal="right" vertical="top" wrapText="1"/>
      <protection/>
    </xf>
    <xf numFmtId="44" fontId="0" fillId="3" borderId="0" xfId="0" applyNumberFormat="1" applyFill="1" applyAlignment="1" applyProtection="1">
      <alignment/>
      <protection locked="0"/>
    </xf>
    <xf numFmtId="10" fontId="0" fillId="0" borderId="0" xfId="0" applyNumberFormat="1" applyFont="1" applyFill="1" applyAlignment="1" applyProtection="1">
      <alignment horizontal="left"/>
      <protection locked="0"/>
    </xf>
    <xf numFmtId="1" fontId="1" fillId="5" borderId="0" xfId="0" applyNumberFormat="1" applyFont="1" applyFill="1" applyBorder="1" applyAlignment="1" applyProtection="1">
      <alignment horizontal="center"/>
      <protection/>
    </xf>
    <xf numFmtId="0" fontId="9" fillId="4" borderId="0" xfId="0" applyFont="1" applyFill="1" applyAlignment="1" applyProtection="1">
      <alignment horizontal="left"/>
      <protection/>
    </xf>
    <xf numFmtId="49" fontId="1" fillId="2" borderId="0" xfId="0" applyNumberFormat="1" applyFont="1" applyFill="1" applyBorder="1" applyAlignment="1" applyProtection="1">
      <alignment/>
      <protection/>
    </xf>
    <xf numFmtId="0" fontId="9" fillId="0" borderId="0" xfId="0" applyFont="1" applyFill="1" applyBorder="1" applyAlignment="1" applyProtection="1">
      <alignment horizontal="left"/>
      <protection/>
    </xf>
    <xf numFmtId="10" fontId="0" fillId="3" borderId="0" xfId="0" applyNumberFormat="1" applyFont="1" applyFill="1" applyBorder="1" applyAlignment="1" applyProtection="1">
      <alignment horizontal="left"/>
      <protection/>
    </xf>
    <xf numFmtId="187" fontId="0" fillId="0" borderId="0" xfId="0" applyNumberFormat="1" applyFont="1" applyFill="1" applyBorder="1" applyAlignment="1" applyProtection="1">
      <alignment horizontal="center"/>
      <protection/>
    </xf>
    <xf numFmtId="42" fontId="0" fillId="5" borderId="0" xfId="0" applyNumberFormat="1" applyFont="1" applyFill="1" applyBorder="1" applyAlignment="1" applyProtection="1">
      <alignment/>
      <protection/>
    </xf>
    <xf numFmtId="176" fontId="0" fillId="2" borderId="0" xfId="0" applyNumberFormat="1" applyFont="1" applyFill="1" applyBorder="1" applyAlignment="1" applyProtection="1">
      <alignment/>
      <protection/>
    </xf>
    <xf numFmtId="176" fontId="0" fillId="3" borderId="0" xfId="0" applyNumberFormat="1" applyFont="1" applyFill="1" applyBorder="1" applyAlignment="1" applyProtection="1">
      <alignment/>
      <protection/>
    </xf>
    <xf numFmtId="0" fontId="10" fillId="0" borderId="0" xfId="0" applyFont="1" applyFill="1" applyBorder="1" applyAlignment="1" applyProtection="1">
      <alignment horizontal="center"/>
      <protection/>
    </xf>
    <xf numFmtId="0" fontId="10" fillId="0" borderId="5" xfId="0" applyFont="1" applyFill="1" applyBorder="1" applyAlignment="1" applyProtection="1">
      <alignment horizontal="center"/>
      <protection/>
    </xf>
    <xf numFmtId="176" fontId="0" fillId="5" borderId="0" xfId="0" applyNumberFormat="1" applyFont="1" applyFill="1" applyBorder="1" applyAlignment="1" applyProtection="1">
      <alignment/>
      <protection/>
    </xf>
    <xf numFmtId="176" fontId="0" fillId="4" borderId="7" xfId="0" applyNumberFormat="1" applyFont="1" applyFill="1" applyBorder="1" applyAlignment="1" applyProtection="1">
      <alignment/>
      <protection/>
    </xf>
    <xf numFmtId="42" fontId="1" fillId="5" borderId="0" xfId="0" applyNumberFormat="1" applyFont="1" applyFill="1" applyBorder="1" applyAlignment="1" applyProtection="1">
      <alignment/>
      <protection/>
    </xf>
    <xf numFmtId="42" fontId="0" fillId="4" borderId="0" xfId="0" applyNumberFormat="1" applyFont="1" applyFill="1" applyBorder="1" applyAlignment="1" applyProtection="1">
      <alignment/>
      <protection/>
    </xf>
    <xf numFmtId="170" fontId="9" fillId="4" borderId="8" xfId="21" applyNumberFormat="1" applyFont="1" applyFill="1" applyBorder="1" applyAlignment="1" applyProtection="1">
      <alignment/>
      <protection/>
    </xf>
    <xf numFmtId="0" fontId="10" fillId="0" borderId="0" xfId="0" applyFont="1" applyFill="1" applyBorder="1" applyAlignment="1" applyProtection="1">
      <alignment horizontal="left"/>
      <protection/>
    </xf>
    <xf numFmtId="0" fontId="8" fillId="4" borderId="0" xfId="0" applyFont="1" applyFill="1" applyAlignment="1">
      <alignment horizontal="left" wrapText="1"/>
    </xf>
    <xf numFmtId="176" fontId="10" fillId="5" borderId="0" xfId="0" applyNumberFormat="1" applyFont="1" applyFill="1" applyBorder="1" applyAlignment="1" applyProtection="1">
      <alignment/>
      <protection/>
    </xf>
    <xf numFmtId="42" fontId="0" fillId="4" borderId="0" xfId="0" applyNumberFormat="1" applyFill="1" applyBorder="1" applyAlignment="1" applyProtection="1">
      <alignment horizontal="center"/>
      <protection/>
    </xf>
    <xf numFmtId="168" fontId="0" fillId="4" borderId="0" xfId="0" applyNumberFormat="1" applyFill="1" applyBorder="1" applyAlignment="1" applyProtection="1">
      <alignment horizontal="center"/>
      <protection/>
    </xf>
    <xf numFmtId="42" fontId="1" fillId="4" borderId="0" xfId="0" applyNumberFormat="1" applyFont="1" applyFill="1" applyBorder="1" applyAlignment="1" applyProtection="1">
      <alignment horizontal="center"/>
      <protection/>
    </xf>
    <xf numFmtId="2" fontId="1" fillId="0" borderId="0" xfId="0" applyNumberFormat="1" applyFont="1" applyFill="1" applyBorder="1" applyAlignment="1" applyProtection="1">
      <alignment horizontal="left" wrapText="1"/>
      <protection/>
    </xf>
    <xf numFmtId="0" fontId="1" fillId="0" borderId="0" xfId="0" applyFont="1" applyAlignment="1">
      <alignment/>
    </xf>
    <xf numFmtId="0" fontId="1" fillId="4" borderId="0" xfId="0" applyFont="1" applyFill="1" applyAlignment="1">
      <alignment/>
    </xf>
    <xf numFmtId="0" fontId="1" fillId="0" borderId="0" xfId="0" applyFont="1" applyAlignment="1">
      <alignment wrapText="1"/>
    </xf>
    <xf numFmtId="0" fontId="1" fillId="4" borderId="0" xfId="0" applyFont="1" applyFill="1" applyAlignment="1">
      <alignment wrapText="1"/>
    </xf>
    <xf numFmtId="42" fontId="0" fillId="0" borderId="0" xfId="0" applyNumberFormat="1" applyFont="1" applyFill="1" applyBorder="1" applyAlignment="1" applyProtection="1">
      <alignment horizontal="left"/>
      <protection/>
    </xf>
    <xf numFmtId="49" fontId="10" fillId="5" borderId="0" xfId="0" applyNumberFormat="1" applyFont="1" applyFill="1" applyBorder="1" applyAlignment="1" applyProtection="1">
      <alignment horizontal="center"/>
      <protection/>
    </xf>
    <xf numFmtId="0" fontId="10" fillId="5" borderId="0" xfId="0" applyFont="1" applyFill="1" applyBorder="1" applyAlignment="1" applyProtection="1">
      <alignment horizontal="center"/>
      <protection/>
    </xf>
    <xf numFmtId="0" fontId="10" fillId="5" borderId="0" xfId="0" applyNumberFormat="1" applyFont="1" applyFill="1" applyBorder="1" applyAlignment="1" applyProtection="1">
      <alignment horizontal="center"/>
      <protection/>
    </xf>
    <xf numFmtId="168" fontId="10" fillId="5" borderId="0" xfId="0" applyNumberFormat="1" applyFont="1" applyFill="1" applyBorder="1" applyAlignment="1" applyProtection="1">
      <alignment horizontal="center"/>
      <protection/>
    </xf>
    <xf numFmtId="2" fontId="10" fillId="5" borderId="0" xfId="0" applyNumberFormat="1" applyFont="1" applyFill="1" applyBorder="1" applyAlignment="1" applyProtection="1">
      <alignment horizontal="center"/>
      <protection/>
    </xf>
    <xf numFmtId="49" fontId="1" fillId="5" borderId="0" xfId="0" applyNumberFormat="1" applyFont="1" applyFill="1" applyBorder="1" applyAlignment="1" applyProtection="1">
      <alignment horizontal="center"/>
      <protection/>
    </xf>
    <xf numFmtId="0" fontId="0" fillId="5" borderId="0" xfId="0" applyFill="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protection/>
    </xf>
  </cellXfs>
  <cellStyles count="9">
    <cellStyle name="Normal" xfId="0"/>
    <cellStyle name="Euro" xfId="15"/>
    <cellStyle name="Followed Hyperlink" xfId="16"/>
    <cellStyle name="Hyperlink"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Desinvesteringen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4"/>
              <c:pt idx="0">
                <c:v>2007</c:v>
              </c:pt>
              <c:pt idx="1">
                <c:v>2008</c:v>
              </c:pt>
              <c:pt idx="2">
                <c:v>2009</c:v>
              </c:pt>
              <c:pt idx="3">
                <c:v>2010</c:v>
              </c:pt>
            </c:numLit>
          </c:cat>
          <c:val>
            <c:numLit>
              <c:ptCount val="4"/>
              <c:pt idx="0">
                <c:v>0</c:v>
              </c:pt>
              <c:pt idx="1">
                <c:v>0</c:v>
              </c:pt>
              <c:pt idx="2">
                <c:v>0</c:v>
              </c:pt>
              <c:pt idx="3">
                <c:v>0</c:v>
              </c:pt>
            </c:numLit>
          </c:val>
        </c:ser>
        <c:axId val="23765179"/>
        <c:axId val="12437924"/>
      </c:barChart>
      <c:catAx>
        <c:axId val="23765179"/>
        <c:scaling>
          <c:orientation val="minMax"/>
        </c:scaling>
        <c:axPos val="b"/>
        <c:delete val="0"/>
        <c:numFmt formatCode="General" sourceLinked="1"/>
        <c:majorTickMark val="out"/>
        <c:minorTickMark val="none"/>
        <c:tickLblPos val="nextTo"/>
        <c:crossAx val="12437924"/>
        <c:crosses val="autoZero"/>
        <c:auto val="1"/>
        <c:lblOffset val="100"/>
        <c:tickLblSkip val="2"/>
        <c:tickMarkSkip val="2"/>
        <c:noMultiLvlLbl val="0"/>
      </c:catAx>
      <c:valAx>
        <c:axId val="12437924"/>
        <c:scaling>
          <c:orientation val="minMax"/>
        </c:scaling>
        <c:axPos val="l"/>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23765179"/>
        <c:crossesAt val="1"/>
        <c:crossBetween val="between"/>
        <c:dispUnits/>
      </c:valAx>
      <c:spPr>
        <a:gradFill rotWithShape="1">
          <a:gsLst>
            <a:gs pos="0">
              <a:srgbClr val="FFFFFF"/>
            </a:gs>
            <a:gs pos="100000">
              <a:srgbClr val="C0C0C0"/>
            </a:gs>
          </a:gsLst>
          <a:lin ang="5400000" scaled="1"/>
        </a:gra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Afschrijvingen (totaal)</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4"/>
              <c:pt idx="0">
                <c:v>2007</c:v>
              </c:pt>
              <c:pt idx="1">
                <c:v>2008</c:v>
              </c:pt>
              <c:pt idx="2">
                <c:v>2009</c:v>
              </c:pt>
              <c:pt idx="3">
                <c:v>2010</c:v>
              </c:pt>
            </c:numLit>
          </c:cat>
          <c:val>
            <c:numLit>
              <c:ptCount val="4"/>
              <c:pt idx="0">
                <c:v>300</c:v>
              </c:pt>
              <c:pt idx="1">
                <c:v>300</c:v>
              </c:pt>
              <c:pt idx="2">
                <c:v>300</c:v>
              </c:pt>
              <c:pt idx="3">
                <c:v>300</c:v>
              </c:pt>
            </c:numLit>
          </c:val>
        </c:ser>
        <c:axId val="37873029"/>
        <c:axId val="11279006"/>
      </c:barChart>
      <c:catAx>
        <c:axId val="37873029"/>
        <c:scaling>
          <c:orientation val="minMax"/>
        </c:scaling>
        <c:axPos val="b"/>
        <c:delete val="0"/>
        <c:numFmt formatCode="General" sourceLinked="1"/>
        <c:majorTickMark val="out"/>
        <c:minorTickMark val="none"/>
        <c:tickLblPos val="nextTo"/>
        <c:crossAx val="11279006"/>
        <c:crosses val="autoZero"/>
        <c:auto val="1"/>
        <c:lblOffset val="100"/>
        <c:tickLblSkip val="2"/>
        <c:tickMarkSkip val="2"/>
        <c:noMultiLvlLbl val="0"/>
      </c:catAx>
      <c:valAx>
        <c:axId val="11279006"/>
        <c:scaling>
          <c:orientation val="minMax"/>
        </c:scaling>
        <c:axPos val="l"/>
        <c:delete val="0"/>
        <c:numFmt formatCode="General" sourceLinked="1"/>
        <c:majorTickMark val="out"/>
        <c:minorTickMark val="none"/>
        <c:tickLblPos val="nextTo"/>
        <c:txPr>
          <a:bodyPr/>
          <a:lstStyle/>
          <a:p>
            <a:pPr>
              <a:defRPr lang="en-US" cap="none" sz="300" b="0" i="0" u="none" baseline="0">
                <a:latin typeface="Arial"/>
                <a:ea typeface="Arial"/>
                <a:cs typeface="Arial"/>
              </a:defRPr>
            </a:pPr>
          </a:p>
        </c:txPr>
        <c:crossAx val="37873029"/>
        <c:crossesAt val="1"/>
        <c:crossBetween val="between"/>
        <c:dispUnits/>
      </c:valAx>
      <c:spPr>
        <a:gradFill rotWithShape="1">
          <a:gsLst>
            <a:gs pos="0">
              <a:srgbClr val="FFFFFF"/>
            </a:gs>
            <a:gs pos="100000">
              <a:srgbClr val="C0C0C0"/>
            </a:gs>
          </a:gsLst>
          <a:lin ang="5400000" scaled="1"/>
        </a:gra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Waarde materiële vaste activa
</a:t>
            </a:r>
            <a:r>
              <a:rPr lang="en-US" cap="none" sz="125" b="0" i="1" u="none" baseline="0">
                <a:latin typeface="Arial"/>
                <a:ea typeface="Arial"/>
                <a:cs typeface="Arial"/>
              </a:rPr>
              <a:t>(per 31-12)</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4"/>
              <c:pt idx="0">
                <c:v>2007</c:v>
              </c:pt>
              <c:pt idx="1">
                <c:v>2008</c:v>
              </c:pt>
              <c:pt idx="2">
                <c:v>2009</c:v>
              </c:pt>
              <c:pt idx="3">
                <c:v>2010</c:v>
              </c:pt>
            </c:numLit>
          </c:cat>
          <c:val>
            <c:numLit>
              <c:ptCount val="4"/>
              <c:pt idx="0">
                <c:v>11700</c:v>
              </c:pt>
              <c:pt idx="1">
                <c:v>11400</c:v>
              </c:pt>
              <c:pt idx="2">
                <c:v>11100</c:v>
              </c:pt>
              <c:pt idx="3">
                <c:v>10800</c:v>
              </c:pt>
            </c:numLit>
          </c:val>
        </c:ser>
        <c:axId val="38923567"/>
        <c:axId val="4050808"/>
      </c:barChart>
      <c:catAx>
        <c:axId val="38923567"/>
        <c:scaling>
          <c:orientation val="minMax"/>
        </c:scaling>
        <c:axPos val="b"/>
        <c:delete val="0"/>
        <c:numFmt formatCode="General" sourceLinked="1"/>
        <c:majorTickMark val="out"/>
        <c:minorTickMark val="none"/>
        <c:tickLblPos val="nextTo"/>
        <c:crossAx val="4050808"/>
        <c:crosses val="autoZero"/>
        <c:auto val="1"/>
        <c:lblOffset val="100"/>
        <c:tickLblSkip val="2"/>
        <c:tickMarkSkip val="2"/>
        <c:noMultiLvlLbl val="0"/>
      </c:catAx>
      <c:valAx>
        <c:axId val="4050808"/>
        <c:scaling>
          <c:orientation val="minMax"/>
        </c:scaling>
        <c:axPos val="l"/>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38923567"/>
        <c:crossesAt val="1"/>
        <c:crossBetween val="between"/>
        <c:dispUnits/>
      </c:valAx>
      <c:spPr>
        <a:gradFill rotWithShape="1">
          <a:gsLst>
            <a:gs pos="0">
              <a:srgbClr val="FFFFFF"/>
            </a:gs>
            <a:gs pos="100000">
              <a:srgbClr val="C0C0C0"/>
            </a:gs>
          </a:gsLst>
          <a:lin ang="5400000" scaled="1"/>
        </a:gra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6134100</xdr:colOff>
      <xdr:row>3</xdr:row>
      <xdr:rowOff>76200</xdr:rowOff>
    </xdr:from>
    <xdr:to>
      <xdr:col>3</xdr:col>
      <xdr:colOff>28575</xdr:colOff>
      <xdr:row>7</xdr:row>
      <xdr:rowOff>104775</xdr:rowOff>
    </xdr:to>
    <xdr:pic>
      <xdr:nvPicPr>
        <xdr:cNvPr id="1" name="Picture 1"/>
        <xdr:cNvPicPr preferRelativeResize="1">
          <a:picLocks noChangeAspect="1"/>
        </xdr:cNvPicPr>
      </xdr:nvPicPr>
      <xdr:blipFill>
        <a:blip r:embed="rId1"/>
        <a:stretch>
          <a:fillRect/>
        </a:stretch>
      </xdr:blipFill>
      <xdr:spPr>
        <a:xfrm>
          <a:off x="6686550" y="657225"/>
          <a:ext cx="1828800"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695325</xdr:colOff>
      <xdr:row>1</xdr:row>
      <xdr:rowOff>66675</xdr:rowOff>
    </xdr:from>
    <xdr:to>
      <xdr:col>25</xdr:col>
      <xdr:colOff>57150</xdr:colOff>
      <xdr:row>4</xdr:row>
      <xdr:rowOff>9525</xdr:rowOff>
    </xdr:to>
    <xdr:pic>
      <xdr:nvPicPr>
        <xdr:cNvPr id="1" name="Picture 1"/>
        <xdr:cNvPicPr preferRelativeResize="1">
          <a:picLocks noChangeAspect="1"/>
        </xdr:cNvPicPr>
      </xdr:nvPicPr>
      <xdr:blipFill>
        <a:blip r:embed="rId1"/>
        <a:stretch>
          <a:fillRect/>
        </a:stretch>
      </xdr:blipFill>
      <xdr:spPr>
        <a:xfrm>
          <a:off x="19592925" y="238125"/>
          <a:ext cx="1504950" cy="495300"/>
        </a:xfrm>
        <a:prstGeom prst="rect">
          <a:avLst/>
        </a:prstGeom>
        <a:noFill/>
        <a:ln w="9525" cmpd="sng">
          <a:noFill/>
        </a:ln>
      </xdr:spPr>
    </xdr:pic>
    <xdr:clientData/>
  </xdr:twoCellAnchor>
  <xdr:twoCellAnchor>
    <xdr:from>
      <xdr:col>37</xdr:col>
      <xdr:colOff>733425</xdr:colOff>
      <xdr:row>1</xdr:row>
      <xdr:rowOff>76200</xdr:rowOff>
    </xdr:from>
    <xdr:to>
      <xdr:col>40</xdr:col>
      <xdr:colOff>95250</xdr:colOff>
      <xdr:row>4</xdr:row>
      <xdr:rowOff>19050</xdr:rowOff>
    </xdr:to>
    <xdr:pic>
      <xdr:nvPicPr>
        <xdr:cNvPr id="2" name="Picture 4"/>
        <xdr:cNvPicPr preferRelativeResize="1">
          <a:picLocks noChangeAspect="1"/>
        </xdr:cNvPicPr>
      </xdr:nvPicPr>
      <xdr:blipFill>
        <a:blip r:embed="rId1"/>
        <a:stretch>
          <a:fillRect/>
        </a:stretch>
      </xdr:blipFill>
      <xdr:spPr>
        <a:xfrm>
          <a:off x="30346650" y="247650"/>
          <a:ext cx="150495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64</xdr:row>
      <xdr:rowOff>0</xdr:rowOff>
    </xdr:from>
    <xdr:to>
      <xdr:col>10</xdr:col>
      <xdr:colOff>0</xdr:colOff>
      <xdr:row>64</xdr:row>
      <xdr:rowOff>0</xdr:rowOff>
    </xdr:to>
    <xdr:graphicFrame>
      <xdr:nvGraphicFramePr>
        <xdr:cNvPr id="1" name="Chart 1"/>
        <xdr:cNvGraphicFramePr/>
      </xdr:nvGraphicFramePr>
      <xdr:xfrm>
        <a:off x="8972550" y="9858375"/>
        <a:ext cx="619125" cy="0"/>
      </xdr:xfrm>
      <a:graphic>
        <a:graphicData uri="http://schemas.openxmlformats.org/drawingml/2006/chart">
          <c:chart xmlns:c="http://schemas.openxmlformats.org/drawingml/2006/chart" r:id="rId1"/>
        </a:graphicData>
      </a:graphic>
    </xdr:graphicFrame>
    <xdr:clientData/>
  </xdr:twoCellAnchor>
  <xdr:twoCellAnchor>
    <xdr:from>
      <xdr:col>3</xdr:col>
      <xdr:colOff>104775</xdr:colOff>
      <xdr:row>64</xdr:row>
      <xdr:rowOff>0</xdr:rowOff>
    </xdr:from>
    <xdr:to>
      <xdr:col>9</xdr:col>
      <xdr:colOff>104775</xdr:colOff>
      <xdr:row>64</xdr:row>
      <xdr:rowOff>0</xdr:rowOff>
    </xdr:to>
    <xdr:graphicFrame>
      <xdr:nvGraphicFramePr>
        <xdr:cNvPr id="2" name="Chart 2"/>
        <xdr:cNvGraphicFramePr/>
      </xdr:nvGraphicFramePr>
      <xdr:xfrm>
        <a:off x="847725" y="9858375"/>
        <a:ext cx="7724775" cy="0"/>
      </xdr:xfrm>
      <a:graphic>
        <a:graphicData uri="http://schemas.openxmlformats.org/drawingml/2006/chart">
          <c:chart xmlns:c="http://schemas.openxmlformats.org/drawingml/2006/chart" r:id="rId2"/>
        </a:graphicData>
      </a:graphic>
    </xdr:graphicFrame>
    <xdr:clientData/>
  </xdr:twoCellAnchor>
  <xdr:twoCellAnchor>
    <xdr:from>
      <xdr:col>9</xdr:col>
      <xdr:colOff>504825</xdr:colOff>
      <xdr:row>64</xdr:row>
      <xdr:rowOff>0</xdr:rowOff>
    </xdr:from>
    <xdr:to>
      <xdr:col>10</xdr:col>
      <xdr:colOff>0</xdr:colOff>
      <xdr:row>64</xdr:row>
      <xdr:rowOff>0</xdr:rowOff>
    </xdr:to>
    <xdr:graphicFrame>
      <xdr:nvGraphicFramePr>
        <xdr:cNvPr id="3" name="Chart 3"/>
        <xdr:cNvGraphicFramePr/>
      </xdr:nvGraphicFramePr>
      <xdr:xfrm>
        <a:off x="8972550" y="9858375"/>
        <a:ext cx="619125" cy="0"/>
      </xdr:xfrm>
      <a:graphic>
        <a:graphicData uri="http://schemas.openxmlformats.org/drawingml/2006/chart">
          <c:chart xmlns:c="http://schemas.openxmlformats.org/drawingml/2006/chart" r:id="rId3"/>
        </a:graphicData>
      </a:graphic>
    </xdr:graphicFrame>
    <xdr:clientData/>
  </xdr:twoCellAnchor>
  <xdr:twoCellAnchor>
    <xdr:from>
      <xdr:col>13</xdr:col>
      <xdr:colOff>876300</xdr:colOff>
      <xdr:row>1</xdr:row>
      <xdr:rowOff>66675</xdr:rowOff>
    </xdr:from>
    <xdr:to>
      <xdr:col>15</xdr:col>
      <xdr:colOff>133350</xdr:colOff>
      <xdr:row>4</xdr:row>
      <xdr:rowOff>9525</xdr:rowOff>
    </xdr:to>
    <xdr:pic>
      <xdr:nvPicPr>
        <xdr:cNvPr id="4" name="Picture 4"/>
        <xdr:cNvPicPr preferRelativeResize="1">
          <a:picLocks noChangeAspect="1"/>
        </xdr:cNvPicPr>
      </xdr:nvPicPr>
      <xdr:blipFill>
        <a:blip r:embed="rId4"/>
        <a:stretch>
          <a:fillRect/>
        </a:stretch>
      </xdr:blipFill>
      <xdr:spPr>
        <a:xfrm>
          <a:off x="13839825" y="228600"/>
          <a:ext cx="150495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933450</xdr:colOff>
      <xdr:row>1</xdr:row>
      <xdr:rowOff>66675</xdr:rowOff>
    </xdr:from>
    <xdr:to>
      <xdr:col>10</xdr:col>
      <xdr:colOff>171450</xdr:colOff>
      <xdr:row>4</xdr:row>
      <xdr:rowOff>9525</xdr:rowOff>
    </xdr:to>
    <xdr:pic>
      <xdr:nvPicPr>
        <xdr:cNvPr id="1" name="Picture 1"/>
        <xdr:cNvPicPr preferRelativeResize="1">
          <a:picLocks noChangeAspect="1"/>
        </xdr:cNvPicPr>
      </xdr:nvPicPr>
      <xdr:blipFill>
        <a:blip r:embed="rId1"/>
        <a:stretch>
          <a:fillRect/>
        </a:stretch>
      </xdr:blipFill>
      <xdr:spPr>
        <a:xfrm>
          <a:off x="8277225" y="228600"/>
          <a:ext cx="1485900" cy="495300"/>
        </a:xfrm>
        <a:prstGeom prst="rect">
          <a:avLst/>
        </a:prstGeom>
        <a:noFill/>
        <a:ln w="9525" cmpd="sng">
          <a:noFill/>
        </a:ln>
      </xdr:spPr>
    </xdr:pic>
    <xdr:clientData/>
  </xdr:twoCellAnchor>
  <xdr:twoCellAnchor>
    <xdr:from>
      <xdr:col>8</xdr:col>
      <xdr:colOff>971550</xdr:colOff>
      <xdr:row>63</xdr:row>
      <xdr:rowOff>0</xdr:rowOff>
    </xdr:from>
    <xdr:to>
      <xdr:col>11</xdr:col>
      <xdr:colOff>19050</xdr:colOff>
      <xdr:row>63</xdr:row>
      <xdr:rowOff>0</xdr:rowOff>
    </xdr:to>
    <xdr:pic>
      <xdr:nvPicPr>
        <xdr:cNvPr id="2" name="Picture 3"/>
        <xdr:cNvPicPr preferRelativeResize="1">
          <a:picLocks noChangeAspect="1"/>
        </xdr:cNvPicPr>
      </xdr:nvPicPr>
      <xdr:blipFill>
        <a:blip r:embed="rId1"/>
        <a:stretch>
          <a:fillRect/>
        </a:stretch>
      </xdr:blipFill>
      <xdr:spPr>
        <a:xfrm>
          <a:off x="8315325" y="10077450"/>
          <a:ext cx="1466850" cy="0"/>
        </a:xfrm>
        <a:prstGeom prst="rect">
          <a:avLst/>
        </a:prstGeom>
        <a:noFill/>
        <a:ln w="9525" cmpd="sng">
          <a:noFill/>
        </a:ln>
      </xdr:spPr>
    </xdr:pic>
    <xdr:clientData/>
  </xdr:twoCellAnchor>
  <xdr:twoCellAnchor>
    <xdr:from>
      <xdr:col>8</xdr:col>
      <xdr:colOff>914400</xdr:colOff>
      <xdr:row>64</xdr:row>
      <xdr:rowOff>76200</xdr:rowOff>
    </xdr:from>
    <xdr:to>
      <xdr:col>10</xdr:col>
      <xdr:colOff>171450</xdr:colOff>
      <xdr:row>67</xdr:row>
      <xdr:rowOff>19050</xdr:rowOff>
    </xdr:to>
    <xdr:pic>
      <xdr:nvPicPr>
        <xdr:cNvPr id="3" name="Picture 5"/>
        <xdr:cNvPicPr preferRelativeResize="1">
          <a:picLocks noChangeAspect="1"/>
        </xdr:cNvPicPr>
      </xdr:nvPicPr>
      <xdr:blipFill>
        <a:blip r:embed="rId1"/>
        <a:stretch>
          <a:fillRect/>
        </a:stretch>
      </xdr:blipFill>
      <xdr:spPr>
        <a:xfrm>
          <a:off x="8258175" y="10325100"/>
          <a:ext cx="150495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971550</xdr:colOff>
      <xdr:row>1</xdr:row>
      <xdr:rowOff>104775</xdr:rowOff>
    </xdr:from>
    <xdr:to>
      <xdr:col>12</xdr:col>
      <xdr:colOff>47625</xdr:colOff>
      <xdr:row>4</xdr:row>
      <xdr:rowOff>38100</xdr:rowOff>
    </xdr:to>
    <xdr:pic>
      <xdr:nvPicPr>
        <xdr:cNvPr id="1" name="Picture 1"/>
        <xdr:cNvPicPr preferRelativeResize="1">
          <a:picLocks noChangeAspect="1"/>
        </xdr:cNvPicPr>
      </xdr:nvPicPr>
      <xdr:blipFill>
        <a:blip r:embed="rId1"/>
        <a:stretch>
          <a:fillRect/>
        </a:stretch>
      </xdr:blipFill>
      <xdr:spPr>
        <a:xfrm>
          <a:off x="8420100" y="266700"/>
          <a:ext cx="1504950" cy="495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11</xdr:col>
      <xdr:colOff>133350</xdr:colOff>
      <xdr:row>4</xdr:row>
      <xdr:rowOff>0</xdr:rowOff>
    </xdr:to>
    <xdr:pic>
      <xdr:nvPicPr>
        <xdr:cNvPr id="1" name="Picture 1"/>
        <xdr:cNvPicPr preferRelativeResize="1">
          <a:picLocks noChangeAspect="1"/>
        </xdr:cNvPicPr>
      </xdr:nvPicPr>
      <xdr:blipFill>
        <a:blip r:embed="rId1"/>
        <a:stretch>
          <a:fillRect/>
        </a:stretch>
      </xdr:blipFill>
      <xdr:spPr>
        <a:xfrm>
          <a:off x="8334375" y="219075"/>
          <a:ext cx="1504950" cy="495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904875</xdr:colOff>
      <xdr:row>1</xdr:row>
      <xdr:rowOff>66675</xdr:rowOff>
    </xdr:from>
    <xdr:to>
      <xdr:col>9</xdr:col>
      <xdr:colOff>161925</xdr:colOff>
      <xdr:row>4</xdr:row>
      <xdr:rowOff>9525</xdr:rowOff>
    </xdr:to>
    <xdr:pic>
      <xdr:nvPicPr>
        <xdr:cNvPr id="1" name="Picture 1"/>
        <xdr:cNvPicPr preferRelativeResize="1">
          <a:picLocks noChangeAspect="1"/>
        </xdr:cNvPicPr>
      </xdr:nvPicPr>
      <xdr:blipFill>
        <a:blip r:embed="rId1"/>
        <a:stretch>
          <a:fillRect/>
        </a:stretch>
      </xdr:blipFill>
      <xdr:spPr>
        <a:xfrm>
          <a:off x="7124700" y="238125"/>
          <a:ext cx="15049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571500</xdr:colOff>
      <xdr:row>2</xdr:row>
      <xdr:rowOff>123825</xdr:rowOff>
    </xdr:from>
    <xdr:to>
      <xdr:col>48</xdr:col>
      <xdr:colOff>647700</xdr:colOff>
      <xdr:row>6</xdr:row>
      <xdr:rowOff>28575</xdr:rowOff>
    </xdr:to>
    <xdr:pic>
      <xdr:nvPicPr>
        <xdr:cNvPr id="1" name="Picture 2"/>
        <xdr:cNvPicPr preferRelativeResize="1">
          <a:picLocks noChangeAspect="1"/>
        </xdr:cNvPicPr>
      </xdr:nvPicPr>
      <xdr:blipFill>
        <a:blip r:embed="rId1"/>
        <a:stretch>
          <a:fillRect/>
        </a:stretch>
      </xdr:blipFill>
      <xdr:spPr>
        <a:xfrm>
          <a:off x="30794325" y="447675"/>
          <a:ext cx="1504950" cy="600075"/>
        </a:xfrm>
        <a:prstGeom prst="rect">
          <a:avLst/>
        </a:prstGeom>
        <a:noFill/>
        <a:ln w="9525" cmpd="sng">
          <a:noFill/>
        </a:ln>
      </xdr:spPr>
    </xdr:pic>
    <xdr:clientData/>
  </xdr:twoCellAnchor>
  <xdr:twoCellAnchor>
    <xdr:from>
      <xdr:col>18</xdr:col>
      <xdr:colOff>47625</xdr:colOff>
      <xdr:row>56</xdr:row>
      <xdr:rowOff>76200</xdr:rowOff>
    </xdr:from>
    <xdr:to>
      <xdr:col>21</xdr:col>
      <xdr:colOff>9525</xdr:colOff>
      <xdr:row>59</xdr:row>
      <xdr:rowOff>19050</xdr:rowOff>
    </xdr:to>
    <xdr:pic>
      <xdr:nvPicPr>
        <xdr:cNvPr id="2" name="Picture 3"/>
        <xdr:cNvPicPr preferRelativeResize="1">
          <a:picLocks noChangeAspect="1"/>
        </xdr:cNvPicPr>
      </xdr:nvPicPr>
      <xdr:blipFill>
        <a:blip r:embed="rId1"/>
        <a:stretch>
          <a:fillRect/>
        </a:stretch>
      </xdr:blipFill>
      <xdr:spPr>
        <a:xfrm>
          <a:off x="12249150" y="9191625"/>
          <a:ext cx="1704975" cy="495300"/>
        </a:xfrm>
        <a:prstGeom prst="rect">
          <a:avLst/>
        </a:prstGeom>
        <a:noFill/>
        <a:ln w="9525" cmpd="sng">
          <a:noFill/>
        </a:ln>
      </xdr:spPr>
    </xdr:pic>
    <xdr:clientData/>
  </xdr:twoCellAnchor>
  <xdr:twoCellAnchor>
    <xdr:from>
      <xdr:col>18</xdr:col>
      <xdr:colOff>85725</xdr:colOff>
      <xdr:row>1</xdr:row>
      <xdr:rowOff>57150</xdr:rowOff>
    </xdr:from>
    <xdr:to>
      <xdr:col>20</xdr:col>
      <xdr:colOff>161925</xdr:colOff>
      <xdr:row>4</xdr:row>
      <xdr:rowOff>0</xdr:rowOff>
    </xdr:to>
    <xdr:pic>
      <xdr:nvPicPr>
        <xdr:cNvPr id="3" name="Picture 4"/>
        <xdr:cNvPicPr preferRelativeResize="1">
          <a:picLocks noChangeAspect="1"/>
        </xdr:cNvPicPr>
      </xdr:nvPicPr>
      <xdr:blipFill>
        <a:blip r:embed="rId1"/>
        <a:stretch>
          <a:fillRect/>
        </a:stretch>
      </xdr:blipFill>
      <xdr:spPr>
        <a:xfrm>
          <a:off x="12287250" y="219075"/>
          <a:ext cx="1638300" cy="495300"/>
        </a:xfrm>
        <a:prstGeom prst="rect">
          <a:avLst/>
        </a:prstGeom>
        <a:noFill/>
        <a:ln w="9525" cmpd="sng">
          <a:noFill/>
        </a:ln>
      </xdr:spPr>
    </xdr:pic>
    <xdr:clientData/>
  </xdr:twoCellAnchor>
  <xdr:twoCellAnchor>
    <xdr:from>
      <xdr:col>46</xdr:col>
      <xdr:colOff>571500</xdr:colOff>
      <xdr:row>112</xdr:row>
      <xdr:rowOff>123825</xdr:rowOff>
    </xdr:from>
    <xdr:to>
      <xdr:col>48</xdr:col>
      <xdr:colOff>647700</xdr:colOff>
      <xdr:row>115</xdr:row>
      <xdr:rowOff>0</xdr:rowOff>
    </xdr:to>
    <xdr:pic>
      <xdr:nvPicPr>
        <xdr:cNvPr id="4" name="Picture 6"/>
        <xdr:cNvPicPr preferRelativeResize="1">
          <a:picLocks noChangeAspect="1"/>
        </xdr:cNvPicPr>
      </xdr:nvPicPr>
      <xdr:blipFill>
        <a:blip r:embed="rId1"/>
        <a:stretch>
          <a:fillRect/>
        </a:stretch>
      </xdr:blipFill>
      <xdr:spPr>
        <a:xfrm>
          <a:off x="30794325" y="18383250"/>
          <a:ext cx="1504950" cy="419100"/>
        </a:xfrm>
        <a:prstGeom prst="rect">
          <a:avLst/>
        </a:prstGeom>
        <a:noFill/>
        <a:ln w="9525" cmpd="sng">
          <a:noFill/>
        </a:ln>
      </xdr:spPr>
    </xdr:pic>
    <xdr:clientData/>
  </xdr:twoCellAnchor>
  <xdr:twoCellAnchor>
    <xdr:from>
      <xdr:col>18</xdr:col>
      <xdr:colOff>47625</xdr:colOff>
      <xdr:row>164</xdr:row>
      <xdr:rowOff>76200</xdr:rowOff>
    </xdr:from>
    <xdr:to>
      <xdr:col>21</xdr:col>
      <xdr:colOff>9525</xdr:colOff>
      <xdr:row>167</xdr:row>
      <xdr:rowOff>19050</xdr:rowOff>
    </xdr:to>
    <xdr:pic>
      <xdr:nvPicPr>
        <xdr:cNvPr id="5" name="Picture 7"/>
        <xdr:cNvPicPr preferRelativeResize="1">
          <a:picLocks noChangeAspect="1"/>
        </xdr:cNvPicPr>
      </xdr:nvPicPr>
      <xdr:blipFill>
        <a:blip r:embed="rId1"/>
        <a:stretch>
          <a:fillRect/>
        </a:stretch>
      </xdr:blipFill>
      <xdr:spPr>
        <a:xfrm>
          <a:off x="12249150" y="26812875"/>
          <a:ext cx="1704975" cy="495300"/>
        </a:xfrm>
        <a:prstGeom prst="rect">
          <a:avLst/>
        </a:prstGeom>
        <a:noFill/>
        <a:ln w="9525" cmpd="sng">
          <a:noFill/>
        </a:ln>
      </xdr:spPr>
    </xdr:pic>
    <xdr:clientData/>
  </xdr:twoCellAnchor>
  <xdr:twoCellAnchor>
    <xdr:from>
      <xdr:col>18</xdr:col>
      <xdr:colOff>85725</xdr:colOff>
      <xdr:row>111</xdr:row>
      <xdr:rowOff>57150</xdr:rowOff>
    </xdr:from>
    <xdr:to>
      <xdr:col>20</xdr:col>
      <xdr:colOff>161925</xdr:colOff>
      <xdr:row>114</xdr:row>
      <xdr:rowOff>0</xdr:rowOff>
    </xdr:to>
    <xdr:pic>
      <xdr:nvPicPr>
        <xdr:cNvPr id="6" name="Picture 8"/>
        <xdr:cNvPicPr preferRelativeResize="1">
          <a:picLocks noChangeAspect="1"/>
        </xdr:cNvPicPr>
      </xdr:nvPicPr>
      <xdr:blipFill>
        <a:blip r:embed="rId1"/>
        <a:stretch>
          <a:fillRect/>
        </a:stretch>
      </xdr:blipFill>
      <xdr:spPr>
        <a:xfrm>
          <a:off x="12287250" y="18154650"/>
          <a:ext cx="16383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942975</xdr:colOff>
      <xdr:row>1</xdr:row>
      <xdr:rowOff>104775</xdr:rowOff>
    </xdr:from>
    <xdr:to>
      <xdr:col>21</xdr:col>
      <xdr:colOff>200025</xdr:colOff>
      <xdr:row>4</xdr:row>
      <xdr:rowOff>47625</xdr:rowOff>
    </xdr:to>
    <xdr:pic>
      <xdr:nvPicPr>
        <xdr:cNvPr id="1" name="Picture 56"/>
        <xdr:cNvPicPr preferRelativeResize="1">
          <a:picLocks noChangeAspect="1"/>
        </xdr:cNvPicPr>
      </xdr:nvPicPr>
      <xdr:blipFill>
        <a:blip r:embed="rId1"/>
        <a:stretch>
          <a:fillRect/>
        </a:stretch>
      </xdr:blipFill>
      <xdr:spPr>
        <a:xfrm>
          <a:off x="15097125" y="266700"/>
          <a:ext cx="150495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xdr:row>
      <xdr:rowOff>76200</xdr:rowOff>
    </xdr:from>
    <xdr:to>
      <xdr:col>21</xdr:col>
      <xdr:colOff>0</xdr:colOff>
      <xdr:row>4</xdr:row>
      <xdr:rowOff>19050</xdr:rowOff>
    </xdr:to>
    <xdr:pic>
      <xdr:nvPicPr>
        <xdr:cNvPr id="1" name="Picture 62"/>
        <xdr:cNvPicPr preferRelativeResize="1">
          <a:picLocks noChangeAspect="1"/>
        </xdr:cNvPicPr>
      </xdr:nvPicPr>
      <xdr:blipFill>
        <a:blip r:embed="rId1"/>
        <a:stretch>
          <a:fillRect/>
        </a:stretch>
      </xdr:blipFill>
      <xdr:spPr>
        <a:xfrm>
          <a:off x="11534775" y="238125"/>
          <a:ext cx="0" cy="495300"/>
        </a:xfrm>
        <a:prstGeom prst="rect">
          <a:avLst/>
        </a:prstGeom>
        <a:noFill/>
        <a:ln w="9525" cmpd="sng">
          <a:noFill/>
        </a:ln>
      </xdr:spPr>
    </xdr:pic>
    <xdr:clientData/>
  </xdr:twoCellAnchor>
  <xdr:twoCellAnchor>
    <xdr:from>
      <xdr:col>17</xdr:col>
      <xdr:colOff>342900</xdr:colOff>
      <xdr:row>1</xdr:row>
      <xdr:rowOff>85725</xdr:rowOff>
    </xdr:from>
    <xdr:to>
      <xdr:col>20</xdr:col>
      <xdr:colOff>133350</xdr:colOff>
      <xdr:row>4</xdr:row>
      <xdr:rowOff>28575</xdr:rowOff>
    </xdr:to>
    <xdr:pic>
      <xdr:nvPicPr>
        <xdr:cNvPr id="2" name="Picture 76"/>
        <xdr:cNvPicPr preferRelativeResize="1">
          <a:picLocks noChangeAspect="1"/>
        </xdr:cNvPicPr>
      </xdr:nvPicPr>
      <xdr:blipFill>
        <a:blip r:embed="rId1"/>
        <a:stretch>
          <a:fillRect/>
        </a:stretch>
      </xdr:blipFill>
      <xdr:spPr>
        <a:xfrm>
          <a:off x="9982200" y="247650"/>
          <a:ext cx="150495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333375</xdr:colOff>
      <xdr:row>1</xdr:row>
      <xdr:rowOff>104775</xdr:rowOff>
    </xdr:from>
    <xdr:to>
      <xdr:col>20</xdr:col>
      <xdr:colOff>123825</xdr:colOff>
      <xdr:row>4</xdr:row>
      <xdr:rowOff>47625</xdr:rowOff>
    </xdr:to>
    <xdr:pic>
      <xdr:nvPicPr>
        <xdr:cNvPr id="1" name="Picture 10"/>
        <xdr:cNvPicPr preferRelativeResize="1">
          <a:picLocks noChangeAspect="1"/>
        </xdr:cNvPicPr>
      </xdr:nvPicPr>
      <xdr:blipFill>
        <a:blip r:embed="rId1"/>
        <a:stretch>
          <a:fillRect/>
        </a:stretch>
      </xdr:blipFill>
      <xdr:spPr>
        <a:xfrm>
          <a:off x="9972675" y="266700"/>
          <a:ext cx="1504950"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295275</xdr:colOff>
      <xdr:row>62</xdr:row>
      <xdr:rowOff>85725</xdr:rowOff>
    </xdr:from>
    <xdr:to>
      <xdr:col>45</xdr:col>
      <xdr:colOff>66675</xdr:colOff>
      <xdr:row>65</xdr:row>
      <xdr:rowOff>28575</xdr:rowOff>
    </xdr:to>
    <xdr:pic>
      <xdr:nvPicPr>
        <xdr:cNvPr id="1" name="Picture 10"/>
        <xdr:cNvPicPr preferRelativeResize="1">
          <a:picLocks noChangeAspect="1"/>
        </xdr:cNvPicPr>
      </xdr:nvPicPr>
      <xdr:blipFill>
        <a:blip r:embed="rId1"/>
        <a:stretch>
          <a:fillRect/>
        </a:stretch>
      </xdr:blipFill>
      <xdr:spPr>
        <a:xfrm>
          <a:off x="14306550" y="10210800"/>
          <a:ext cx="1485900" cy="495300"/>
        </a:xfrm>
        <a:prstGeom prst="rect">
          <a:avLst/>
        </a:prstGeom>
        <a:noFill/>
        <a:ln w="9525" cmpd="sng">
          <a:noFill/>
        </a:ln>
      </xdr:spPr>
    </xdr:pic>
    <xdr:clientData/>
  </xdr:twoCellAnchor>
  <xdr:twoCellAnchor>
    <xdr:from>
      <xdr:col>41</xdr:col>
      <xdr:colOff>200025</xdr:colOff>
      <xdr:row>1</xdr:row>
      <xdr:rowOff>57150</xdr:rowOff>
    </xdr:from>
    <xdr:to>
      <xdr:col>44</xdr:col>
      <xdr:colOff>152400</xdr:colOff>
      <xdr:row>4</xdr:row>
      <xdr:rowOff>0</xdr:rowOff>
    </xdr:to>
    <xdr:pic>
      <xdr:nvPicPr>
        <xdr:cNvPr id="2" name="Picture 11"/>
        <xdr:cNvPicPr preferRelativeResize="1">
          <a:picLocks noChangeAspect="1"/>
        </xdr:cNvPicPr>
      </xdr:nvPicPr>
      <xdr:blipFill>
        <a:blip r:embed="rId1"/>
        <a:stretch>
          <a:fillRect/>
        </a:stretch>
      </xdr:blipFill>
      <xdr:spPr>
        <a:xfrm>
          <a:off x="14211300" y="228600"/>
          <a:ext cx="148590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942975</xdr:colOff>
      <xdr:row>1</xdr:row>
      <xdr:rowOff>76200</xdr:rowOff>
    </xdr:from>
    <xdr:to>
      <xdr:col>15</xdr:col>
      <xdr:colOff>47625</xdr:colOff>
      <xdr:row>4</xdr:row>
      <xdr:rowOff>19050</xdr:rowOff>
    </xdr:to>
    <xdr:pic>
      <xdr:nvPicPr>
        <xdr:cNvPr id="1" name="Picture 27"/>
        <xdr:cNvPicPr preferRelativeResize="1">
          <a:picLocks noChangeAspect="1"/>
        </xdr:cNvPicPr>
      </xdr:nvPicPr>
      <xdr:blipFill>
        <a:blip r:embed="rId1"/>
        <a:stretch>
          <a:fillRect/>
        </a:stretch>
      </xdr:blipFill>
      <xdr:spPr>
        <a:xfrm>
          <a:off x="8963025" y="247650"/>
          <a:ext cx="150495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990600</xdr:colOff>
      <xdr:row>1</xdr:row>
      <xdr:rowOff>76200</xdr:rowOff>
    </xdr:from>
    <xdr:to>
      <xdr:col>15</xdr:col>
      <xdr:colOff>66675</xdr:colOff>
      <xdr:row>4</xdr:row>
      <xdr:rowOff>19050</xdr:rowOff>
    </xdr:to>
    <xdr:pic>
      <xdr:nvPicPr>
        <xdr:cNvPr id="1" name="Picture 35"/>
        <xdr:cNvPicPr preferRelativeResize="1">
          <a:picLocks noChangeAspect="1"/>
        </xdr:cNvPicPr>
      </xdr:nvPicPr>
      <xdr:blipFill>
        <a:blip r:embed="rId1"/>
        <a:stretch>
          <a:fillRect/>
        </a:stretch>
      </xdr:blipFill>
      <xdr:spPr>
        <a:xfrm>
          <a:off x="8915400" y="247650"/>
          <a:ext cx="1504950" cy="495300"/>
        </a:xfrm>
        <a:prstGeom prst="rect">
          <a:avLst/>
        </a:prstGeom>
        <a:noFill/>
        <a:ln w="9525" cmpd="sng">
          <a:noFill/>
        </a:ln>
      </xdr:spPr>
    </xdr:pic>
    <xdr:clientData/>
  </xdr:twoCellAnchor>
  <xdr:twoCellAnchor>
    <xdr:from>
      <xdr:col>12</xdr:col>
      <xdr:colOff>714375</xdr:colOff>
      <xdr:row>267</xdr:row>
      <xdr:rowOff>0</xdr:rowOff>
    </xdr:from>
    <xdr:to>
      <xdr:col>13</xdr:col>
      <xdr:colOff>1095375</xdr:colOff>
      <xdr:row>269</xdr:row>
      <xdr:rowOff>104775</xdr:rowOff>
    </xdr:to>
    <xdr:pic>
      <xdr:nvPicPr>
        <xdr:cNvPr id="2" name="Picture 52"/>
        <xdr:cNvPicPr preferRelativeResize="1">
          <a:picLocks noChangeAspect="1"/>
        </xdr:cNvPicPr>
      </xdr:nvPicPr>
      <xdr:blipFill>
        <a:blip r:embed="rId1"/>
        <a:stretch>
          <a:fillRect/>
        </a:stretch>
      </xdr:blipFill>
      <xdr:spPr>
        <a:xfrm>
          <a:off x="8639175" y="43443525"/>
          <a:ext cx="15049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904875</xdr:colOff>
      <xdr:row>1</xdr:row>
      <xdr:rowOff>66675</xdr:rowOff>
    </xdr:from>
    <xdr:to>
      <xdr:col>15</xdr:col>
      <xdr:colOff>161925</xdr:colOff>
      <xdr:row>4</xdr:row>
      <xdr:rowOff>9525</xdr:rowOff>
    </xdr:to>
    <xdr:pic>
      <xdr:nvPicPr>
        <xdr:cNvPr id="1" name="Picture 1"/>
        <xdr:cNvPicPr preferRelativeResize="1">
          <a:picLocks noChangeAspect="1"/>
        </xdr:cNvPicPr>
      </xdr:nvPicPr>
      <xdr:blipFill>
        <a:blip r:embed="rId1"/>
        <a:stretch>
          <a:fillRect/>
        </a:stretch>
      </xdr:blipFill>
      <xdr:spPr>
        <a:xfrm>
          <a:off x="13868400" y="228600"/>
          <a:ext cx="15049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keizer@vosabb.nl" TargetMode="External" /><Relationship Id="rId2" Type="http://schemas.openxmlformats.org/officeDocument/2006/relationships/hyperlink" Target="mailto:rgoedhart@vosabb.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3:C153"/>
  <sheetViews>
    <sheetView zoomScale="85" zoomScaleNormal="85" workbookViewId="0" topLeftCell="A1">
      <selection activeCell="B2" sqref="B2"/>
    </sheetView>
  </sheetViews>
  <sheetFormatPr defaultColWidth="9.140625" defaultRowHeight="12.75"/>
  <cols>
    <col min="1" max="1" width="5.57421875" style="53" customWidth="1"/>
    <col min="2" max="2" width="2.7109375" style="53" customWidth="1"/>
    <col min="3" max="3" width="119.00390625" style="120" customWidth="1"/>
    <col min="4" max="5" width="2.7109375" style="53" customWidth="1"/>
    <col min="6" max="16384" width="9.140625" style="53" customWidth="1"/>
  </cols>
  <sheetData>
    <row r="3" s="365" customFormat="1" ht="20.25" customHeight="1">
      <c r="C3" s="527" t="s">
        <v>142</v>
      </c>
    </row>
    <row r="4" ht="15">
      <c r="C4" s="115"/>
    </row>
    <row r="5" ht="12.75">
      <c r="C5" s="121"/>
    </row>
    <row r="6" ht="15">
      <c r="C6" s="116" t="s">
        <v>747</v>
      </c>
    </row>
    <row r="7" ht="14.25">
      <c r="C7" s="116" t="s">
        <v>748</v>
      </c>
    </row>
    <row r="8" ht="14.25">
      <c r="C8" s="116"/>
    </row>
    <row r="9" ht="69.75" customHeight="1">
      <c r="C9" s="116" t="s">
        <v>268</v>
      </c>
    </row>
    <row r="10" ht="32.25" customHeight="1">
      <c r="C10" s="116" t="s">
        <v>213</v>
      </c>
    </row>
    <row r="11" ht="32.25" customHeight="1">
      <c r="C11" s="116" t="s">
        <v>408</v>
      </c>
    </row>
    <row r="12" ht="14.25">
      <c r="C12" s="116"/>
    </row>
    <row r="13" ht="28.5">
      <c r="C13" s="116" t="s">
        <v>749</v>
      </c>
    </row>
    <row r="14" ht="14.25">
      <c r="C14" s="116"/>
    </row>
    <row r="15" ht="42.75">
      <c r="C15" s="116" t="s">
        <v>407</v>
      </c>
    </row>
    <row r="16" ht="14.25">
      <c r="C16" s="116"/>
    </row>
    <row r="17" ht="15">
      <c r="C17" s="115" t="s">
        <v>87</v>
      </c>
    </row>
    <row r="18" ht="28.5">
      <c r="C18" s="116" t="s">
        <v>750</v>
      </c>
    </row>
    <row r="19" ht="14.25">
      <c r="C19" s="116" t="s">
        <v>751</v>
      </c>
    </row>
    <row r="20" ht="47.25" customHeight="1">
      <c r="C20" s="116" t="s">
        <v>94</v>
      </c>
    </row>
    <row r="21" ht="42" customHeight="1">
      <c r="C21" s="116" t="s">
        <v>120</v>
      </c>
    </row>
    <row r="22" ht="50.25" customHeight="1">
      <c r="C22" s="116" t="s">
        <v>167</v>
      </c>
    </row>
    <row r="23" ht="49.5" customHeight="1">
      <c r="C23" s="116" t="s">
        <v>163</v>
      </c>
    </row>
    <row r="24" ht="51" customHeight="1">
      <c r="C24" s="116" t="s">
        <v>228</v>
      </c>
    </row>
    <row r="25" ht="48.75" customHeight="1">
      <c r="C25" s="116" t="s">
        <v>119</v>
      </c>
    </row>
    <row r="26" ht="9" customHeight="1">
      <c r="C26" s="116"/>
    </row>
    <row r="27" ht="39.75" customHeight="1">
      <c r="C27" s="116" t="s">
        <v>409</v>
      </c>
    </row>
    <row r="28" ht="48" customHeight="1">
      <c r="C28" s="116" t="s">
        <v>164</v>
      </c>
    </row>
    <row r="29" ht="8.25" customHeight="1"/>
    <row r="30" ht="27" customHeight="1">
      <c r="C30" s="117" t="s">
        <v>0</v>
      </c>
    </row>
    <row r="31" ht="14.25">
      <c r="C31" s="116"/>
    </row>
    <row r="32" ht="14.25">
      <c r="C32" s="116" t="s">
        <v>165</v>
      </c>
    </row>
    <row r="33" ht="14.25">
      <c r="C33" s="116"/>
    </row>
    <row r="34" ht="15">
      <c r="C34" s="115" t="s">
        <v>304</v>
      </c>
    </row>
    <row r="35" ht="73.5" customHeight="1">
      <c r="C35" s="116" t="s">
        <v>269</v>
      </c>
    </row>
    <row r="36" ht="36.75" customHeight="1">
      <c r="C36" s="116" t="s">
        <v>410</v>
      </c>
    </row>
    <row r="37" ht="14.25">
      <c r="C37" s="116"/>
    </row>
    <row r="38" ht="57">
      <c r="C38" s="116" t="s">
        <v>411</v>
      </c>
    </row>
    <row r="39" ht="28.5" customHeight="1">
      <c r="C39" s="115" t="s">
        <v>305</v>
      </c>
    </row>
    <row r="40" ht="52.5" customHeight="1">
      <c r="C40" s="116" t="s">
        <v>231</v>
      </c>
    </row>
    <row r="41" ht="38.25" customHeight="1">
      <c r="C41" s="116" t="s">
        <v>234</v>
      </c>
    </row>
    <row r="42" ht="61.5" customHeight="1">
      <c r="C42" s="116" t="s">
        <v>233</v>
      </c>
    </row>
    <row r="43" ht="38.25" customHeight="1">
      <c r="C43" s="116" t="s">
        <v>412</v>
      </c>
    </row>
    <row r="44" ht="15" customHeight="1">
      <c r="C44" s="116"/>
    </row>
    <row r="45" ht="27" customHeight="1">
      <c r="C45" s="116" t="s">
        <v>229</v>
      </c>
    </row>
    <row r="46" ht="5.25" customHeight="1">
      <c r="C46" s="116"/>
    </row>
    <row r="47" ht="21" customHeight="1">
      <c r="C47" s="116" t="s">
        <v>88</v>
      </c>
    </row>
    <row r="48" ht="8.25" customHeight="1">
      <c r="C48" s="116"/>
    </row>
    <row r="49" ht="75" customHeight="1">
      <c r="C49" s="116" t="s">
        <v>166</v>
      </c>
    </row>
    <row r="50" ht="35.25" customHeight="1">
      <c r="C50" s="116" t="s">
        <v>230</v>
      </c>
    </row>
    <row r="51" ht="9" customHeight="1">
      <c r="C51" s="116"/>
    </row>
    <row r="52" ht="14.25">
      <c r="C52" s="116" t="s">
        <v>6</v>
      </c>
    </row>
    <row r="53" ht="14.25">
      <c r="C53" s="116"/>
    </row>
    <row r="54" ht="15">
      <c r="C54" s="115" t="s">
        <v>306</v>
      </c>
    </row>
    <row r="55" ht="18.75" customHeight="1">
      <c r="C55" s="116" t="s">
        <v>271</v>
      </c>
    </row>
    <row r="56" ht="49.5" customHeight="1">
      <c r="C56" s="116" t="s">
        <v>413</v>
      </c>
    </row>
    <row r="57" ht="34.5" customHeight="1">
      <c r="C57" s="116" t="s">
        <v>89</v>
      </c>
    </row>
    <row r="58" ht="14.25">
      <c r="C58" s="116"/>
    </row>
    <row r="59" ht="15">
      <c r="C59" s="115" t="s">
        <v>307</v>
      </c>
    </row>
    <row r="60" ht="33" customHeight="1">
      <c r="C60" s="116" t="s">
        <v>270</v>
      </c>
    </row>
    <row r="61" ht="21.75" customHeight="1">
      <c r="C61" s="116" t="s">
        <v>235</v>
      </c>
    </row>
    <row r="62" ht="14.25">
      <c r="C62" s="116"/>
    </row>
    <row r="63" ht="15">
      <c r="C63" s="115" t="s">
        <v>236</v>
      </c>
    </row>
    <row r="64" ht="24" customHeight="1">
      <c r="C64" s="116" t="s">
        <v>11</v>
      </c>
    </row>
    <row r="65" ht="37.5" customHeight="1">
      <c r="C65" s="116" t="s">
        <v>272</v>
      </c>
    </row>
    <row r="66" ht="20.25" customHeight="1">
      <c r="C66" s="116" t="s">
        <v>12</v>
      </c>
    </row>
    <row r="67" ht="14.25">
      <c r="C67" s="116"/>
    </row>
    <row r="68" ht="15">
      <c r="C68" s="118" t="s">
        <v>13</v>
      </c>
    </row>
    <row r="69" ht="15">
      <c r="C69" s="118" t="s">
        <v>141</v>
      </c>
    </row>
    <row r="70" ht="14.25">
      <c r="C70" s="116"/>
    </row>
    <row r="71" ht="30.75" customHeight="1">
      <c r="C71" s="116" t="s">
        <v>90</v>
      </c>
    </row>
    <row r="72" ht="14.25">
      <c r="C72" s="116"/>
    </row>
    <row r="73" ht="11.25" customHeight="1">
      <c r="C73" s="116" t="s">
        <v>14</v>
      </c>
    </row>
    <row r="74" ht="14.25">
      <c r="C74" s="116"/>
    </row>
    <row r="75" ht="27" customHeight="1">
      <c r="C75" s="116" t="s">
        <v>15</v>
      </c>
    </row>
    <row r="76" ht="33" customHeight="1">
      <c r="C76" s="116" t="s">
        <v>21</v>
      </c>
    </row>
    <row r="77" ht="90.75" customHeight="1">
      <c r="C77" s="116" t="s">
        <v>273</v>
      </c>
    </row>
    <row r="78" ht="42" customHeight="1">
      <c r="C78" s="116" t="s">
        <v>22</v>
      </c>
    </row>
    <row r="79" ht="14.25">
      <c r="C79" s="116"/>
    </row>
    <row r="80" ht="40.5" customHeight="1">
      <c r="C80" s="116" t="s">
        <v>237</v>
      </c>
    </row>
    <row r="81" ht="14.25">
      <c r="C81" s="116"/>
    </row>
    <row r="82" ht="15">
      <c r="C82" s="115" t="s">
        <v>232</v>
      </c>
    </row>
    <row r="83" ht="51.75" customHeight="1">
      <c r="C83" s="364" t="s">
        <v>238</v>
      </c>
    </row>
    <row r="84" ht="14.25">
      <c r="C84" s="116"/>
    </row>
    <row r="85" ht="14.25">
      <c r="C85" s="117" t="s">
        <v>274</v>
      </c>
    </row>
    <row r="86" ht="45" customHeight="1">
      <c r="C86" s="116" t="s">
        <v>214</v>
      </c>
    </row>
    <row r="87" ht="34.5" customHeight="1">
      <c r="C87" s="116" t="s">
        <v>8</v>
      </c>
    </row>
    <row r="88" ht="14.25">
      <c r="C88" s="116"/>
    </row>
    <row r="89" ht="14.25">
      <c r="C89" s="117" t="s">
        <v>9</v>
      </c>
    </row>
    <row r="90" ht="52.5" customHeight="1">
      <c r="C90" s="116" t="s">
        <v>239</v>
      </c>
    </row>
    <row r="91" ht="14.25">
      <c r="C91" s="116"/>
    </row>
    <row r="92" ht="15">
      <c r="C92" s="115" t="s">
        <v>289</v>
      </c>
    </row>
    <row r="93" ht="59.25" customHeight="1">
      <c r="C93" s="116" t="s">
        <v>215</v>
      </c>
    </row>
    <row r="94" ht="31.5" customHeight="1">
      <c r="C94" s="116" t="s">
        <v>10</v>
      </c>
    </row>
    <row r="95" ht="51.75" customHeight="1">
      <c r="C95" s="116" t="s">
        <v>7</v>
      </c>
    </row>
    <row r="96" ht="9" customHeight="1">
      <c r="C96" s="116"/>
    </row>
    <row r="97" ht="30" customHeight="1">
      <c r="C97" s="116" t="s">
        <v>95</v>
      </c>
    </row>
    <row r="98" ht="14.25">
      <c r="C98" s="116"/>
    </row>
    <row r="99" ht="14.25">
      <c r="C99" s="116" t="s">
        <v>276</v>
      </c>
    </row>
    <row r="100" ht="14.25">
      <c r="C100" s="116"/>
    </row>
    <row r="101" ht="15">
      <c r="C101" s="115" t="s">
        <v>291</v>
      </c>
    </row>
    <row r="102" ht="12.75">
      <c r="C102" s="53"/>
    </row>
    <row r="103" ht="28.5">
      <c r="C103" s="364" t="s">
        <v>91</v>
      </c>
    </row>
    <row r="104" ht="12.75">
      <c r="C104" s="53"/>
    </row>
    <row r="105" ht="15">
      <c r="C105" s="115" t="s">
        <v>292</v>
      </c>
    </row>
    <row r="106" ht="6.75" customHeight="1">
      <c r="C106" s="116"/>
    </row>
    <row r="107" ht="40.5" customHeight="1">
      <c r="C107" s="364" t="s">
        <v>275</v>
      </c>
    </row>
    <row r="108" ht="14.25">
      <c r="C108" s="364"/>
    </row>
    <row r="109" ht="15">
      <c r="C109" s="115" t="s">
        <v>293</v>
      </c>
    </row>
    <row r="110" ht="6" customHeight="1">
      <c r="C110" s="364"/>
    </row>
    <row r="111" ht="39" customHeight="1">
      <c r="C111" s="364" t="s">
        <v>294</v>
      </c>
    </row>
    <row r="112" ht="14.25">
      <c r="C112" s="364"/>
    </row>
    <row r="113" ht="15">
      <c r="C113" s="115" t="s">
        <v>92</v>
      </c>
    </row>
    <row r="114" ht="9.75" customHeight="1">
      <c r="C114" s="364"/>
    </row>
    <row r="115" ht="28.5">
      <c r="C115" s="364" t="s">
        <v>295</v>
      </c>
    </row>
    <row r="116" ht="14.25">
      <c r="C116" s="364"/>
    </row>
    <row r="117" ht="14.25">
      <c r="C117" s="364" t="s">
        <v>277</v>
      </c>
    </row>
    <row r="118" ht="14.25">
      <c r="C118" s="364"/>
    </row>
    <row r="119" ht="15">
      <c r="C119" s="115" t="s">
        <v>296</v>
      </c>
    </row>
    <row r="120" ht="14.25">
      <c r="C120" s="364"/>
    </row>
    <row r="121" ht="28.5">
      <c r="C121" s="364" t="s">
        <v>298</v>
      </c>
    </row>
    <row r="122" ht="14.25">
      <c r="C122" s="364"/>
    </row>
    <row r="123" ht="15">
      <c r="C123" s="115" t="s">
        <v>300</v>
      </c>
    </row>
    <row r="124" ht="14.25">
      <c r="C124" s="364"/>
    </row>
    <row r="125" ht="28.5">
      <c r="C125" s="364" t="s">
        <v>299</v>
      </c>
    </row>
    <row r="126" ht="14.25">
      <c r="C126" s="364"/>
    </row>
    <row r="127" ht="15">
      <c r="C127" s="115" t="s">
        <v>301</v>
      </c>
    </row>
    <row r="128" ht="79.5" customHeight="1">
      <c r="C128" s="364" t="s">
        <v>303</v>
      </c>
    </row>
    <row r="129" ht="14.25">
      <c r="C129" s="364"/>
    </row>
    <row r="130" ht="15">
      <c r="C130" s="115" t="s">
        <v>290</v>
      </c>
    </row>
    <row r="131" ht="42" customHeight="1">
      <c r="C131" s="116" t="s">
        <v>216</v>
      </c>
    </row>
    <row r="132" ht="6" customHeight="1">
      <c r="C132" s="116"/>
    </row>
    <row r="133" ht="29.25" customHeight="1">
      <c r="C133" s="116" t="s">
        <v>414</v>
      </c>
    </row>
    <row r="134" ht="6" customHeight="1">
      <c r="C134" s="116"/>
    </row>
    <row r="135" ht="42.75">
      <c r="C135" s="116" t="s">
        <v>23</v>
      </c>
    </row>
    <row r="136" ht="20.25" customHeight="1">
      <c r="C136" s="535" t="s">
        <v>279</v>
      </c>
    </row>
    <row r="137" ht="25.5" customHeight="1">
      <c r="C137" s="536" t="s">
        <v>278</v>
      </c>
    </row>
    <row r="138" ht="14.25">
      <c r="C138" s="116"/>
    </row>
    <row r="139" ht="15">
      <c r="C139" s="115" t="s">
        <v>24</v>
      </c>
    </row>
    <row r="140" ht="14.25">
      <c r="C140" s="116" t="s">
        <v>93</v>
      </c>
    </row>
    <row r="141" ht="14.25">
      <c r="C141" s="116"/>
    </row>
    <row r="142" ht="15">
      <c r="C142" s="115" t="s">
        <v>25</v>
      </c>
    </row>
    <row r="143" ht="27" customHeight="1">
      <c r="C143" s="116" t="s">
        <v>26</v>
      </c>
    </row>
    <row r="144" s="365" customFormat="1" ht="14.25">
      <c r="C144" s="506" t="s">
        <v>415</v>
      </c>
    </row>
    <row r="145" s="365" customFormat="1" ht="14.25">
      <c r="C145" s="506" t="s">
        <v>416</v>
      </c>
    </row>
    <row r="146" ht="12.75">
      <c r="C146" s="119"/>
    </row>
    <row r="151" ht="12.75">
      <c r="C151" s="533"/>
    </row>
    <row r="152" ht="12.75">
      <c r="C152" s="534"/>
    </row>
    <row r="153" ht="12.75">
      <c r="C153" s="533"/>
    </row>
  </sheetData>
  <sheetProtection password="DE55" sheet="1" objects="1" scenarios="1"/>
  <hyperlinks>
    <hyperlink ref="C144" r:id="rId1" display="Bé Keizer, tel.: 0348-405251 of e-mail: bkeizer@vosabb.nl "/>
    <hyperlink ref="C145" r:id="rId2" display="Reinier Goedhart, tel.: 0348-405220 of e-mail: rgoedhart@vosabb.nl "/>
  </hyperlinks>
  <printOptions/>
  <pageMargins left="0.75" right="0.75" top="1" bottom="1" header="0.5" footer="0.5"/>
  <pageSetup horizontalDpi="600" verticalDpi="600" orientation="portrait" paperSize="9" scale="64" r:id="rId4"/>
  <headerFooter alignWithMargins="0">
    <oddHeader>&amp;L&amp;"Arial,Vet"&amp;F&amp;R&amp;"Arial,Vet"&amp;A</oddHeader>
    <oddFooter>&amp;L&amp;"Arial,Vet"keizer / goedhart&amp;C&amp;"Arial,Vet"&amp;D&amp;R&amp;"Arial,Vet"pagina &amp;P</oddFooter>
  </headerFooter>
  <rowBreaks count="3" manualBreakCount="3">
    <brk id="38" min="1" max="3" man="1"/>
    <brk id="77" min="1" max="3" man="1"/>
    <brk id="125" min="1" max="3" man="1"/>
  </rowBreaks>
  <colBreaks count="1" manualBreakCount="1">
    <brk id="4" min="1" max="126" man="1"/>
  </colBreaks>
  <drawing r:id="rId3"/>
</worksheet>
</file>

<file path=xl/worksheets/sheet10.xml><?xml version="1.0" encoding="utf-8"?>
<worksheet xmlns="http://schemas.openxmlformats.org/spreadsheetml/2006/main" xmlns:r="http://schemas.openxmlformats.org/officeDocument/2006/relationships">
  <dimension ref="B2:Q32"/>
  <sheetViews>
    <sheetView zoomScale="85" zoomScaleNormal="85" workbookViewId="0" topLeftCell="A1">
      <selection activeCell="B2" sqref="B2"/>
    </sheetView>
  </sheetViews>
  <sheetFormatPr defaultColWidth="9.140625" defaultRowHeight="12.75"/>
  <cols>
    <col min="1" max="1" width="5.7109375" style="7" customWidth="1"/>
    <col min="2" max="3" width="2.7109375" style="7" customWidth="1"/>
    <col min="4" max="4" width="45.7109375" style="7" customWidth="1"/>
    <col min="5" max="5" width="2.7109375" style="7" customWidth="1"/>
    <col min="6" max="8" width="16.8515625" style="7" customWidth="1"/>
    <col min="9" max="9" width="16.8515625" style="252" customWidth="1"/>
    <col min="10" max="15" width="16.8515625" style="7" customWidth="1"/>
    <col min="16" max="17" width="2.7109375" style="7" customWidth="1"/>
    <col min="18" max="16384" width="9.140625" style="7" customWidth="1"/>
  </cols>
  <sheetData>
    <row r="1" ht="12.75" customHeight="1" thickBot="1"/>
    <row r="2" spans="2:17" ht="12.75">
      <c r="B2" s="9"/>
      <c r="C2" s="10"/>
      <c r="D2" s="10"/>
      <c r="E2" s="10"/>
      <c r="F2" s="10"/>
      <c r="G2" s="10"/>
      <c r="H2" s="10"/>
      <c r="I2" s="253"/>
      <c r="J2" s="10"/>
      <c r="K2" s="10"/>
      <c r="L2" s="10"/>
      <c r="M2" s="10"/>
      <c r="N2" s="10"/>
      <c r="O2" s="10"/>
      <c r="P2" s="10"/>
      <c r="Q2" s="12"/>
    </row>
    <row r="3" spans="2:17" ht="12.75">
      <c r="B3" s="13"/>
      <c r="Q3" s="14"/>
    </row>
    <row r="4" spans="2:17" s="15" customFormat="1" ht="18">
      <c r="B4" s="221"/>
      <c r="C4" s="17" t="s">
        <v>139</v>
      </c>
      <c r="D4" s="17"/>
      <c r="H4" s="7"/>
      <c r="I4" s="7"/>
      <c r="J4" s="7"/>
      <c r="Q4" s="20"/>
    </row>
    <row r="5" spans="2:17" s="15" customFormat="1" ht="12" customHeight="1">
      <c r="B5" s="221"/>
      <c r="C5" s="128"/>
      <c r="D5" s="145"/>
      <c r="H5" s="7"/>
      <c r="I5" s="7"/>
      <c r="J5" s="7"/>
      <c r="Q5" s="20"/>
    </row>
    <row r="6" spans="2:17" s="15" customFormat="1" ht="12" customHeight="1">
      <c r="B6" s="221"/>
      <c r="C6" s="128"/>
      <c r="D6" s="145"/>
      <c r="H6" s="7"/>
      <c r="I6" s="7"/>
      <c r="J6" s="7"/>
      <c r="Q6" s="20"/>
    </row>
    <row r="7" spans="2:17" s="15" customFormat="1" ht="12" customHeight="1">
      <c r="B7" s="221"/>
      <c r="C7" s="128"/>
      <c r="D7" s="104" t="s">
        <v>140</v>
      </c>
      <c r="H7" s="7"/>
      <c r="I7" s="7"/>
      <c r="J7" s="7"/>
      <c r="Q7" s="20"/>
    </row>
    <row r="8" spans="2:17" s="15" customFormat="1" ht="12" customHeight="1">
      <c r="B8" s="221"/>
      <c r="C8" s="128"/>
      <c r="D8" s="145"/>
      <c r="H8" s="7"/>
      <c r="I8" s="7"/>
      <c r="J8" s="7"/>
      <c r="Q8" s="20"/>
    </row>
    <row r="9" spans="2:17" s="15" customFormat="1" ht="12" customHeight="1">
      <c r="B9" s="221"/>
      <c r="C9" s="128"/>
      <c r="D9" s="125" t="s">
        <v>143</v>
      </c>
      <c r="H9" s="7"/>
      <c r="I9" s="7"/>
      <c r="J9" s="7"/>
      <c r="Q9" s="20"/>
    </row>
    <row r="10" spans="2:17" s="15" customFormat="1" ht="12" customHeight="1">
      <c r="B10" s="221"/>
      <c r="C10" s="128"/>
      <c r="D10" s="125" t="s">
        <v>36</v>
      </c>
      <c r="H10" s="7"/>
      <c r="I10" s="7"/>
      <c r="J10" s="7"/>
      <c r="Q10" s="20"/>
    </row>
    <row r="11" spans="2:17" s="15" customFormat="1" ht="12" customHeight="1">
      <c r="B11" s="221"/>
      <c r="C11" s="17"/>
      <c r="D11" s="17"/>
      <c r="H11" s="7"/>
      <c r="I11" s="7"/>
      <c r="J11" s="7"/>
      <c r="Q11" s="20"/>
    </row>
    <row r="12" spans="2:17" ht="12" customHeight="1">
      <c r="B12" s="254"/>
      <c r="C12" s="128"/>
      <c r="D12" s="131"/>
      <c r="G12" s="88"/>
      <c r="I12" s="7"/>
      <c r="Q12" s="14"/>
    </row>
    <row r="13" spans="2:17" ht="12" customHeight="1">
      <c r="B13" s="37"/>
      <c r="C13" s="36"/>
      <c r="D13" s="255"/>
      <c r="F13" s="89">
        <f>tabel!C4</f>
        <v>2009</v>
      </c>
      <c r="G13" s="89">
        <f aca="true" t="shared" si="0" ref="G13:O13">F13+1</f>
        <v>2010</v>
      </c>
      <c r="H13" s="89">
        <f t="shared" si="0"/>
        <v>2011</v>
      </c>
      <c r="I13" s="89">
        <f t="shared" si="0"/>
        <v>2012</v>
      </c>
      <c r="J13" s="89">
        <f t="shared" si="0"/>
        <v>2013</v>
      </c>
      <c r="K13" s="89">
        <f t="shared" si="0"/>
        <v>2014</v>
      </c>
      <c r="L13" s="89">
        <f t="shared" si="0"/>
        <v>2015</v>
      </c>
      <c r="M13" s="89">
        <f t="shared" si="0"/>
        <v>2016</v>
      </c>
      <c r="N13" s="89">
        <f t="shared" si="0"/>
        <v>2017</v>
      </c>
      <c r="O13" s="89">
        <f t="shared" si="0"/>
        <v>2018</v>
      </c>
      <c r="Q13" s="14"/>
    </row>
    <row r="14" spans="2:17" ht="12" customHeight="1">
      <c r="B14" s="254"/>
      <c r="C14" s="128"/>
      <c r="D14" s="131"/>
      <c r="I14" s="7"/>
      <c r="Q14" s="14"/>
    </row>
    <row r="15" spans="2:17" ht="12.75">
      <c r="B15" s="13"/>
      <c r="C15" s="151"/>
      <c r="D15" s="153"/>
      <c r="E15" s="1"/>
      <c r="F15" s="1"/>
      <c r="G15" s="1"/>
      <c r="H15" s="1"/>
      <c r="I15" s="1"/>
      <c r="J15" s="1"/>
      <c r="K15" s="158"/>
      <c r="L15" s="158"/>
      <c r="M15" s="158"/>
      <c r="N15" s="158"/>
      <c r="O15" s="158"/>
      <c r="P15" s="1"/>
      <c r="Q15" s="14"/>
    </row>
    <row r="16" spans="2:17" ht="12.75">
      <c r="B16" s="13"/>
      <c r="C16" s="256" t="s">
        <v>144</v>
      </c>
      <c r="D16" s="91" t="s">
        <v>145</v>
      </c>
      <c r="E16" s="95"/>
      <c r="F16" s="175">
        <v>100000</v>
      </c>
      <c r="G16" s="258">
        <f aca="true" t="shared" si="1" ref="G16:O16">F19</f>
        <v>90000</v>
      </c>
      <c r="H16" s="258">
        <f t="shared" si="1"/>
        <v>80000</v>
      </c>
      <c r="I16" s="258">
        <f t="shared" si="1"/>
        <v>70000</v>
      </c>
      <c r="J16" s="258">
        <f t="shared" si="1"/>
        <v>60000</v>
      </c>
      <c r="K16" s="258">
        <f t="shared" si="1"/>
        <v>50000</v>
      </c>
      <c r="L16" s="258">
        <f t="shared" si="1"/>
        <v>50000</v>
      </c>
      <c r="M16" s="258">
        <f t="shared" si="1"/>
        <v>50000</v>
      </c>
      <c r="N16" s="258">
        <f t="shared" si="1"/>
        <v>50000</v>
      </c>
      <c r="O16" s="258">
        <f t="shared" si="1"/>
        <v>50000</v>
      </c>
      <c r="P16" s="1"/>
      <c r="Q16" s="14"/>
    </row>
    <row r="17" spans="2:17" ht="12.75">
      <c r="B17" s="13"/>
      <c r="C17" s="256"/>
      <c r="D17" s="91" t="s">
        <v>146</v>
      </c>
      <c r="E17" s="84"/>
      <c r="F17" s="259">
        <v>10000</v>
      </c>
      <c r="G17" s="259">
        <v>10000</v>
      </c>
      <c r="H17" s="259">
        <v>10000</v>
      </c>
      <c r="I17" s="259">
        <v>10000</v>
      </c>
      <c r="J17" s="259">
        <v>10000</v>
      </c>
      <c r="K17" s="259">
        <v>0</v>
      </c>
      <c r="L17" s="259">
        <v>0</v>
      </c>
      <c r="M17" s="259">
        <v>0</v>
      </c>
      <c r="N17" s="259">
        <v>0</v>
      </c>
      <c r="O17" s="259">
        <v>0</v>
      </c>
      <c r="P17" s="1"/>
      <c r="Q17" s="14"/>
    </row>
    <row r="18" spans="2:17" ht="12.75">
      <c r="B18" s="13"/>
      <c r="C18" s="256" t="s">
        <v>147</v>
      </c>
      <c r="D18" s="91" t="s">
        <v>148</v>
      </c>
      <c r="E18" s="95"/>
      <c r="F18" s="175">
        <v>20000</v>
      </c>
      <c r="G18" s="175">
        <v>20000</v>
      </c>
      <c r="H18" s="175">
        <v>20000</v>
      </c>
      <c r="I18" s="175">
        <v>20000</v>
      </c>
      <c r="J18" s="175">
        <v>20000</v>
      </c>
      <c r="K18" s="175">
        <v>0</v>
      </c>
      <c r="L18" s="175">
        <v>0</v>
      </c>
      <c r="M18" s="175">
        <v>0</v>
      </c>
      <c r="N18" s="175">
        <v>0</v>
      </c>
      <c r="O18" s="175">
        <v>0</v>
      </c>
      <c r="P18" s="1"/>
      <c r="Q18" s="14"/>
    </row>
    <row r="19" spans="2:17" ht="12.75">
      <c r="B19" s="13"/>
      <c r="C19" s="260" t="s">
        <v>149</v>
      </c>
      <c r="D19" s="2" t="s">
        <v>149</v>
      </c>
      <c r="E19" s="84"/>
      <c r="F19" s="261">
        <f aca="true" t="shared" si="2" ref="F19:O19">SUM(F16:F17)-F18</f>
        <v>90000</v>
      </c>
      <c r="G19" s="261">
        <f t="shared" si="2"/>
        <v>80000</v>
      </c>
      <c r="H19" s="261">
        <f t="shared" si="2"/>
        <v>70000</v>
      </c>
      <c r="I19" s="261">
        <f t="shared" si="2"/>
        <v>60000</v>
      </c>
      <c r="J19" s="261">
        <f t="shared" si="2"/>
        <v>50000</v>
      </c>
      <c r="K19" s="261">
        <f t="shared" si="2"/>
        <v>50000</v>
      </c>
      <c r="L19" s="261">
        <f t="shared" si="2"/>
        <v>50000</v>
      </c>
      <c r="M19" s="261">
        <f t="shared" si="2"/>
        <v>50000</v>
      </c>
      <c r="N19" s="261">
        <f t="shared" si="2"/>
        <v>50000</v>
      </c>
      <c r="O19" s="261">
        <f t="shared" si="2"/>
        <v>50000</v>
      </c>
      <c r="P19" s="1"/>
      <c r="Q19" s="14"/>
    </row>
    <row r="20" spans="2:17" ht="12.75">
      <c r="B20" s="13"/>
      <c r="C20" s="262"/>
      <c r="D20" s="1"/>
      <c r="E20" s="1"/>
      <c r="F20" s="1"/>
      <c r="G20" s="1"/>
      <c r="H20" s="1"/>
      <c r="I20" s="1"/>
      <c r="J20" s="1"/>
      <c r="K20" s="1"/>
      <c r="L20" s="1"/>
      <c r="M20" s="1"/>
      <c r="N20" s="1"/>
      <c r="O20" s="1"/>
      <c r="P20" s="1"/>
      <c r="Q20" s="14"/>
    </row>
    <row r="21" spans="2:17" ht="12.75" customHeight="1">
      <c r="B21" s="254"/>
      <c r="C21" s="128"/>
      <c r="D21" s="131"/>
      <c r="I21" s="7"/>
      <c r="Q21" s="14"/>
    </row>
    <row r="22" spans="2:17" ht="12.75" customHeight="1">
      <c r="B22" s="254"/>
      <c r="C22" s="128"/>
      <c r="D22" s="131"/>
      <c r="I22" s="7"/>
      <c r="Q22" s="14"/>
    </row>
    <row r="23" spans="2:17" ht="12.75" customHeight="1">
      <c r="B23" s="254"/>
      <c r="C23" s="36"/>
      <c r="D23" s="255"/>
      <c r="F23" s="89">
        <f>O13+1</f>
        <v>2019</v>
      </c>
      <c r="G23" s="89">
        <f aca="true" t="shared" si="3" ref="G23:O23">F23+1</f>
        <v>2020</v>
      </c>
      <c r="H23" s="89">
        <f t="shared" si="3"/>
        <v>2021</v>
      </c>
      <c r="I23" s="89">
        <f t="shared" si="3"/>
        <v>2022</v>
      </c>
      <c r="J23" s="89">
        <f t="shared" si="3"/>
        <v>2023</v>
      </c>
      <c r="K23" s="89">
        <f t="shared" si="3"/>
        <v>2024</v>
      </c>
      <c r="L23" s="89">
        <f t="shared" si="3"/>
        <v>2025</v>
      </c>
      <c r="M23" s="89">
        <f t="shared" si="3"/>
        <v>2026</v>
      </c>
      <c r="N23" s="89">
        <f t="shared" si="3"/>
        <v>2027</v>
      </c>
      <c r="O23" s="89">
        <f t="shared" si="3"/>
        <v>2028</v>
      </c>
      <c r="P23" s="88"/>
      <c r="Q23" s="14"/>
    </row>
    <row r="24" spans="2:17" ht="12.75" customHeight="1">
      <c r="B24" s="254"/>
      <c r="C24" s="128"/>
      <c r="D24" s="131"/>
      <c r="I24" s="7"/>
      <c r="Q24" s="14"/>
    </row>
    <row r="25" spans="2:17" ht="12.75" customHeight="1">
      <c r="B25" s="254"/>
      <c r="C25" s="151"/>
      <c r="D25" s="153"/>
      <c r="E25" s="1"/>
      <c r="F25" s="1"/>
      <c r="G25" s="1"/>
      <c r="H25" s="1"/>
      <c r="I25" s="1"/>
      <c r="J25" s="1"/>
      <c r="K25" s="158"/>
      <c r="L25" s="158"/>
      <c r="M25" s="158"/>
      <c r="N25" s="158"/>
      <c r="O25" s="158"/>
      <c r="P25" s="1"/>
      <c r="Q25" s="14"/>
    </row>
    <row r="26" spans="2:17" ht="12.75" customHeight="1">
      <c r="B26" s="254"/>
      <c r="C26" s="256" t="s">
        <v>144</v>
      </c>
      <c r="D26" s="91" t="s">
        <v>145</v>
      </c>
      <c r="E26" s="95"/>
      <c r="F26" s="258">
        <f>O19</f>
        <v>50000</v>
      </c>
      <c r="G26" s="258">
        <f aca="true" t="shared" si="4" ref="G26:O26">F29</f>
        <v>50000</v>
      </c>
      <c r="H26" s="258">
        <f t="shared" si="4"/>
        <v>50000</v>
      </c>
      <c r="I26" s="258">
        <f t="shared" si="4"/>
        <v>50000</v>
      </c>
      <c r="J26" s="258">
        <f t="shared" si="4"/>
        <v>50000</v>
      </c>
      <c r="K26" s="258">
        <f t="shared" si="4"/>
        <v>50000</v>
      </c>
      <c r="L26" s="258">
        <f t="shared" si="4"/>
        <v>50000</v>
      </c>
      <c r="M26" s="258">
        <f t="shared" si="4"/>
        <v>50000</v>
      </c>
      <c r="N26" s="258">
        <f t="shared" si="4"/>
        <v>50000</v>
      </c>
      <c r="O26" s="258">
        <f t="shared" si="4"/>
        <v>50000</v>
      </c>
      <c r="P26" s="1"/>
      <c r="Q26" s="14"/>
    </row>
    <row r="27" spans="2:17" ht="12.75" customHeight="1">
      <c r="B27" s="254"/>
      <c r="C27" s="256"/>
      <c r="D27" s="91" t="s">
        <v>146</v>
      </c>
      <c r="E27" s="84"/>
      <c r="F27" s="175">
        <v>0</v>
      </c>
      <c r="G27" s="175">
        <v>0</v>
      </c>
      <c r="H27" s="175">
        <v>0</v>
      </c>
      <c r="I27" s="175">
        <v>0</v>
      </c>
      <c r="J27" s="175">
        <v>0</v>
      </c>
      <c r="K27" s="175">
        <v>0</v>
      </c>
      <c r="L27" s="175">
        <v>0</v>
      </c>
      <c r="M27" s="175">
        <v>0</v>
      </c>
      <c r="N27" s="175">
        <v>0</v>
      </c>
      <c r="O27" s="175">
        <v>0</v>
      </c>
      <c r="P27" s="1"/>
      <c r="Q27" s="14"/>
    </row>
    <row r="28" spans="2:17" ht="12.75" customHeight="1">
      <c r="B28" s="254"/>
      <c r="C28" s="256" t="s">
        <v>147</v>
      </c>
      <c r="D28" s="91" t="s">
        <v>148</v>
      </c>
      <c r="E28" s="95"/>
      <c r="F28" s="175">
        <v>0</v>
      </c>
      <c r="G28" s="175">
        <v>0</v>
      </c>
      <c r="H28" s="175">
        <v>0</v>
      </c>
      <c r="I28" s="175">
        <v>0</v>
      </c>
      <c r="J28" s="175">
        <v>0</v>
      </c>
      <c r="K28" s="175">
        <v>0</v>
      </c>
      <c r="L28" s="175">
        <v>0</v>
      </c>
      <c r="M28" s="175">
        <v>0</v>
      </c>
      <c r="N28" s="175">
        <v>0</v>
      </c>
      <c r="O28" s="175">
        <v>0</v>
      </c>
      <c r="P28" s="1"/>
      <c r="Q28" s="14"/>
    </row>
    <row r="29" spans="2:17" ht="12.75" customHeight="1">
      <c r="B29" s="254"/>
      <c r="C29" s="260" t="s">
        <v>149</v>
      </c>
      <c r="D29" s="2" t="s">
        <v>149</v>
      </c>
      <c r="E29" s="84"/>
      <c r="F29" s="261">
        <f aca="true" t="shared" si="5" ref="F29:O29">SUM(F26:F27)-F28</f>
        <v>50000</v>
      </c>
      <c r="G29" s="261">
        <f t="shared" si="5"/>
        <v>50000</v>
      </c>
      <c r="H29" s="261">
        <f t="shared" si="5"/>
        <v>50000</v>
      </c>
      <c r="I29" s="261">
        <f t="shared" si="5"/>
        <v>50000</v>
      </c>
      <c r="J29" s="261">
        <f t="shared" si="5"/>
        <v>50000</v>
      </c>
      <c r="K29" s="261">
        <f t="shared" si="5"/>
        <v>50000</v>
      </c>
      <c r="L29" s="261">
        <f t="shared" si="5"/>
        <v>50000</v>
      </c>
      <c r="M29" s="261">
        <f t="shared" si="5"/>
        <v>50000</v>
      </c>
      <c r="N29" s="261">
        <f t="shared" si="5"/>
        <v>50000</v>
      </c>
      <c r="O29" s="261">
        <f t="shared" si="5"/>
        <v>50000</v>
      </c>
      <c r="P29" s="1"/>
      <c r="Q29" s="14"/>
    </row>
    <row r="30" spans="2:17" ht="12.75" customHeight="1">
      <c r="B30" s="254"/>
      <c r="C30" s="262"/>
      <c r="D30" s="1"/>
      <c r="E30" s="1"/>
      <c r="F30" s="1"/>
      <c r="G30" s="1"/>
      <c r="H30" s="1"/>
      <c r="I30" s="1"/>
      <c r="J30" s="1"/>
      <c r="K30" s="1"/>
      <c r="L30" s="1"/>
      <c r="M30" s="1"/>
      <c r="N30" s="1"/>
      <c r="O30" s="1"/>
      <c r="P30" s="1"/>
      <c r="Q30" s="14"/>
    </row>
    <row r="31" spans="2:17" ht="12.75" customHeight="1">
      <c r="B31" s="254"/>
      <c r="C31" s="128"/>
      <c r="D31" s="131"/>
      <c r="I31" s="7"/>
      <c r="Q31" s="14"/>
    </row>
    <row r="32" spans="2:17" s="15" customFormat="1" ht="12.75" customHeight="1" collapsed="1" thickBot="1">
      <c r="B32" s="263"/>
      <c r="C32" s="264"/>
      <c r="D32" s="264"/>
      <c r="E32" s="264"/>
      <c r="F32" s="264"/>
      <c r="G32" s="264"/>
      <c r="H32" s="264"/>
      <c r="I32" s="264"/>
      <c r="J32" s="264"/>
      <c r="K32" s="264"/>
      <c r="L32" s="264"/>
      <c r="M32" s="264"/>
      <c r="N32" s="264"/>
      <c r="O32" s="264"/>
      <c r="P32" s="264"/>
      <c r="Q32" s="265"/>
    </row>
  </sheetData>
  <sheetProtection password="DE55" sheet="1" objects="1" scenarios="1"/>
  <printOptions/>
  <pageMargins left="0.75" right="0.75" top="1" bottom="1" header="0.5" footer="0.5"/>
  <pageSetup horizontalDpi="600" verticalDpi="600" orientation="landscape" paperSize="9" scale="55" r:id="rId2"/>
  <headerFooter alignWithMargins="0">
    <oddHeader>&amp;L&amp;"Arial,Vet"&amp;F&amp;R&amp;"Arial,Vet"&amp;A</oddHeader>
    <oddFooter>&amp;L&amp;"Arial,Vet"keizer / goedhart&amp;C&amp;"Arial,Vet"&amp;D&amp;R&amp;"Arial,Vet"pagina &amp;P</oddFooter>
  </headerFooter>
  <drawing r:id="rId1"/>
</worksheet>
</file>

<file path=xl/worksheets/sheet11.xml><?xml version="1.0" encoding="utf-8"?>
<worksheet xmlns="http://schemas.openxmlformats.org/spreadsheetml/2006/main" xmlns:r="http://schemas.openxmlformats.org/officeDocument/2006/relationships">
  <dimension ref="B2:AO97"/>
  <sheetViews>
    <sheetView zoomScale="85" zoomScaleNormal="85" workbookViewId="0" topLeftCell="A1">
      <pane ySplit="11" topLeftCell="BM12" activePane="bottomLeft" state="frozen"/>
      <selection pane="topLeft" activeCell="A1" sqref="A1"/>
      <selection pane="bottomLeft" activeCell="B2" sqref="B2"/>
    </sheetView>
  </sheetViews>
  <sheetFormatPr defaultColWidth="9.140625" defaultRowHeight="12.75"/>
  <cols>
    <col min="1" max="1" width="5.7109375" style="7" customWidth="1"/>
    <col min="2" max="3" width="2.7109375" style="7" customWidth="1"/>
    <col min="4" max="4" width="25.7109375" style="7" customWidth="1"/>
    <col min="5" max="5" width="35.7109375" style="7" customWidth="1"/>
    <col min="6" max="8" width="14.7109375" style="7" customWidth="1"/>
    <col min="9" max="9" width="2.7109375" style="7" customWidth="1"/>
    <col min="10" max="10" width="11.7109375" style="7" hidden="1" customWidth="1"/>
    <col min="11" max="13" width="14.8515625" style="7" customWidth="1"/>
    <col min="14" max="14" width="1.7109375" style="7" customWidth="1"/>
    <col min="15" max="24" width="14.7109375" style="7" customWidth="1"/>
    <col min="25" max="29" width="2.7109375" style="7" customWidth="1"/>
    <col min="30" max="30" width="14.7109375" style="127" customWidth="1"/>
    <col min="31" max="39" width="14.7109375" style="7" customWidth="1"/>
    <col min="40" max="41" width="2.7109375" style="7" customWidth="1"/>
    <col min="42" max="16384" width="9.140625" style="7" customWidth="1"/>
  </cols>
  <sheetData>
    <row r="1" ht="13.5" thickBot="1"/>
    <row r="2" spans="2:41" ht="12.75">
      <c r="B2" s="9"/>
      <c r="C2" s="10"/>
      <c r="D2" s="10"/>
      <c r="E2" s="10"/>
      <c r="F2" s="10"/>
      <c r="G2" s="10"/>
      <c r="H2" s="10"/>
      <c r="I2" s="10"/>
      <c r="J2" s="10"/>
      <c r="K2" s="10"/>
      <c r="L2" s="10"/>
      <c r="M2" s="10"/>
      <c r="N2" s="10"/>
      <c r="O2" s="10"/>
      <c r="P2" s="10"/>
      <c r="Q2" s="10"/>
      <c r="R2" s="10"/>
      <c r="S2" s="10"/>
      <c r="T2" s="10"/>
      <c r="U2" s="10"/>
      <c r="V2" s="10"/>
      <c r="W2" s="10"/>
      <c r="X2" s="10"/>
      <c r="Y2" s="10"/>
      <c r="Z2" s="12"/>
      <c r="AA2" s="9"/>
      <c r="AB2" s="10"/>
      <c r="AC2" s="10"/>
      <c r="AD2" s="325"/>
      <c r="AE2" s="10"/>
      <c r="AF2" s="10"/>
      <c r="AG2" s="10"/>
      <c r="AH2" s="10"/>
      <c r="AI2" s="10"/>
      <c r="AJ2" s="10"/>
      <c r="AK2" s="10"/>
      <c r="AL2" s="10"/>
      <c r="AM2" s="10"/>
      <c r="AN2" s="10"/>
      <c r="AO2" s="12"/>
    </row>
    <row r="3" spans="2:41" ht="12.75">
      <c r="B3" s="13"/>
      <c r="Z3" s="14"/>
      <c r="AA3" s="13"/>
      <c r="AO3" s="14"/>
    </row>
    <row r="4" spans="2:41" s="17" customFormat="1" ht="18" customHeight="1">
      <c r="B4" s="221"/>
      <c r="C4" s="17" t="s">
        <v>150</v>
      </c>
      <c r="Z4" s="224"/>
      <c r="AA4" s="221"/>
      <c r="AD4" s="266"/>
      <c r="AO4" s="224"/>
    </row>
    <row r="5" spans="2:41" s="36" customFormat="1" ht="12.75" customHeight="1">
      <c r="B5" s="37"/>
      <c r="C5" s="127" t="s">
        <v>37</v>
      </c>
      <c r="Z5" s="44"/>
      <c r="AA5" s="37"/>
      <c r="AD5" s="109"/>
      <c r="AO5" s="44"/>
    </row>
    <row r="6" spans="2:41" ht="12.75">
      <c r="B6" s="13"/>
      <c r="Z6" s="14"/>
      <c r="AA6" s="13"/>
      <c r="AO6" s="14"/>
    </row>
    <row r="7" spans="2:41" ht="12.75">
      <c r="B7" s="13"/>
      <c r="M7" s="34">
        <f>M95</f>
        <v>0</v>
      </c>
      <c r="O7" s="34">
        <f aca="true" t="shared" si="0" ref="O7:X7">O95</f>
        <v>11111</v>
      </c>
      <c r="P7" s="34">
        <f t="shared" si="0"/>
        <v>11111</v>
      </c>
      <c r="Q7" s="34">
        <f t="shared" si="0"/>
        <v>11111</v>
      </c>
      <c r="R7" s="34">
        <f t="shared" si="0"/>
        <v>11111</v>
      </c>
      <c r="S7" s="34">
        <f t="shared" si="0"/>
        <v>11111</v>
      </c>
      <c r="T7" s="34">
        <f t="shared" si="0"/>
        <v>11111</v>
      </c>
      <c r="U7" s="34">
        <f t="shared" si="0"/>
        <v>11111</v>
      </c>
      <c r="V7" s="34">
        <f t="shared" si="0"/>
        <v>11111</v>
      </c>
      <c r="W7" s="34">
        <f t="shared" si="0"/>
        <v>11111</v>
      </c>
      <c r="X7" s="34">
        <f t="shared" si="0"/>
        <v>0</v>
      </c>
      <c r="Z7" s="14"/>
      <c r="AA7" s="13"/>
      <c r="AD7" s="34">
        <f aca="true" t="shared" si="1" ref="AD7:AM7">AD95</f>
        <v>99999</v>
      </c>
      <c r="AE7" s="34">
        <f t="shared" si="1"/>
        <v>0</v>
      </c>
      <c r="AF7" s="34">
        <f t="shared" si="1"/>
        <v>0</v>
      </c>
      <c r="AG7" s="34">
        <f t="shared" si="1"/>
        <v>0</v>
      </c>
      <c r="AH7" s="34">
        <f t="shared" si="1"/>
        <v>0</v>
      </c>
      <c r="AI7" s="34">
        <f t="shared" si="1"/>
        <v>0</v>
      </c>
      <c r="AJ7" s="34">
        <f t="shared" si="1"/>
        <v>0</v>
      </c>
      <c r="AK7" s="34">
        <f t="shared" si="1"/>
        <v>0</v>
      </c>
      <c r="AL7" s="34">
        <f t="shared" si="1"/>
        <v>0</v>
      </c>
      <c r="AM7" s="34">
        <f t="shared" si="1"/>
        <v>0</v>
      </c>
      <c r="AO7" s="14"/>
    </row>
    <row r="8" spans="2:41" ht="12.75">
      <c r="B8" s="13"/>
      <c r="Z8" s="14"/>
      <c r="AA8" s="13"/>
      <c r="AO8" s="14"/>
    </row>
    <row r="9" spans="2:41" s="229" customFormat="1" ht="12.75">
      <c r="B9" s="267"/>
      <c r="C9" s="234"/>
      <c r="D9" s="234" t="s">
        <v>151</v>
      </c>
      <c r="E9" s="234" t="s">
        <v>152</v>
      </c>
      <c r="F9" s="234" t="s">
        <v>153</v>
      </c>
      <c r="G9" s="234" t="s">
        <v>154</v>
      </c>
      <c r="H9" s="234" t="s">
        <v>155</v>
      </c>
      <c r="I9" s="234"/>
      <c r="J9" s="234" t="s">
        <v>156</v>
      </c>
      <c r="K9" s="234" t="s">
        <v>157</v>
      </c>
      <c r="L9" s="268" t="s">
        <v>158</v>
      </c>
      <c r="M9" s="234" t="s">
        <v>168</v>
      </c>
      <c r="N9" s="234"/>
      <c r="O9" s="234">
        <f>M10</f>
        <v>2009</v>
      </c>
      <c r="P9" s="269">
        <f>O9+1</f>
        <v>2010</v>
      </c>
      <c r="Q9" s="269">
        <f>O9+2</f>
        <v>2011</v>
      </c>
      <c r="R9" s="270">
        <f aca="true" t="shared" si="2" ref="R9:X9">O9+3</f>
        <v>2012</v>
      </c>
      <c r="S9" s="270">
        <f t="shared" si="2"/>
        <v>2013</v>
      </c>
      <c r="T9" s="270">
        <f t="shared" si="2"/>
        <v>2014</v>
      </c>
      <c r="U9" s="270">
        <f t="shared" si="2"/>
        <v>2015</v>
      </c>
      <c r="V9" s="270">
        <f t="shared" si="2"/>
        <v>2016</v>
      </c>
      <c r="W9" s="270">
        <f t="shared" si="2"/>
        <v>2017</v>
      </c>
      <c r="X9" s="270">
        <f t="shared" si="2"/>
        <v>2018</v>
      </c>
      <c r="Y9" s="234"/>
      <c r="Z9" s="271"/>
      <c r="AA9" s="267"/>
      <c r="AC9" s="234"/>
      <c r="AD9" s="234">
        <f aca="true" t="shared" si="3" ref="AD9:AM9">O9</f>
        <v>2009</v>
      </c>
      <c r="AE9" s="234">
        <f t="shared" si="3"/>
        <v>2010</v>
      </c>
      <c r="AF9" s="234">
        <f t="shared" si="3"/>
        <v>2011</v>
      </c>
      <c r="AG9" s="234">
        <f t="shared" si="3"/>
        <v>2012</v>
      </c>
      <c r="AH9" s="234">
        <f t="shared" si="3"/>
        <v>2013</v>
      </c>
      <c r="AI9" s="234">
        <f t="shared" si="3"/>
        <v>2014</v>
      </c>
      <c r="AJ9" s="234">
        <f t="shared" si="3"/>
        <v>2015</v>
      </c>
      <c r="AK9" s="234">
        <f t="shared" si="3"/>
        <v>2016</v>
      </c>
      <c r="AL9" s="234">
        <f t="shared" si="3"/>
        <v>2017</v>
      </c>
      <c r="AM9" s="234">
        <f t="shared" si="3"/>
        <v>2018</v>
      </c>
      <c r="AN9" s="234"/>
      <c r="AO9" s="271"/>
    </row>
    <row r="10" spans="2:41" s="229" customFormat="1" ht="12.75">
      <c r="B10" s="267"/>
      <c r="C10" s="234"/>
      <c r="D10" s="234"/>
      <c r="E10" s="234"/>
      <c r="F10" s="234" t="s">
        <v>169</v>
      </c>
      <c r="G10" s="234"/>
      <c r="H10" s="234" t="s">
        <v>204</v>
      </c>
      <c r="I10" s="234"/>
      <c r="J10" s="234"/>
      <c r="K10" s="234" t="s">
        <v>205</v>
      </c>
      <c r="L10" s="268" t="s">
        <v>157</v>
      </c>
      <c r="M10" s="268">
        <f>mop!F13</f>
        <v>2009</v>
      </c>
      <c r="N10" s="234"/>
      <c r="O10" s="234" t="s">
        <v>157</v>
      </c>
      <c r="P10" s="234" t="s">
        <v>157</v>
      </c>
      <c r="Q10" s="234" t="s">
        <v>157</v>
      </c>
      <c r="R10" s="234" t="s">
        <v>157</v>
      </c>
      <c r="S10" s="234" t="s">
        <v>157</v>
      </c>
      <c r="T10" s="234" t="s">
        <v>157</v>
      </c>
      <c r="U10" s="234" t="s">
        <v>157</v>
      </c>
      <c r="V10" s="234" t="s">
        <v>157</v>
      </c>
      <c r="W10" s="234" t="s">
        <v>157</v>
      </c>
      <c r="X10" s="234" t="s">
        <v>157</v>
      </c>
      <c r="Y10" s="234"/>
      <c r="Z10" s="271"/>
      <c r="AA10" s="267"/>
      <c r="AC10" s="234"/>
      <c r="AD10" s="234" t="s">
        <v>206</v>
      </c>
      <c r="AE10" s="234" t="s">
        <v>206</v>
      </c>
      <c r="AF10" s="234" t="s">
        <v>206</v>
      </c>
      <c r="AG10" s="234" t="s">
        <v>206</v>
      </c>
      <c r="AH10" s="234" t="s">
        <v>206</v>
      </c>
      <c r="AI10" s="234" t="s">
        <v>206</v>
      </c>
      <c r="AJ10" s="234" t="s">
        <v>206</v>
      </c>
      <c r="AK10" s="234" t="s">
        <v>206</v>
      </c>
      <c r="AL10" s="234" t="s">
        <v>206</v>
      </c>
      <c r="AM10" s="234" t="s">
        <v>206</v>
      </c>
      <c r="AN10" s="234"/>
      <c r="AO10" s="271"/>
    </row>
    <row r="11" spans="2:41" s="229" customFormat="1" ht="12.75">
      <c r="B11" s="267"/>
      <c r="C11" s="234"/>
      <c r="D11" s="234"/>
      <c r="E11" s="234"/>
      <c r="F11" s="234"/>
      <c r="G11" s="234"/>
      <c r="H11" s="234"/>
      <c r="I11" s="234"/>
      <c r="J11" s="234"/>
      <c r="K11" s="234"/>
      <c r="L11" s="268"/>
      <c r="M11" s="268"/>
      <c r="N11" s="234"/>
      <c r="O11" s="234"/>
      <c r="P11" s="234"/>
      <c r="Q11" s="234"/>
      <c r="R11" s="234"/>
      <c r="S11" s="234"/>
      <c r="T11" s="234"/>
      <c r="U11" s="234"/>
      <c r="V11" s="234"/>
      <c r="W11" s="234"/>
      <c r="X11" s="234"/>
      <c r="Y11" s="234"/>
      <c r="Z11" s="271"/>
      <c r="AA11" s="267"/>
      <c r="AC11" s="234"/>
      <c r="AD11" s="234"/>
      <c r="AE11" s="234"/>
      <c r="AF11" s="234"/>
      <c r="AG11" s="234"/>
      <c r="AH11" s="234"/>
      <c r="AI11" s="234"/>
      <c r="AJ11" s="234"/>
      <c r="AK11" s="234"/>
      <c r="AL11" s="234"/>
      <c r="AM11" s="234"/>
      <c r="AN11" s="234"/>
      <c r="AO11" s="271"/>
    </row>
    <row r="12" spans="2:41" ht="12.75">
      <c r="B12" s="13"/>
      <c r="C12" s="1"/>
      <c r="D12" s="26" t="s">
        <v>207</v>
      </c>
      <c r="E12" s="26"/>
      <c r="F12" s="27">
        <v>2009</v>
      </c>
      <c r="G12" s="176">
        <v>99999</v>
      </c>
      <c r="H12" s="27">
        <v>9</v>
      </c>
      <c r="I12" s="1"/>
      <c r="J12" s="25">
        <f>IF(H12="geen",9999999999,H12)</f>
        <v>9</v>
      </c>
      <c r="K12" s="35">
        <f aca="true" t="shared" si="4" ref="K12:K75">IF(G12=0,0,(G12/J12))</f>
        <v>11111</v>
      </c>
      <c r="L12" s="272">
        <f aca="true" t="shared" si="5" ref="L12:L75">IF(J12=0,"-",(IF(J12&gt;3000,"-",F12+J12-1)))</f>
        <v>2017</v>
      </c>
      <c r="M12" s="35">
        <f aca="true" t="shared" si="6" ref="M12:M75">IF(H12="geen",IF(F12&lt;$O$9,G12,0),IF(F12&gt;=$O$9,0,IF((G12-($O$9-F12)*K12)&lt;0,0,G12-($O$9-F12)*K12)))</f>
        <v>0</v>
      </c>
      <c r="N12" s="1"/>
      <c r="O12" s="35">
        <f aca="true" t="shared" si="7" ref="O12:X37">(IF(O$9&lt;$F12,0,IF($L12&lt;=O$9-1,0,$K12)))</f>
        <v>11111</v>
      </c>
      <c r="P12" s="35">
        <f t="shared" si="7"/>
        <v>11111</v>
      </c>
      <c r="Q12" s="35">
        <f t="shared" si="7"/>
        <v>11111</v>
      </c>
      <c r="R12" s="35">
        <f t="shared" si="7"/>
        <v>11111</v>
      </c>
      <c r="S12" s="35">
        <f t="shared" si="7"/>
        <v>11111</v>
      </c>
      <c r="T12" s="35">
        <f t="shared" si="7"/>
        <v>11111</v>
      </c>
      <c r="U12" s="35">
        <f t="shared" si="7"/>
        <v>11111</v>
      </c>
      <c r="V12" s="35">
        <f t="shared" si="7"/>
        <v>11111</v>
      </c>
      <c r="W12" s="35">
        <f t="shared" si="7"/>
        <v>11111</v>
      </c>
      <c r="X12" s="35">
        <f t="shared" si="7"/>
        <v>0</v>
      </c>
      <c r="Y12" s="1"/>
      <c r="Z12" s="14"/>
      <c r="AA12" s="13"/>
      <c r="AC12" s="1"/>
      <c r="AD12" s="171">
        <f aca="true" t="shared" si="8" ref="AD12:AM27">IF(AD$9=$F12,$G12,0)</f>
        <v>99999</v>
      </c>
      <c r="AE12" s="171">
        <f t="shared" si="8"/>
        <v>0</v>
      </c>
      <c r="AF12" s="171">
        <f t="shared" si="8"/>
        <v>0</v>
      </c>
      <c r="AG12" s="171">
        <f t="shared" si="8"/>
        <v>0</v>
      </c>
      <c r="AH12" s="171">
        <f t="shared" si="8"/>
        <v>0</v>
      </c>
      <c r="AI12" s="171">
        <f t="shared" si="8"/>
        <v>0</v>
      </c>
      <c r="AJ12" s="171">
        <f t="shared" si="8"/>
        <v>0</v>
      </c>
      <c r="AK12" s="171">
        <f t="shared" si="8"/>
        <v>0</v>
      </c>
      <c r="AL12" s="171">
        <f t="shared" si="8"/>
        <v>0</v>
      </c>
      <c r="AM12" s="171">
        <f t="shared" si="8"/>
        <v>0</v>
      </c>
      <c r="AN12" s="1"/>
      <c r="AO12" s="14"/>
    </row>
    <row r="13" spans="2:41" ht="12.75">
      <c r="B13" s="13"/>
      <c r="C13" s="1"/>
      <c r="D13" s="26"/>
      <c r="E13" s="26"/>
      <c r="F13" s="27"/>
      <c r="G13" s="176"/>
      <c r="H13" s="27"/>
      <c r="I13" s="1"/>
      <c r="J13" s="25">
        <f aca="true" t="shared" si="9" ref="J13:J79">IF(H13="geen",9999999999,H13)</f>
        <v>0</v>
      </c>
      <c r="K13" s="35">
        <f t="shared" si="4"/>
        <v>0</v>
      </c>
      <c r="L13" s="272" t="str">
        <f t="shared" si="5"/>
        <v>-</v>
      </c>
      <c r="M13" s="35">
        <f t="shared" si="6"/>
        <v>0</v>
      </c>
      <c r="N13" s="1"/>
      <c r="O13" s="35">
        <f t="shared" si="7"/>
        <v>0</v>
      </c>
      <c r="P13" s="35">
        <f t="shared" si="7"/>
        <v>0</v>
      </c>
      <c r="Q13" s="35">
        <f t="shared" si="7"/>
        <v>0</v>
      </c>
      <c r="R13" s="35">
        <f t="shared" si="7"/>
        <v>0</v>
      </c>
      <c r="S13" s="35">
        <f t="shared" si="7"/>
        <v>0</v>
      </c>
      <c r="T13" s="35">
        <f t="shared" si="7"/>
        <v>0</v>
      </c>
      <c r="U13" s="35">
        <f t="shared" si="7"/>
        <v>0</v>
      </c>
      <c r="V13" s="35">
        <f t="shared" si="7"/>
        <v>0</v>
      </c>
      <c r="W13" s="35">
        <f t="shared" si="7"/>
        <v>0</v>
      </c>
      <c r="X13" s="35">
        <f t="shared" si="7"/>
        <v>0</v>
      </c>
      <c r="Y13" s="1"/>
      <c r="Z13" s="14"/>
      <c r="AA13" s="13"/>
      <c r="AC13" s="1"/>
      <c r="AD13" s="171">
        <f t="shared" si="8"/>
        <v>0</v>
      </c>
      <c r="AE13" s="171">
        <f t="shared" si="8"/>
        <v>0</v>
      </c>
      <c r="AF13" s="171">
        <f t="shared" si="8"/>
        <v>0</v>
      </c>
      <c r="AG13" s="171">
        <f t="shared" si="8"/>
        <v>0</v>
      </c>
      <c r="AH13" s="171">
        <f t="shared" si="8"/>
        <v>0</v>
      </c>
      <c r="AI13" s="171">
        <f t="shared" si="8"/>
        <v>0</v>
      </c>
      <c r="AJ13" s="171">
        <f t="shared" si="8"/>
        <v>0</v>
      </c>
      <c r="AK13" s="171">
        <f t="shared" si="8"/>
        <v>0</v>
      </c>
      <c r="AL13" s="171">
        <f t="shared" si="8"/>
        <v>0</v>
      </c>
      <c r="AM13" s="171">
        <f t="shared" si="8"/>
        <v>0</v>
      </c>
      <c r="AN13" s="1"/>
      <c r="AO13" s="14"/>
    </row>
    <row r="14" spans="2:41" ht="12.75">
      <c r="B14" s="13"/>
      <c r="C14" s="1"/>
      <c r="D14" s="26"/>
      <c r="E14" s="26"/>
      <c r="F14" s="27"/>
      <c r="G14" s="176"/>
      <c r="H14" s="27"/>
      <c r="I14" s="1"/>
      <c r="J14" s="25">
        <f t="shared" si="9"/>
        <v>0</v>
      </c>
      <c r="K14" s="35">
        <f t="shared" si="4"/>
        <v>0</v>
      </c>
      <c r="L14" s="272" t="str">
        <f t="shared" si="5"/>
        <v>-</v>
      </c>
      <c r="M14" s="35">
        <f t="shared" si="6"/>
        <v>0</v>
      </c>
      <c r="N14" s="1"/>
      <c r="O14" s="35">
        <f t="shared" si="7"/>
        <v>0</v>
      </c>
      <c r="P14" s="35">
        <f t="shared" si="7"/>
        <v>0</v>
      </c>
      <c r="Q14" s="35">
        <f t="shared" si="7"/>
        <v>0</v>
      </c>
      <c r="R14" s="35">
        <f t="shared" si="7"/>
        <v>0</v>
      </c>
      <c r="S14" s="35">
        <f t="shared" si="7"/>
        <v>0</v>
      </c>
      <c r="T14" s="35">
        <f t="shared" si="7"/>
        <v>0</v>
      </c>
      <c r="U14" s="35">
        <f t="shared" si="7"/>
        <v>0</v>
      </c>
      <c r="V14" s="35">
        <f t="shared" si="7"/>
        <v>0</v>
      </c>
      <c r="W14" s="35">
        <f t="shared" si="7"/>
        <v>0</v>
      </c>
      <c r="X14" s="35">
        <f t="shared" si="7"/>
        <v>0</v>
      </c>
      <c r="Y14" s="1"/>
      <c r="Z14" s="14"/>
      <c r="AA14" s="13"/>
      <c r="AC14" s="1"/>
      <c r="AD14" s="171">
        <f t="shared" si="8"/>
        <v>0</v>
      </c>
      <c r="AE14" s="171">
        <f t="shared" si="8"/>
        <v>0</v>
      </c>
      <c r="AF14" s="171">
        <f t="shared" si="8"/>
        <v>0</v>
      </c>
      <c r="AG14" s="171">
        <f t="shared" si="8"/>
        <v>0</v>
      </c>
      <c r="AH14" s="171">
        <f t="shared" si="8"/>
        <v>0</v>
      </c>
      <c r="AI14" s="171">
        <f t="shared" si="8"/>
        <v>0</v>
      </c>
      <c r="AJ14" s="171">
        <f t="shared" si="8"/>
        <v>0</v>
      </c>
      <c r="AK14" s="171">
        <f t="shared" si="8"/>
        <v>0</v>
      </c>
      <c r="AL14" s="171">
        <f t="shared" si="8"/>
        <v>0</v>
      </c>
      <c r="AM14" s="171">
        <f t="shared" si="8"/>
        <v>0</v>
      </c>
      <c r="AN14" s="1"/>
      <c r="AO14" s="14"/>
    </row>
    <row r="15" spans="2:41" ht="12.75">
      <c r="B15" s="13"/>
      <c r="C15" s="1"/>
      <c r="D15" s="26"/>
      <c r="E15" s="26"/>
      <c r="F15" s="27"/>
      <c r="G15" s="176"/>
      <c r="H15" s="27"/>
      <c r="I15" s="1"/>
      <c r="J15" s="25">
        <f t="shared" si="9"/>
        <v>0</v>
      </c>
      <c r="K15" s="35">
        <f t="shared" si="4"/>
        <v>0</v>
      </c>
      <c r="L15" s="272" t="str">
        <f t="shared" si="5"/>
        <v>-</v>
      </c>
      <c r="M15" s="35">
        <f t="shared" si="6"/>
        <v>0</v>
      </c>
      <c r="N15" s="1"/>
      <c r="O15" s="35">
        <f t="shared" si="7"/>
        <v>0</v>
      </c>
      <c r="P15" s="35">
        <f t="shared" si="7"/>
        <v>0</v>
      </c>
      <c r="Q15" s="35">
        <f t="shared" si="7"/>
        <v>0</v>
      </c>
      <c r="R15" s="35">
        <f t="shared" si="7"/>
        <v>0</v>
      </c>
      <c r="S15" s="35">
        <f t="shared" si="7"/>
        <v>0</v>
      </c>
      <c r="T15" s="35">
        <f t="shared" si="7"/>
        <v>0</v>
      </c>
      <c r="U15" s="35">
        <f t="shared" si="7"/>
        <v>0</v>
      </c>
      <c r="V15" s="35">
        <f t="shared" si="7"/>
        <v>0</v>
      </c>
      <c r="W15" s="35">
        <f t="shared" si="7"/>
        <v>0</v>
      </c>
      <c r="X15" s="35">
        <f t="shared" si="7"/>
        <v>0</v>
      </c>
      <c r="Y15" s="1"/>
      <c r="Z15" s="14"/>
      <c r="AA15" s="13"/>
      <c r="AC15" s="1"/>
      <c r="AD15" s="171">
        <f t="shared" si="8"/>
        <v>0</v>
      </c>
      <c r="AE15" s="171">
        <f t="shared" si="8"/>
        <v>0</v>
      </c>
      <c r="AF15" s="171">
        <f t="shared" si="8"/>
        <v>0</v>
      </c>
      <c r="AG15" s="171">
        <f t="shared" si="8"/>
        <v>0</v>
      </c>
      <c r="AH15" s="171">
        <f t="shared" si="8"/>
        <v>0</v>
      </c>
      <c r="AI15" s="171">
        <f t="shared" si="8"/>
        <v>0</v>
      </c>
      <c r="AJ15" s="171">
        <f t="shared" si="8"/>
        <v>0</v>
      </c>
      <c r="AK15" s="171">
        <f t="shared" si="8"/>
        <v>0</v>
      </c>
      <c r="AL15" s="171">
        <f t="shared" si="8"/>
        <v>0</v>
      </c>
      <c r="AM15" s="171">
        <f t="shared" si="8"/>
        <v>0</v>
      </c>
      <c r="AN15" s="1"/>
      <c r="AO15" s="14"/>
    </row>
    <row r="16" spans="2:41" ht="12.75">
      <c r="B16" s="13"/>
      <c r="C16" s="1"/>
      <c r="D16" s="26"/>
      <c r="E16" s="26"/>
      <c r="F16" s="27"/>
      <c r="G16" s="176"/>
      <c r="H16" s="27"/>
      <c r="I16" s="1"/>
      <c r="J16" s="25">
        <f t="shared" si="9"/>
        <v>0</v>
      </c>
      <c r="K16" s="35">
        <f t="shared" si="4"/>
        <v>0</v>
      </c>
      <c r="L16" s="272" t="str">
        <f t="shared" si="5"/>
        <v>-</v>
      </c>
      <c r="M16" s="35">
        <f t="shared" si="6"/>
        <v>0</v>
      </c>
      <c r="N16" s="1"/>
      <c r="O16" s="35">
        <f t="shared" si="7"/>
        <v>0</v>
      </c>
      <c r="P16" s="35">
        <f t="shared" si="7"/>
        <v>0</v>
      </c>
      <c r="Q16" s="35">
        <f t="shared" si="7"/>
        <v>0</v>
      </c>
      <c r="R16" s="35">
        <f t="shared" si="7"/>
        <v>0</v>
      </c>
      <c r="S16" s="35">
        <f t="shared" si="7"/>
        <v>0</v>
      </c>
      <c r="T16" s="35">
        <f t="shared" si="7"/>
        <v>0</v>
      </c>
      <c r="U16" s="35">
        <f t="shared" si="7"/>
        <v>0</v>
      </c>
      <c r="V16" s="35">
        <f t="shared" si="7"/>
        <v>0</v>
      </c>
      <c r="W16" s="35">
        <f t="shared" si="7"/>
        <v>0</v>
      </c>
      <c r="X16" s="35">
        <f t="shared" si="7"/>
        <v>0</v>
      </c>
      <c r="Y16" s="1"/>
      <c r="Z16" s="14"/>
      <c r="AA16" s="13"/>
      <c r="AC16" s="1"/>
      <c r="AD16" s="171">
        <f t="shared" si="8"/>
        <v>0</v>
      </c>
      <c r="AE16" s="171">
        <f t="shared" si="8"/>
        <v>0</v>
      </c>
      <c r="AF16" s="171">
        <f t="shared" si="8"/>
        <v>0</v>
      </c>
      <c r="AG16" s="171">
        <f t="shared" si="8"/>
        <v>0</v>
      </c>
      <c r="AH16" s="171">
        <f t="shared" si="8"/>
        <v>0</v>
      </c>
      <c r="AI16" s="171">
        <f t="shared" si="8"/>
        <v>0</v>
      </c>
      <c r="AJ16" s="171">
        <f t="shared" si="8"/>
        <v>0</v>
      </c>
      <c r="AK16" s="171">
        <f t="shared" si="8"/>
        <v>0</v>
      </c>
      <c r="AL16" s="171">
        <f t="shared" si="8"/>
        <v>0</v>
      </c>
      <c r="AM16" s="171">
        <f t="shared" si="8"/>
        <v>0</v>
      </c>
      <c r="AN16" s="1"/>
      <c r="AO16" s="14"/>
    </row>
    <row r="17" spans="2:41" ht="12.75">
      <c r="B17" s="13"/>
      <c r="C17" s="1"/>
      <c r="D17" s="26"/>
      <c r="E17" s="26"/>
      <c r="F17" s="27"/>
      <c r="G17" s="176"/>
      <c r="H17" s="27"/>
      <c r="I17" s="1"/>
      <c r="J17" s="25">
        <f t="shared" si="9"/>
        <v>0</v>
      </c>
      <c r="K17" s="35">
        <f t="shared" si="4"/>
        <v>0</v>
      </c>
      <c r="L17" s="272" t="str">
        <f t="shared" si="5"/>
        <v>-</v>
      </c>
      <c r="M17" s="35">
        <f t="shared" si="6"/>
        <v>0</v>
      </c>
      <c r="N17" s="1"/>
      <c r="O17" s="35">
        <f t="shared" si="7"/>
        <v>0</v>
      </c>
      <c r="P17" s="35">
        <f t="shared" si="7"/>
        <v>0</v>
      </c>
      <c r="Q17" s="35">
        <f t="shared" si="7"/>
        <v>0</v>
      </c>
      <c r="R17" s="35">
        <f t="shared" si="7"/>
        <v>0</v>
      </c>
      <c r="S17" s="35">
        <f t="shared" si="7"/>
        <v>0</v>
      </c>
      <c r="T17" s="35">
        <f t="shared" si="7"/>
        <v>0</v>
      </c>
      <c r="U17" s="35">
        <f t="shared" si="7"/>
        <v>0</v>
      </c>
      <c r="V17" s="35">
        <f t="shared" si="7"/>
        <v>0</v>
      </c>
      <c r="W17" s="35">
        <f t="shared" si="7"/>
        <v>0</v>
      </c>
      <c r="X17" s="35">
        <f t="shared" si="7"/>
        <v>0</v>
      </c>
      <c r="Y17" s="1"/>
      <c r="Z17" s="14"/>
      <c r="AA17" s="13"/>
      <c r="AC17" s="1"/>
      <c r="AD17" s="171">
        <f t="shared" si="8"/>
        <v>0</v>
      </c>
      <c r="AE17" s="171">
        <f t="shared" si="8"/>
        <v>0</v>
      </c>
      <c r="AF17" s="171">
        <f t="shared" si="8"/>
        <v>0</v>
      </c>
      <c r="AG17" s="171">
        <f t="shared" si="8"/>
        <v>0</v>
      </c>
      <c r="AH17" s="171">
        <f t="shared" si="8"/>
        <v>0</v>
      </c>
      <c r="AI17" s="171">
        <f t="shared" si="8"/>
        <v>0</v>
      </c>
      <c r="AJ17" s="171">
        <f t="shared" si="8"/>
        <v>0</v>
      </c>
      <c r="AK17" s="171">
        <f t="shared" si="8"/>
        <v>0</v>
      </c>
      <c r="AL17" s="171">
        <f t="shared" si="8"/>
        <v>0</v>
      </c>
      <c r="AM17" s="171">
        <f t="shared" si="8"/>
        <v>0</v>
      </c>
      <c r="AN17" s="1"/>
      <c r="AO17" s="14"/>
    </row>
    <row r="18" spans="2:41" ht="12.75">
      <c r="B18" s="13"/>
      <c r="C18" s="1"/>
      <c r="D18" s="26"/>
      <c r="E18" s="26"/>
      <c r="F18" s="27"/>
      <c r="G18" s="176"/>
      <c r="H18" s="27"/>
      <c r="I18" s="1"/>
      <c r="J18" s="25">
        <f t="shared" si="9"/>
        <v>0</v>
      </c>
      <c r="K18" s="35">
        <f t="shared" si="4"/>
        <v>0</v>
      </c>
      <c r="L18" s="272" t="str">
        <f t="shared" si="5"/>
        <v>-</v>
      </c>
      <c r="M18" s="35">
        <f t="shared" si="6"/>
        <v>0</v>
      </c>
      <c r="N18" s="1"/>
      <c r="O18" s="35">
        <f t="shared" si="7"/>
        <v>0</v>
      </c>
      <c r="P18" s="35">
        <f t="shared" si="7"/>
        <v>0</v>
      </c>
      <c r="Q18" s="35">
        <f t="shared" si="7"/>
        <v>0</v>
      </c>
      <c r="R18" s="35">
        <f t="shared" si="7"/>
        <v>0</v>
      </c>
      <c r="S18" s="35">
        <f t="shared" si="7"/>
        <v>0</v>
      </c>
      <c r="T18" s="35">
        <f t="shared" si="7"/>
        <v>0</v>
      </c>
      <c r="U18" s="35">
        <f t="shared" si="7"/>
        <v>0</v>
      </c>
      <c r="V18" s="35">
        <f t="shared" si="7"/>
        <v>0</v>
      </c>
      <c r="W18" s="35">
        <f t="shared" si="7"/>
        <v>0</v>
      </c>
      <c r="X18" s="35">
        <f t="shared" si="7"/>
        <v>0</v>
      </c>
      <c r="Y18" s="1"/>
      <c r="Z18" s="14"/>
      <c r="AA18" s="13"/>
      <c r="AC18" s="1"/>
      <c r="AD18" s="171">
        <f t="shared" si="8"/>
        <v>0</v>
      </c>
      <c r="AE18" s="171">
        <f t="shared" si="8"/>
        <v>0</v>
      </c>
      <c r="AF18" s="171">
        <f t="shared" si="8"/>
        <v>0</v>
      </c>
      <c r="AG18" s="171">
        <f t="shared" si="8"/>
        <v>0</v>
      </c>
      <c r="AH18" s="171">
        <f t="shared" si="8"/>
        <v>0</v>
      </c>
      <c r="AI18" s="171">
        <f t="shared" si="8"/>
        <v>0</v>
      </c>
      <c r="AJ18" s="171">
        <f t="shared" si="8"/>
        <v>0</v>
      </c>
      <c r="AK18" s="171">
        <f t="shared" si="8"/>
        <v>0</v>
      </c>
      <c r="AL18" s="171">
        <f t="shared" si="8"/>
        <v>0</v>
      </c>
      <c r="AM18" s="171">
        <f t="shared" si="8"/>
        <v>0</v>
      </c>
      <c r="AN18" s="1"/>
      <c r="AO18" s="14"/>
    </row>
    <row r="19" spans="2:41" ht="12.75">
      <c r="B19" s="13"/>
      <c r="C19" s="1"/>
      <c r="D19" s="26"/>
      <c r="E19" s="26"/>
      <c r="F19" s="27"/>
      <c r="G19" s="176"/>
      <c r="H19" s="27"/>
      <c r="I19" s="1"/>
      <c r="J19" s="25">
        <f t="shared" si="9"/>
        <v>0</v>
      </c>
      <c r="K19" s="35">
        <f t="shared" si="4"/>
        <v>0</v>
      </c>
      <c r="L19" s="272" t="str">
        <f t="shared" si="5"/>
        <v>-</v>
      </c>
      <c r="M19" s="35">
        <f t="shared" si="6"/>
        <v>0</v>
      </c>
      <c r="N19" s="1"/>
      <c r="O19" s="35">
        <f t="shared" si="7"/>
        <v>0</v>
      </c>
      <c r="P19" s="35">
        <f t="shared" si="7"/>
        <v>0</v>
      </c>
      <c r="Q19" s="35">
        <f t="shared" si="7"/>
        <v>0</v>
      </c>
      <c r="R19" s="35">
        <f t="shared" si="7"/>
        <v>0</v>
      </c>
      <c r="S19" s="35">
        <f t="shared" si="7"/>
        <v>0</v>
      </c>
      <c r="T19" s="35">
        <f t="shared" si="7"/>
        <v>0</v>
      </c>
      <c r="U19" s="35">
        <f t="shared" si="7"/>
        <v>0</v>
      </c>
      <c r="V19" s="35">
        <f t="shared" si="7"/>
        <v>0</v>
      </c>
      <c r="W19" s="35">
        <f t="shared" si="7"/>
        <v>0</v>
      </c>
      <c r="X19" s="35">
        <f t="shared" si="7"/>
        <v>0</v>
      </c>
      <c r="Y19" s="1"/>
      <c r="Z19" s="14"/>
      <c r="AA19" s="13"/>
      <c r="AC19" s="1"/>
      <c r="AD19" s="171">
        <f t="shared" si="8"/>
        <v>0</v>
      </c>
      <c r="AE19" s="171">
        <f t="shared" si="8"/>
        <v>0</v>
      </c>
      <c r="AF19" s="171">
        <f t="shared" si="8"/>
        <v>0</v>
      </c>
      <c r="AG19" s="171">
        <f t="shared" si="8"/>
        <v>0</v>
      </c>
      <c r="AH19" s="171">
        <f t="shared" si="8"/>
        <v>0</v>
      </c>
      <c r="AI19" s="171">
        <f t="shared" si="8"/>
        <v>0</v>
      </c>
      <c r="AJ19" s="171">
        <f t="shared" si="8"/>
        <v>0</v>
      </c>
      <c r="AK19" s="171">
        <f t="shared" si="8"/>
        <v>0</v>
      </c>
      <c r="AL19" s="171">
        <f t="shared" si="8"/>
        <v>0</v>
      </c>
      <c r="AM19" s="171">
        <f t="shared" si="8"/>
        <v>0</v>
      </c>
      <c r="AN19" s="1"/>
      <c r="AO19" s="14"/>
    </row>
    <row r="20" spans="2:41" ht="12.75">
      <c r="B20" s="13"/>
      <c r="C20" s="1"/>
      <c r="D20" s="26"/>
      <c r="E20" s="26"/>
      <c r="F20" s="27"/>
      <c r="G20" s="176"/>
      <c r="H20" s="27"/>
      <c r="I20" s="1"/>
      <c r="J20" s="25">
        <f t="shared" si="9"/>
        <v>0</v>
      </c>
      <c r="K20" s="35">
        <f t="shared" si="4"/>
        <v>0</v>
      </c>
      <c r="L20" s="272" t="str">
        <f t="shared" si="5"/>
        <v>-</v>
      </c>
      <c r="M20" s="35">
        <f t="shared" si="6"/>
        <v>0</v>
      </c>
      <c r="N20" s="1"/>
      <c r="O20" s="35">
        <f t="shared" si="7"/>
        <v>0</v>
      </c>
      <c r="P20" s="35">
        <f t="shared" si="7"/>
        <v>0</v>
      </c>
      <c r="Q20" s="35">
        <f t="shared" si="7"/>
        <v>0</v>
      </c>
      <c r="R20" s="35">
        <f t="shared" si="7"/>
        <v>0</v>
      </c>
      <c r="S20" s="35">
        <f t="shared" si="7"/>
        <v>0</v>
      </c>
      <c r="T20" s="35">
        <f t="shared" si="7"/>
        <v>0</v>
      </c>
      <c r="U20" s="35">
        <f t="shared" si="7"/>
        <v>0</v>
      </c>
      <c r="V20" s="35">
        <f t="shared" si="7"/>
        <v>0</v>
      </c>
      <c r="W20" s="35">
        <f t="shared" si="7"/>
        <v>0</v>
      </c>
      <c r="X20" s="35">
        <f t="shared" si="7"/>
        <v>0</v>
      </c>
      <c r="Y20" s="1"/>
      <c r="Z20" s="14"/>
      <c r="AA20" s="13"/>
      <c r="AC20" s="1"/>
      <c r="AD20" s="171">
        <f t="shared" si="8"/>
        <v>0</v>
      </c>
      <c r="AE20" s="171">
        <f t="shared" si="8"/>
        <v>0</v>
      </c>
      <c r="AF20" s="171">
        <f t="shared" si="8"/>
        <v>0</v>
      </c>
      <c r="AG20" s="171">
        <f t="shared" si="8"/>
        <v>0</v>
      </c>
      <c r="AH20" s="171">
        <f t="shared" si="8"/>
        <v>0</v>
      </c>
      <c r="AI20" s="171">
        <f t="shared" si="8"/>
        <v>0</v>
      </c>
      <c r="AJ20" s="171">
        <f t="shared" si="8"/>
        <v>0</v>
      </c>
      <c r="AK20" s="171">
        <f t="shared" si="8"/>
        <v>0</v>
      </c>
      <c r="AL20" s="171">
        <f t="shared" si="8"/>
        <v>0</v>
      </c>
      <c r="AM20" s="171">
        <f t="shared" si="8"/>
        <v>0</v>
      </c>
      <c r="AN20" s="1"/>
      <c r="AO20" s="14"/>
    </row>
    <row r="21" spans="2:41" ht="12.75">
      <c r="B21" s="13"/>
      <c r="C21" s="1"/>
      <c r="D21" s="26"/>
      <c r="E21" s="26"/>
      <c r="F21" s="27"/>
      <c r="G21" s="176"/>
      <c r="H21" s="27"/>
      <c r="I21" s="1"/>
      <c r="J21" s="25">
        <f t="shared" si="9"/>
        <v>0</v>
      </c>
      <c r="K21" s="35">
        <f t="shared" si="4"/>
        <v>0</v>
      </c>
      <c r="L21" s="272" t="str">
        <f t="shared" si="5"/>
        <v>-</v>
      </c>
      <c r="M21" s="35">
        <f t="shared" si="6"/>
        <v>0</v>
      </c>
      <c r="N21" s="1"/>
      <c r="O21" s="35">
        <f t="shared" si="7"/>
        <v>0</v>
      </c>
      <c r="P21" s="35">
        <f t="shared" si="7"/>
        <v>0</v>
      </c>
      <c r="Q21" s="35">
        <f t="shared" si="7"/>
        <v>0</v>
      </c>
      <c r="R21" s="35">
        <f t="shared" si="7"/>
        <v>0</v>
      </c>
      <c r="S21" s="35">
        <f t="shared" si="7"/>
        <v>0</v>
      </c>
      <c r="T21" s="35">
        <f t="shared" si="7"/>
        <v>0</v>
      </c>
      <c r="U21" s="35">
        <f t="shared" si="7"/>
        <v>0</v>
      </c>
      <c r="V21" s="35">
        <f t="shared" si="7"/>
        <v>0</v>
      </c>
      <c r="W21" s="35">
        <f t="shared" si="7"/>
        <v>0</v>
      </c>
      <c r="X21" s="35">
        <f t="shared" si="7"/>
        <v>0</v>
      </c>
      <c r="Y21" s="1"/>
      <c r="Z21" s="14"/>
      <c r="AA21" s="13"/>
      <c r="AC21" s="1"/>
      <c r="AD21" s="171">
        <f t="shared" si="8"/>
        <v>0</v>
      </c>
      <c r="AE21" s="171">
        <f t="shared" si="8"/>
        <v>0</v>
      </c>
      <c r="AF21" s="171">
        <f t="shared" si="8"/>
        <v>0</v>
      </c>
      <c r="AG21" s="171">
        <f t="shared" si="8"/>
        <v>0</v>
      </c>
      <c r="AH21" s="171">
        <f t="shared" si="8"/>
        <v>0</v>
      </c>
      <c r="AI21" s="171">
        <f t="shared" si="8"/>
        <v>0</v>
      </c>
      <c r="AJ21" s="171">
        <f t="shared" si="8"/>
        <v>0</v>
      </c>
      <c r="AK21" s="171">
        <f t="shared" si="8"/>
        <v>0</v>
      </c>
      <c r="AL21" s="171">
        <f t="shared" si="8"/>
        <v>0</v>
      </c>
      <c r="AM21" s="171">
        <f t="shared" si="8"/>
        <v>0</v>
      </c>
      <c r="AN21" s="1"/>
      <c r="AO21" s="14"/>
    </row>
    <row r="22" spans="2:41" ht="12.75">
      <c r="B22" s="13"/>
      <c r="C22" s="1"/>
      <c r="D22" s="26"/>
      <c r="E22" s="26"/>
      <c r="F22" s="27"/>
      <c r="G22" s="176"/>
      <c r="H22" s="27"/>
      <c r="I22" s="1"/>
      <c r="J22" s="25">
        <f t="shared" si="9"/>
        <v>0</v>
      </c>
      <c r="K22" s="35">
        <f t="shared" si="4"/>
        <v>0</v>
      </c>
      <c r="L22" s="272" t="str">
        <f t="shared" si="5"/>
        <v>-</v>
      </c>
      <c r="M22" s="35">
        <f t="shared" si="6"/>
        <v>0</v>
      </c>
      <c r="N22" s="1"/>
      <c r="O22" s="35">
        <f t="shared" si="7"/>
        <v>0</v>
      </c>
      <c r="P22" s="35">
        <f t="shared" si="7"/>
        <v>0</v>
      </c>
      <c r="Q22" s="35">
        <f t="shared" si="7"/>
        <v>0</v>
      </c>
      <c r="R22" s="35">
        <f t="shared" si="7"/>
        <v>0</v>
      </c>
      <c r="S22" s="35">
        <f t="shared" si="7"/>
        <v>0</v>
      </c>
      <c r="T22" s="35">
        <f t="shared" si="7"/>
        <v>0</v>
      </c>
      <c r="U22" s="35">
        <f t="shared" si="7"/>
        <v>0</v>
      </c>
      <c r="V22" s="35">
        <f t="shared" si="7"/>
        <v>0</v>
      </c>
      <c r="W22" s="35">
        <f t="shared" si="7"/>
        <v>0</v>
      </c>
      <c r="X22" s="35">
        <f t="shared" si="7"/>
        <v>0</v>
      </c>
      <c r="Y22" s="1"/>
      <c r="Z22" s="14"/>
      <c r="AA22" s="13"/>
      <c r="AC22" s="1"/>
      <c r="AD22" s="171">
        <f t="shared" si="8"/>
        <v>0</v>
      </c>
      <c r="AE22" s="171">
        <f t="shared" si="8"/>
        <v>0</v>
      </c>
      <c r="AF22" s="171">
        <f t="shared" si="8"/>
        <v>0</v>
      </c>
      <c r="AG22" s="171">
        <f t="shared" si="8"/>
        <v>0</v>
      </c>
      <c r="AH22" s="171">
        <f t="shared" si="8"/>
        <v>0</v>
      </c>
      <c r="AI22" s="171">
        <f t="shared" si="8"/>
        <v>0</v>
      </c>
      <c r="AJ22" s="171">
        <f t="shared" si="8"/>
        <v>0</v>
      </c>
      <c r="AK22" s="171">
        <f t="shared" si="8"/>
        <v>0</v>
      </c>
      <c r="AL22" s="171">
        <f t="shared" si="8"/>
        <v>0</v>
      </c>
      <c r="AM22" s="171">
        <f t="shared" si="8"/>
        <v>0</v>
      </c>
      <c r="AN22" s="1"/>
      <c r="AO22" s="14"/>
    </row>
    <row r="23" spans="2:41" ht="12.75">
      <c r="B23" s="13"/>
      <c r="C23" s="1"/>
      <c r="D23" s="26"/>
      <c r="E23" s="26"/>
      <c r="F23" s="27"/>
      <c r="G23" s="176"/>
      <c r="H23" s="27"/>
      <c r="I23" s="1"/>
      <c r="J23" s="25">
        <f t="shared" si="9"/>
        <v>0</v>
      </c>
      <c r="K23" s="35">
        <f t="shared" si="4"/>
        <v>0</v>
      </c>
      <c r="L23" s="272" t="str">
        <f t="shared" si="5"/>
        <v>-</v>
      </c>
      <c r="M23" s="35">
        <f t="shared" si="6"/>
        <v>0</v>
      </c>
      <c r="N23" s="1"/>
      <c r="O23" s="35">
        <f t="shared" si="7"/>
        <v>0</v>
      </c>
      <c r="P23" s="35">
        <f t="shared" si="7"/>
        <v>0</v>
      </c>
      <c r="Q23" s="35">
        <f t="shared" si="7"/>
        <v>0</v>
      </c>
      <c r="R23" s="35">
        <f t="shared" si="7"/>
        <v>0</v>
      </c>
      <c r="S23" s="35">
        <f t="shared" si="7"/>
        <v>0</v>
      </c>
      <c r="T23" s="35">
        <f t="shared" si="7"/>
        <v>0</v>
      </c>
      <c r="U23" s="35">
        <f t="shared" si="7"/>
        <v>0</v>
      </c>
      <c r="V23" s="35">
        <f t="shared" si="7"/>
        <v>0</v>
      </c>
      <c r="W23" s="35">
        <f t="shared" si="7"/>
        <v>0</v>
      </c>
      <c r="X23" s="35">
        <f t="shared" si="7"/>
        <v>0</v>
      </c>
      <c r="Y23" s="1"/>
      <c r="Z23" s="14"/>
      <c r="AA23" s="13"/>
      <c r="AC23" s="1"/>
      <c r="AD23" s="171">
        <f t="shared" si="8"/>
        <v>0</v>
      </c>
      <c r="AE23" s="171">
        <f t="shared" si="8"/>
        <v>0</v>
      </c>
      <c r="AF23" s="171">
        <f t="shared" si="8"/>
        <v>0</v>
      </c>
      <c r="AG23" s="171">
        <f t="shared" si="8"/>
        <v>0</v>
      </c>
      <c r="AH23" s="171">
        <f t="shared" si="8"/>
        <v>0</v>
      </c>
      <c r="AI23" s="171">
        <f t="shared" si="8"/>
        <v>0</v>
      </c>
      <c r="AJ23" s="171">
        <f t="shared" si="8"/>
        <v>0</v>
      </c>
      <c r="AK23" s="171">
        <f t="shared" si="8"/>
        <v>0</v>
      </c>
      <c r="AL23" s="171">
        <f t="shared" si="8"/>
        <v>0</v>
      </c>
      <c r="AM23" s="171">
        <f t="shared" si="8"/>
        <v>0</v>
      </c>
      <c r="AN23" s="1"/>
      <c r="AO23" s="14"/>
    </row>
    <row r="24" spans="2:41" ht="12.75">
      <c r="B24" s="13"/>
      <c r="C24" s="1"/>
      <c r="D24" s="26"/>
      <c r="E24" s="26"/>
      <c r="F24" s="27"/>
      <c r="G24" s="176"/>
      <c r="H24" s="27"/>
      <c r="I24" s="1"/>
      <c r="J24" s="25">
        <f t="shared" si="9"/>
        <v>0</v>
      </c>
      <c r="K24" s="35">
        <f t="shared" si="4"/>
        <v>0</v>
      </c>
      <c r="L24" s="272" t="str">
        <f t="shared" si="5"/>
        <v>-</v>
      </c>
      <c r="M24" s="35">
        <f t="shared" si="6"/>
        <v>0</v>
      </c>
      <c r="N24" s="1"/>
      <c r="O24" s="35">
        <f t="shared" si="7"/>
        <v>0</v>
      </c>
      <c r="P24" s="35">
        <f t="shared" si="7"/>
        <v>0</v>
      </c>
      <c r="Q24" s="35">
        <f t="shared" si="7"/>
        <v>0</v>
      </c>
      <c r="R24" s="35">
        <f t="shared" si="7"/>
        <v>0</v>
      </c>
      <c r="S24" s="35">
        <f t="shared" si="7"/>
        <v>0</v>
      </c>
      <c r="T24" s="35">
        <f t="shared" si="7"/>
        <v>0</v>
      </c>
      <c r="U24" s="35">
        <f t="shared" si="7"/>
        <v>0</v>
      </c>
      <c r="V24" s="35">
        <f t="shared" si="7"/>
        <v>0</v>
      </c>
      <c r="W24" s="35">
        <f t="shared" si="7"/>
        <v>0</v>
      </c>
      <c r="X24" s="35">
        <f t="shared" si="7"/>
        <v>0</v>
      </c>
      <c r="Y24" s="1"/>
      <c r="Z24" s="14"/>
      <c r="AA24" s="13"/>
      <c r="AC24" s="1"/>
      <c r="AD24" s="171">
        <f t="shared" si="8"/>
        <v>0</v>
      </c>
      <c r="AE24" s="171">
        <f t="shared" si="8"/>
        <v>0</v>
      </c>
      <c r="AF24" s="171">
        <f t="shared" si="8"/>
        <v>0</v>
      </c>
      <c r="AG24" s="171">
        <f t="shared" si="8"/>
        <v>0</v>
      </c>
      <c r="AH24" s="171">
        <f t="shared" si="8"/>
        <v>0</v>
      </c>
      <c r="AI24" s="171">
        <f t="shared" si="8"/>
        <v>0</v>
      </c>
      <c r="AJ24" s="171">
        <f t="shared" si="8"/>
        <v>0</v>
      </c>
      <c r="AK24" s="171">
        <f t="shared" si="8"/>
        <v>0</v>
      </c>
      <c r="AL24" s="171">
        <f t="shared" si="8"/>
        <v>0</v>
      </c>
      <c r="AM24" s="171">
        <f t="shared" si="8"/>
        <v>0</v>
      </c>
      <c r="AN24" s="1"/>
      <c r="AO24" s="14"/>
    </row>
    <row r="25" spans="2:41" ht="12.75">
      <c r="B25" s="13"/>
      <c r="C25" s="1"/>
      <c r="D25" s="26"/>
      <c r="E25" s="26"/>
      <c r="F25" s="27"/>
      <c r="G25" s="176"/>
      <c r="H25" s="27"/>
      <c r="I25" s="1"/>
      <c r="J25" s="25">
        <f t="shared" si="9"/>
        <v>0</v>
      </c>
      <c r="K25" s="35">
        <f t="shared" si="4"/>
        <v>0</v>
      </c>
      <c r="L25" s="272" t="str">
        <f t="shared" si="5"/>
        <v>-</v>
      </c>
      <c r="M25" s="35">
        <f t="shared" si="6"/>
        <v>0</v>
      </c>
      <c r="N25" s="1"/>
      <c r="O25" s="35">
        <f t="shared" si="7"/>
        <v>0</v>
      </c>
      <c r="P25" s="35">
        <f t="shared" si="7"/>
        <v>0</v>
      </c>
      <c r="Q25" s="35">
        <f t="shared" si="7"/>
        <v>0</v>
      </c>
      <c r="R25" s="35">
        <f t="shared" si="7"/>
        <v>0</v>
      </c>
      <c r="S25" s="35">
        <f t="shared" si="7"/>
        <v>0</v>
      </c>
      <c r="T25" s="35">
        <f t="shared" si="7"/>
        <v>0</v>
      </c>
      <c r="U25" s="35">
        <f t="shared" si="7"/>
        <v>0</v>
      </c>
      <c r="V25" s="35">
        <f t="shared" si="7"/>
        <v>0</v>
      </c>
      <c r="W25" s="35">
        <f t="shared" si="7"/>
        <v>0</v>
      </c>
      <c r="X25" s="35">
        <f t="shared" si="7"/>
        <v>0</v>
      </c>
      <c r="Y25" s="1"/>
      <c r="Z25" s="14"/>
      <c r="AA25" s="13"/>
      <c r="AC25" s="1"/>
      <c r="AD25" s="171">
        <f t="shared" si="8"/>
        <v>0</v>
      </c>
      <c r="AE25" s="171">
        <f t="shared" si="8"/>
        <v>0</v>
      </c>
      <c r="AF25" s="171">
        <f t="shared" si="8"/>
        <v>0</v>
      </c>
      <c r="AG25" s="171">
        <f t="shared" si="8"/>
        <v>0</v>
      </c>
      <c r="AH25" s="171">
        <f t="shared" si="8"/>
        <v>0</v>
      </c>
      <c r="AI25" s="171">
        <f t="shared" si="8"/>
        <v>0</v>
      </c>
      <c r="AJ25" s="171">
        <f t="shared" si="8"/>
        <v>0</v>
      </c>
      <c r="AK25" s="171">
        <f t="shared" si="8"/>
        <v>0</v>
      </c>
      <c r="AL25" s="171">
        <f t="shared" si="8"/>
        <v>0</v>
      </c>
      <c r="AM25" s="171">
        <f t="shared" si="8"/>
        <v>0</v>
      </c>
      <c r="AN25" s="1"/>
      <c r="AO25" s="14"/>
    </row>
    <row r="26" spans="2:41" ht="12.75">
      <c r="B26" s="13"/>
      <c r="C26" s="1"/>
      <c r="D26" s="26"/>
      <c r="E26" s="26"/>
      <c r="F26" s="27"/>
      <c r="G26" s="176"/>
      <c r="H26" s="27"/>
      <c r="I26" s="1"/>
      <c r="J26" s="25">
        <f t="shared" si="9"/>
        <v>0</v>
      </c>
      <c r="K26" s="35">
        <f t="shared" si="4"/>
        <v>0</v>
      </c>
      <c r="L26" s="272" t="str">
        <f t="shared" si="5"/>
        <v>-</v>
      </c>
      <c r="M26" s="35">
        <f t="shared" si="6"/>
        <v>0</v>
      </c>
      <c r="N26" s="1"/>
      <c r="O26" s="35">
        <f t="shared" si="7"/>
        <v>0</v>
      </c>
      <c r="P26" s="35">
        <f t="shared" si="7"/>
        <v>0</v>
      </c>
      <c r="Q26" s="35">
        <f t="shared" si="7"/>
        <v>0</v>
      </c>
      <c r="R26" s="35">
        <f t="shared" si="7"/>
        <v>0</v>
      </c>
      <c r="S26" s="35">
        <f t="shared" si="7"/>
        <v>0</v>
      </c>
      <c r="T26" s="35">
        <f t="shared" si="7"/>
        <v>0</v>
      </c>
      <c r="U26" s="35">
        <f t="shared" si="7"/>
        <v>0</v>
      </c>
      <c r="V26" s="35">
        <f t="shared" si="7"/>
        <v>0</v>
      </c>
      <c r="W26" s="35">
        <f t="shared" si="7"/>
        <v>0</v>
      </c>
      <c r="X26" s="35">
        <f t="shared" si="7"/>
        <v>0</v>
      </c>
      <c r="Y26" s="1"/>
      <c r="Z26" s="14"/>
      <c r="AA26" s="13"/>
      <c r="AC26" s="1"/>
      <c r="AD26" s="171">
        <f t="shared" si="8"/>
        <v>0</v>
      </c>
      <c r="AE26" s="171">
        <f t="shared" si="8"/>
        <v>0</v>
      </c>
      <c r="AF26" s="171">
        <f t="shared" si="8"/>
        <v>0</v>
      </c>
      <c r="AG26" s="171">
        <f t="shared" si="8"/>
        <v>0</v>
      </c>
      <c r="AH26" s="171">
        <f t="shared" si="8"/>
        <v>0</v>
      </c>
      <c r="AI26" s="171">
        <f t="shared" si="8"/>
        <v>0</v>
      </c>
      <c r="AJ26" s="171">
        <f t="shared" si="8"/>
        <v>0</v>
      </c>
      <c r="AK26" s="171">
        <f t="shared" si="8"/>
        <v>0</v>
      </c>
      <c r="AL26" s="171">
        <f t="shared" si="8"/>
        <v>0</v>
      </c>
      <c r="AM26" s="171">
        <f t="shared" si="8"/>
        <v>0</v>
      </c>
      <c r="AN26" s="1"/>
      <c r="AO26" s="14"/>
    </row>
    <row r="27" spans="2:41" ht="12.75">
      <c r="B27" s="13"/>
      <c r="C27" s="1"/>
      <c r="D27" s="26"/>
      <c r="E27" s="26"/>
      <c r="F27" s="27"/>
      <c r="G27" s="176"/>
      <c r="H27" s="27"/>
      <c r="I27" s="1"/>
      <c r="J27" s="25">
        <f t="shared" si="9"/>
        <v>0</v>
      </c>
      <c r="K27" s="35">
        <f t="shared" si="4"/>
        <v>0</v>
      </c>
      <c r="L27" s="272" t="str">
        <f t="shared" si="5"/>
        <v>-</v>
      </c>
      <c r="M27" s="35">
        <f t="shared" si="6"/>
        <v>0</v>
      </c>
      <c r="N27" s="1"/>
      <c r="O27" s="35">
        <f t="shared" si="7"/>
        <v>0</v>
      </c>
      <c r="P27" s="35">
        <f t="shared" si="7"/>
        <v>0</v>
      </c>
      <c r="Q27" s="35">
        <f t="shared" si="7"/>
        <v>0</v>
      </c>
      <c r="R27" s="35">
        <f t="shared" si="7"/>
        <v>0</v>
      </c>
      <c r="S27" s="35">
        <f t="shared" si="7"/>
        <v>0</v>
      </c>
      <c r="T27" s="35">
        <f t="shared" si="7"/>
        <v>0</v>
      </c>
      <c r="U27" s="35">
        <f t="shared" si="7"/>
        <v>0</v>
      </c>
      <c r="V27" s="35">
        <f t="shared" si="7"/>
        <v>0</v>
      </c>
      <c r="W27" s="35">
        <f t="shared" si="7"/>
        <v>0</v>
      </c>
      <c r="X27" s="35">
        <f t="shared" si="7"/>
        <v>0</v>
      </c>
      <c r="Y27" s="1"/>
      <c r="Z27" s="14"/>
      <c r="AA27" s="13"/>
      <c r="AC27" s="1"/>
      <c r="AD27" s="171">
        <f t="shared" si="8"/>
        <v>0</v>
      </c>
      <c r="AE27" s="171">
        <f t="shared" si="8"/>
        <v>0</v>
      </c>
      <c r="AF27" s="171">
        <f t="shared" si="8"/>
        <v>0</v>
      </c>
      <c r="AG27" s="171">
        <f t="shared" si="8"/>
        <v>0</v>
      </c>
      <c r="AH27" s="171">
        <f t="shared" si="8"/>
        <v>0</v>
      </c>
      <c r="AI27" s="171">
        <f t="shared" si="8"/>
        <v>0</v>
      </c>
      <c r="AJ27" s="171">
        <f t="shared" si="8"/>
        <v>0</v>
      </c>
      <c r="AK27" s="171">
        <f t="shared" si="8"/>
        <v>0</v>
      </c>
      <c r="AL27" s="171">
        <f t="shared" si="8"/>
        <v>0</v>
      </c>
      <c r="AM27" s="171">
        <f t="shared" si="8"/>
        <v>0</v>
      </c>
      <c r="AN27" s="1"/>
      <c r="AO27" s="14"/>
    </row>
    <row r="28" spans="2:41" ht="12.75">
      <c r="B28" s="13"/>
      <c r="C28" s="1"/>
      <c r="D28" s="26"/>
      <c r="E28" s="26"/>
      <c r="F28" s="27"/>
      <c r="G28" s="176"/>
      <c r="H28" s="27"/>
      <c r="I28" s="1"/>
      <c r="J28" s="25">
        <f t="shared" si="9"/>
        <v>0</v>
      </c>
      <c r="K28" s="35">
        <f t="shared" si="4"/>
        <v>0</v>
      </c>
      <c r="L28" s="272" t="str">
        <f t="shared" si="5"/>
        <v>-</v>
      </c>
      <c r="M28" s="35">
        <f t="shared" si="6"/>
        <v>0</v>
      </c>
      <c r="N28" s="1"/>
      <c r="O28" s="35">
        <f t="shared" si="7"/>
        <v>0</v>
      </c>
      <c r="P28" s="35">
        <f t="shared" si="7"/>
        <v>0</v>
      </c>
      <c r="Q28" s="35">
        <f t="shared" si="7"/>
        <v>0</v>
      </c>
      <c r="R28" s="35">
        <f t="shared" si="7"/>
        <v>0</v>
      </c>
      <c r="S28" s="35">
        <f t="shared" si="7"/>
        <v>0</v>
      </c>
      <c r="T28" s="35">
        <f t="shared" si="7"/>
        <v>0</v>
      </c>
      <c r="U28" s="35">
        <f t="shared" si="7"/>
        <v>0</v>
      </c>
      <c r="V28" s="35">
        <f t="shared" si="7"/>
        <v>0</v>
      </c>
      <c r="W28" s="35">
        <f t="shared" si="7"/>
        <v>0</v>
      </c>
      <c r="X28" s="35">
        <f t="shared" si="7"/>
        <v>0</v>
      </c>
      <c r="Y28" s="1"/>
      <c r="Z28" s="14"/>
      <c r="AA28" s="13"/>
      <c r="AC28" s="1"/>
      <c r="AD28" s="171">
        <f aca="true" t="shared" si="10" ref="AD28:AM43">IF(AD$9=$F28,$G28,0)</f>
        <v>0</v>
      </c>
      <c r="AE28" s="171">
        <f t="shared" si="10"/>
        <v>0</v>
      </c>
      <c r="AF28" s="171">
        <f t="shared" si="10"/>
        <v>0</v>
      </c>
      <c r="AG28" s="171">
        <f t="shared" si="10"/>
        <v>0</v>
      </c>
      <c r="AH28" s="171">
        <f t="shared" si="10"/>
        <v>0</v>
      </c>
      <c r="AI28" s="171">
        <f t="shared" si="10"/>
        <v>0</v>
      </c>
      <c r="AJ28" s="171">
        <f t="shared" si="10"/>
        <v>0</v>
      </c>
      <c r="AK28" s="171">
        <f t="shared" si="10"/>
        <v>0</v>
      </c>
      <c r="AL28" s="171">
        <f t="shared" si="10"/>
        <v>0</v>
      </c>
      <c r="AM28" s="171">
        <f t="shared" si="10"/>
        <v>0</v>
      </c>
      <c r="AN28" s="1"/>
      <c r="AO28" s="14"/>
    </row>
    <row r="29" spans="2:41" ht="12.75">
      <c r="B29" s="13"/>
      <c r="C29" s="1"/>
      <c r="D29" s="26"/>
      <c r="E29" s="26"/>
      <c r="F29" s="27"/>
      <c r="G29" s="176"/>
      <c r="H29" s="27"/>
      <c r="I29" s="1"/>
      <c r="J29" s="25">
        <f t="shared" si="9"/>
        <v>0</v>
      </c>
      <c r="K29" s="35">
        <f t="shared" si="4"/>
        <v>0</v>
      </c>
      <c r="L29" s="272" t="str">
        <f t="shared" si="5"/>
        <v>-</v>
      </c>
      <c r="M29" s="35">
        <f t="shared" si="6"/>
        <v>0</v>
      </c>
      <c r="N29" s="1"/>
      <c r="O29" s="35">
        <f t="shared" si="7"/>
        <v>0</v>
      </c>
      <c r="P29" s="35">
        <f t="shared" si="7"/>
        <v>0</v>
      </c>
      <c r="Q29" s="35">
        <f t="shared" si="7"/>
        <v>0</v>
      </c>
      <c r="R29" s="35">
        <f t="shared" si="7"/>
        <v>0</v>
      </c>
      <c r="S29" s="35">
        <f t="shared" si="7"/>
        <v>0</v>
      </c>
      <c r="T29" s="35">
        <f t="shared" si="7"/>
        <v>0</v>
      </c>
      <c r="U29" s="35">
        <f t="shared" si="7"/>
        <v>0</v>
      </c>
      <c r="V29" s="35">
        <f t="shared" si="7"/>
        <v>0</v>
      </c>
      <c r="W29" s="35">
        <f t="shared" si="7"/>
        <v>0</v>
      </c>
      <c r="X29" s="35">
        <f t="shared" si="7"/>
        <v>0</v>
      </c>
      <c r="Y29" s="1"/>
      <c r="Z29" s="14"/>
      <c r="AA29" s="13"/>
      <c r="AC29" s="1"/>
      <c r="AD29" s="171">
        <f t="shared" si="10"/>
        <v>0</v>
      </c>
      <c r="AE29" s="171">
        <f t="shared" si="10"/>
        <v>0</v>
      </c>
      <c r="AF29" s="171">
        <f t="shared" si="10"/>
        <v>0</v>
      </c>
      <c r="AG29" s="171">
        <f t="shared" si="10"/>
        <v>0</v>
      </c>
      <c r="AH29" s="171">
        <f t="shared" si="10"/>
        <v>0</v>
      </c>
      <c r="AI29" s="171">
        <f t="shared" si="10"/>
        <v>0</v>
      </c>
      <c r="AJ29" s="171">
        <f t="shared" si="10"/>
        <v>0</v>
      </c>
      <c r="AK29" s="171">
        <f t="shared" si="10"/>
        <v>0</v>
      </c>
      <c r="AL29" s="171">
        <f t="shared" si="10"/>
        <v>0</v>
      </c>
      <c r="AM29" s="171">
        <f t="shared" si="10"/>
        <v>0</v>
      </c>
      <c r="AN29" s="1"/>
      <c r="AO29" s="14"/>
    </row>
    <row r="30" spans="2:41" ht="12.75">
      <c r="B30" s="13"/>
      <c r="C30" s="1"/>
      <c r="D30" s="26"/>
      <c r="E30" s="26"/>
      <c r="F30" s="27"/>
      <c r="G30" s="176"/>
      <c r="H30" s="27"/>
      <c r="I30" s="1"/>
      <c r="J30" s="25">
        <f t="shared" si="9"/>
        <v>0</v>
      </c>
      <c r="K30" s="35">
        <f t="shared" si="4"/>
        <v>0</v>
      </c>
      <c r="L30" s="272" t="str">
        <f t="shared" si="5"/>
        <v>-</v>
      </c>
      <c r="M30" s="35">
        <f t="shared" si="6"/>
        <v>0</v>
      </c>
      <c r="N30" s="1"/>
      <c r="O30" s="35">
        <f t="shared" si="7"/>
        <v>0</v>
      </c>
      <c r="P30" s="35">
        <f t="shared" si="7"/>
        <v>0</v>
      </c>
      <c r="Q30" s="35">
        <f t="shared" si="7"/>
        <v>0</v>
      </c>
      <c r="R30" s="35">
        <f t="shared" si="7"/>
        <v>0</v>
      </c>
      <c r="S30" s="35">
        <f t="shared" si="7"/>
        <v>0</v>
      </c>
      <c r="T30" s="35">
        <f t="shared" si="7"/>
        <v>0</v>
      </c>
      <c r="U30" s="35">
        <f t="shared" si="7"/>
        <v>0</v>
      </c>
      <c r="V30" s="35">
        <f t="shared" si="7"/>
        <v>0</v>
      </c>
      <c r="W30" s="35">
        <f t="shared" si="7"/>
        <v>0</v>
      </c>
      <c r="X30" s="35">
        <f t="shared" si="7"/>
        <v>0</v>
      </c>
      <c r="Y30" s="1"/>
      <c r="Z30" s="14"/>
      <c r="AA30" s="13"/>
      <c r="AC30" s="1"/>
      <c r="AD30" s="171">
        <f t="shared" si="10"/>
        <v>0</v>
      </c>
      <c r="AE30" s="171">
        <f t="shared" si="10"/>
        <v>0</v>
      </c>
      <c r="AF30" s="171">
        <f t="shared" si="10"/>
        <v>0</v>
      </c>
      <c r="AG30" s="171">
        <f t="shared" si="10"/>
        <v>0</v>
      </c>
      <c r="AH30" s="171">
        <f t="shared" si="10"/>
        <v>0</v>
      </c>
      <c r="AI30" s="171">
        <f t="shared" si="10"/>
        <v>0</v>
      </c>
      <c r="AJ30" s="171">
        <f t="shared" si="10"/>
        <v>0</v>
      </c>
      <c r="AK30" s="171">
        <f t="shared" si="10"/>
        <v>0</v>
      </c>
      <c r="AL30" s="171">
        <f t="shared" si="10"/>
        <v>0</v>
      </c>
      <c r="AM30" s="171">
        <f t="shared" si="10"/>
        <v>0</v>
      </c>
      <c r="AN30" s="1"/>
      <c r="AO30" s="14"/>
    </row>
    <row r="31" spans="2:41" ht="12.75">
      <c r="B31" s="13"/>
      <c r="C31" s="1"/>
      <c r="D31" s="26"/>
      <c r="E31" s="26"/>
      <c r="F31" s="27"/>
      <c r="G31" s="176"/>
      <c r="H31" s="27"/>
      <c r="I31" s="1"/>
      <c r="J31" s="25">
        <f t="shared" si="9"/>
        <v>0</v>
      </c>
      <c r="K31" s="35">
        <f t="shared" si="4"/>
        <v>0</v>
      </c>
      <c r="L31" s="272" t="str">
        <f t="shared" si="5"/>
        <v>-</v>
      </c>
      <c r="M31" s="35">
        <f t="shared" si="6"/>
        <v>0</v>
      </c>
      <c r="N31" s="1"/>
      <c r="O31" s="35">
        <f t="shared" si="7"/>
        <v>0</v>
      </c>
      <c r="P31" s="35">
        <f t="shared" si="7"/>
        <v>0</v>
      </c>
      <c r="Q31" s="35">
        <f t="shared" si="7"/>
        <v>0</v>
      </c>
      <c r="R31" s="35">
        <f t="shared" si="7"/>
        <v>0</v>
      </c>
      <c r="S31" s="35">
        <f t="shared" si="7"/>
        <v>0</v>
      </c>
      <c r="T31" s="35">
        <f t="shared" si="7"/>
        <v>0</v>
      </c>
      <c r="U31" s="35">
        <f t="shared" si="7"/>
        <v>0</v>
      </c>
      <c r="V31" s="35">
        <f t="shared" si="7"/>
        <v>0</v>
      </c>
      <c r="W31" s="35">
        <f t="shared" si="7"/>
        <v>0</v>
      </c>
      <c r="X31" s="35">
        <f t="shared" si="7"/>
        <v>0</v>
      </c>
      <c r="Y31" s="1"/>
      <c r="Z31" s="14"/>
      <c r="AA31" s="13"/>
      <c r="AC31" s="1"/>
      <c r="AD31" s="171">
        <f t="shared" si="10"/>
        <v>0</v>
      </c>
      <c r="AE31" s="171">
        <f t="shared" si="10"/>
        <v>0</v>
      </c>
      <c r="AF31" s="171">
        <f t="shared" si="10"/>
        <v>0</v>
      </c>
      <c r="AG31" s="171">
        <f t="shared" si="10"/>
        <v>0</v>
      </c>
      <c r="AH31" s="171">
        <f t="shared" si="10"/>
        <v>0</v>
      </c>
      <c r="AI31" s="171">
        <f t="shared" si="10"/>
        <v>0</v>
      </c>
      <c r="AJ31" s="171">
        <f t="shared" si="10"/>
        <v>0</v>
      </c>
      <c r="AK31" s="171">
        <f t="shared" si="10"/>
        <v>0</v>
      </c>
      <c r="AL31" s="171">
        <f t="shared" si="10"/>
        <v>0</v>
      </c>
      <c r="AM31" s="171">
        <f t="shared" si="10"/>
        <v>0</v>
      </c>
      <c r="AN31" s="1"/>
      <c r="AO31" s="14"/>
    </row>
    <row r="32" spans="2:41" ht="12.75">
      <c r="B32" s="13"/>
      <c r="C32" s="1"/>
      <c r="D32" s="26"/>
      <c r="E32" s="26"/>
      <c r="F32" s="27"/>
      <c r="G32" s="176"/>
      <c r="H32" s="27"/>
      <c r="I32" s="1"/>
      <c r="J32" s="25">
        <f t="shared" si="9"/>
        <v>0</v>
      </c>
      <c r="K32" s="35">
        <f t="shared" si="4"/>
        <v>0</v>
      </c>
      <c r="L32" s="272" t="str">
        <f t="shared" si="5"/>
        <v>-</v>
      </c>
      <c r="M32" s="35">
        <f t="shared" si="6"/>
        <v>0</v>
      </c>
      <c r="N32" s="1"/>
      <c r="O32" s="35">
        <f t="shared" si="7"/>
        <v>0</v>
      </c>
      <c r="P32" s="35">
        <f t="shared" si="7"/>
        <v>0</v>
      </c>
      <c r="Q32" s="35">
        <f t="shared" si="7"/>
        <v>0</v>
      </c>
      <c r="R32" s="35">
        <f t="shared" si="7"/>
        <v>0</v>
      </c>
      <c r="S32" s="35">
        <f t="shared" si="7"/>
        <v>0</v>
      </c>
      <c r="T32" s="35">
        <f t="shared" si="7"/>
        <v>0</v>
      </c>
      <c r="U32" s="35">
        <f t="shared" si="7"/>
        <v>0</v>
      </c>
      <c r="V32" s="35">
        <f t="shared" si="7"/>
        <v>0</v>
      </c>
      <c r="W32" s="35">
        <f t="shared" si="7"/>
        <v>0</v>
      </c>
      <c r="X32" s="35">
        <f t="shared" si="7"/>
        <v>0</v>
      </c>
      <c r="Y32" s="1"/>
      <c r="Z32" s="14"/>
      <c r="AA32" s="13"/>
      <c r="AC32" s="1"/>
      <c r="AD32" s="171">
        <f t="shared" si="10"/>
        <v>0</v>
      </c>
      <c r="AE32" s="171">
        <f t="shared" si="10"/>
        <v>0</v>
      </c>
      <c r="AF32" s="171">
        <f t="shared" si="10"/>
        <v>0</v>
      </c>
      <c r="AG32" s="171">
        <f t="shared" si="10"/>
        <v>0</v>
      </c>
      <c r="AH32" s="171">
        <f t="shared" si="10"/>
        <v>0</v>
      </c>
      <c r="AI32" s="171">
        <f t="shared" si="10"/>
        <v>0</v>
      </c>
      <c r="AJ32" s="171">
        <f t="shared" si="10"/>
        <v>0</v>
      </c>
      <c r="AK32" s="171">
        <f t="shared" si="10"/>
        <v>0</v>
      </c>
      <c r="AL32" s="171">
        <f t="shared" si="10"/>
        <v>0</v>
      </c>
      <c r="AM32" s="171">
        <f t="shared" si="10"/>
        <v>0</v>
      </c>
      <c r="AN32" s="1"/>
      <c r="AO32" s="14"/>
    </row>
    <row r="33" spans="2:41" ht="12.75">
      <c r="B33" s="13"/>
      <c r="C33" s="1"/>
      <c r="D33" s="26"/>
      <c r="E33" s="26"/>
      <c r="F33" s="27"/>
      <c r="G33" s="176"/>
      <c r="H33" s="27"/>
      <c r="I33" s="1"/>
      <c r="J33" s="25">
        <f t="shared" si="9"/>
        <v>0</v>
      </c>
      <c r="K33" s="35">
        <f t="shared" si="4"/>
        <v>0</v>
      </c>
      <c r="L33" s="272" t="str">
        <f t="shared" si="5"/>
        <v>-</v>
      </c>
      <c r="M33" s="35">
        <f t="shared" si="6"/>
        <v>0</v>
      </c>
      <c r="N33" s="1"/>
      <c r="O33" s="35">
        <f t="shared" si="7"/>
        <v>0</v>
      </c>
      <c r="P33" s="35">
        <f t="shared" si="7"/>
        <v>0</v>
      </c>
      <c r="Q33" s="35">
        <f t="shared" si="7"/>
        <v>0</v>
      </c>
      <c r="R33" s="35">
        <f t="shared" si="7"/>
        <v>0</v>
      </c>
      <c r="S33" s="35">
        <f t="shared" si="7"/>
        <v>0</v>
      </c>
      <c r="T33" s="35">
        <f t="shared" si="7"/>
        <v>0</v>
      </c>
      <c r="U33" s="35">
        <f t="shared" si="7"/>
        <v>0</v>
      </c>
      <c r="V33" s="35">
        <f t="shared" si="7"/>
        <v>0</v>
      </c>
      <c r="W33" s="35">
        <f t="shared" si="7"/>
        <v>0</v>
      </c>
      <c r="X33" s="35">
        <f t="shared" si="7"/>
        <v>0</v>
      </c>
      <c r="Y33" s="1"/>
      <c r="Z33" s="14"/>
      <c r="AA33" s="13"/>
      <c r="AC33" s="1"/>
      <c r="AD33" s="171">
        <f t="shared" si="10"/>
        <v>0</v>
      </c>
      <c r="AE33" s="171">
        <f t="shared" si="10"/>
        <v>0</v>
      </c>
      <c r="AF33" s="171">
        <f t="shared" si="10"/>
        <v>0</v>
      </c>
      <c r="AG33" s="171">
        <f t="shared" si="10"/>
        <v>0</v>
      </c>
      <c r="AH33" s="171">
        <f t="shared" si="10"/>
        <v>0</v>
      </c>
      <c r="AI33" s="171">
        <f t="shared" si="10"/>
        <v>0</v>
      </c>
      <c r="AJ33" s="171">
        <f t="shared" si="10"/>
        <v>0</v>
      </c>
      <c r="AK33" s="171">
        <f t="shared" si="10"/>
        <v>0</v>
      </c>
      <c r="AL33" s="171">
        <f t="shared" si="10"/>
        <v>0</v>
      </c>
      <c r="AM33" s="171">
        <f t="shared" si="10"/>
        <v>0</v>
      </c>
      <c r="AN33" s="1"/>
      <c r="AO33" s="14"/>
    </row>
    <row r="34" spans="2:41" ht="12.75">
      <c r="B34" s="13"/>
      <c r="C34" s="1"/>
      <c r="D34" s="26"/>
      <c r="E34" s="26"/>
      <c r="F34" s="27"/>
      <c r="G34" s="176"/>
      <c r="H34" s="27"/>
      <c r="I34" s="1"/>
      <c r="J34" s="25">
        <f t="shared" si="9"/>
        <v>0</v>
      </c>
      <c r="K34" s="35">
        <f t="shared" si="4"/>
        <v>0</v>
      </c>
      <c r="L34" s="272" t="str">
        <f t="shared" si="5"/>
        <v>-</v>
      </c>
      <c r="M34" s="35">
        <f t="shared" si="6"/>
        <v>0</v>
      </c>
      <c r="N34" s="1"/>
      <c r="O34" s="35">
        <f t="shared" si="7"/>
        <v>0</v>
      </c>
      <c r="P34" s="35">
        <f t="shared" si="7"/>
        <v>0</v>
      </c>
      <c r="Q34" s="35">
        <f t="shared" si="7"/>
        <v>0</v>
      </c>
      <c r="R34" s="35">
        <f t="shared" si="7"/>
        <v>0</v>
      </c>
      <c r="S34" s="35">
        <f t="shared" si="7"/>
        <v>0</v>
      </c>
      <c r="T34" s="35">
        <f t="shared" si="7"/>
        <v>0</v>
      </c>
      <c r="U34" s="35">
        <f t="shared" si="7"/>
        <v>0</v>
      </c>
      <c r="V34" s="35">
        <f t="shared" si="7"/>
        <v>0</v>
      </c>
      <c r="W34" s="35">
        <f t="shared" si="7"/>
        <v>0</v>
      </c>
      <c r="X34" s="35">
        <f t="shared" si="7"/>
        <v>0</v>
      </c>
      <c r="Y34" s="1"/>
      <c r="Z34" s="14"/>
      <c r="AA34" s="13"/>
      <c r="AC34" s="1"/>
      <c r="AD34" s="171">
        <f t="shared" si="10"/>
        <v>0</v>
      </c>
      <c r="AE34" s="171">
        <f t="shared" si="10"/>
        <v>0</v>
      </c>
      <c r="AF34" s="171">
        <f t="shared" si="10"/>
        <v>0</v>
      </c>
      <c r="AG34" s="171">
        <f t="shared" si="10"/>
        <v>0</v>
      </c>
      <c r="AH34" s="171">
        <f t="shared" si="10"/>
        <v>0</v>
      </c>
      <c r="AI34" s="171">
        <f t="shared" si="10"/>
        <v>0</v>
      </c>
      <c r="AJ34" s="171">
        <f t="shared" si="10"/>
        <v>0</v>
      </c>
      <c r="AK34" s="171">
        <f t="shared" si="10"/>
        <v>0</v>
      </c>
      <c r="AL34" s="171">
        <f t="shared" si="10"/>
        <v>0</v>
      </c>
      <c r="AM34" s="171">
        <f t="shared" si="10"/>
        <v>0</v>
      </c>
      <c r="AN34" s="1"/>
      <c r="AO34" s="14"/>
    </row>
    <row r="35" spans="2:41" ht="12.75">
      <c r="B35" s="13"/>
      <c r="C35" s="1"/>
      <c r="D35" s="26"/>
      <c r="E35" s="26"/>
      <c r="F35" s="27"/>
      <c r="G35" s="176"/>
      <c r="H35" s="27"/>
      <c r="I35" s="1"/>
      <c r="J35" s="25">
        <f t="shared" si="9"/>
        <v>0</v>
      </c>
      <c r="K35" s="35">
        <f t="shared" si="4"/>
        <v>0</v>
      </c>
      <c r="L35" s="272" t="str">
        <f t="shared" si="5"/>
        <v>-</v>
      </c>
      <c r="M35" s="35">
        <f t="shared" si="6"/>
        <v>0</v>
      </c>
      <c r="N35" s="1"/>
      <c r="O35" s="35">
        <f t="shared" si="7"/>
        <v>0</v>
      </c>
      <c r="P35" s="35">
        <f t="shared" si="7"/>
        <v>0</v>
      </c>
      <c r="Q35" s="35">
        <f t="shared" si="7"/>
        <v>0</v>
      </c>
      <c r="R35" s="35">
        <f t="shared" si="7"/>
        <v>0</v>
      </c>
      <c r="S35" s="35">
        <f t="shared" si="7"/>
        <v>0</v>
      </c>
      <c r="T35" s="35">
        <f t="shared" si="7"/>
        <v>0</v>
      </c>
      <c r="U35" s="35">
        <f t="shared" si="7"/>
        <v>0</v>
      </c>
      <c r="V35" s="35">
        <f t="shared" si="7"/>
        <v>0</v>
      </c>
      <c r="W35" s="35">
        <f t="shared" si="7"/>
        <v>0</v>
      </c>
      <c r="X35" s="35">
        <f t="shared" si="7"/>
        <v>0</v>
      </c>
      <c r="Y35" s="1"/>
      <c r="Z35" s="14"/>
      <c r="AA35" s="13"/>
      <c r="AC35" s="1"/>
      <c r="AD35" s="171">
        <f t="shared" si="10"/>
        <v>0</v>
      </c>
      <c r="AE35" s="171">
        <f t="shared" si="10"/>
        <v>0</v>
      </c>
      <c r="AF35" s="171">
        <f t="shared" si="10"/>
        <v>0</v>
      </c>
      <c r="AG35" s="171">
        <f t="shared" si="10"/>
        <v>0</v>
      </c>
      <c r="AH35" s="171">
        <f t="shared" si="10"/>
        <v>0</v>
      </c>
      <c r="AI35" s="171">
        <f t="shared" si="10"/>
        <v>0</v>
      </c>
      <c r="AJ35" s="171">
        <f t="shared" si="10"/>
        <v>0</v>
      </c>
      <c r="AK35" s="171">
        <f t="shared" si="10"/>
        <v>0</v>
      </c>
      <c r="AL35" s="171">
        <f t="shared" si="10"/>
        <v>0</v>
      </c>
      <c r="AM35" s="171">
        <f t="shared" si="10"/>
        <v>0</v>
      </c>
      <c r="AN35" s="1"/>
      <c r="AO35" s="14"/>
    </row>
    <row r="36" spans="2:41" ht="12.75">
      <c r="B36" s="13"/>
      <c r="C36" s="1"/>
      <c r="D36" s="26"/>
      <c r="E36" s="26"/>
      <c r="F36" s="27"/>
      <c r="G36" s="176"/>
      <c r="H36" s="27"/>
      <c r="I36" s="1"/>
      <c r="J36" s="25">
        <f t="shared" si="9"/>
        <v>0</v>
      </c>
      <c r="K36" s="35">
        <f t="shared" si="4"/>
        <v>0</v>
      </c>
      <c r="L36" s="272" t="str">
        <f t="shared" si="5"/>
        <v>-</v>
      </c>
      <c r="M36" s="35">
        <f t="shared" si="6"/>
        <v>0</v>
      </c>
      <c r="N36" s="1"/>
      <c r="O36" s="35">
        <f t="shared" si="7"/>
        <v>0</v>
      </c>
      <c r="P36" s="35">
        <f t="shared" si="7"/>
        <v>0</v>
      </c>
      <c r="Q36" s="35">
        <f t="shared" si="7"/>
        <v>0</v>
      </c>
      <c r="R36" s="35">
        <f t="shared" si="7"/>
        <v>0</v>
      </c>
      <c r="S36" s="35">
        <f t="shared" si="7"/>
        <v>0</v>
      </c>
      <c r="T36" s="35">
        <f t="shared" si="7"/>
        <v>0</v>
      </c>
      <c r="U36" s="35">
        <f t="shared" si="7"/>
        <v>0</v>
      </c>
      <c r="V36" s="35">
        <f t="shared" si="7"/>
        <v>0</v>
      </c>
      <c r="W36" s="35">
        <f t="shared" si="7"/>
        <v>0</v>
      </c>
      <c r="X36" s="35">
        <f t="shared" si="7"/>
        <v>0</v>
      </c>
      <c r="Y36" s="1"/>
      <c r="Z36" s="14"/>
      <c r="AA36" s="13"/>
      <c r="AC36" s="1"/>
      <c r="AD36" s="171">
        <f t="shared" si="10"/>
        <v>0</v>
      </c>
      <c r="AE36" s="171">
        <f t="shared" si="10"/>
        <v>0</v>
      </c>
      <c r="AF36" s="171">
        <f t="shared" si="10"/>
        <v>0</v>
      </c>
      <c r="AG36" s="171">
        <f t="shared" si="10"/>
        <v>0</v>
      </c>
      <c r="AH36" s="171">
        <f t="shared" si="10"/>
        <v>0</v>
      </c>
      <c r="AI36" s="171">
        <f t="shared" si="10"/>
        <v>0</v>
      </c>
      <c r="AJ36" s="171">
        <f t="shared" si="10"/>
        <v>0</v>
      </c>
      <c r="AK36" s="171">
        <f t="shared" si="10"/>
        <v>0</v>
      </c>
      <c r="AL36" s="171">
        <f t="shared" si="10"/>
        <v>0</v>
      </c>
      <c r="AM36" s="171">
        <f t="shared" si="10"/>
        <v>0</v>
      </c>
      <c r="AN36" s="1"/>
      <c r="AO36" s="14"/>
    </row>
    <row r="37" spans="2:41" ht="12.75">
      <c r="B37" s="13"/>
      <c r="C37" s="1"/>
      <c r="D37" s="26"/>
      <c r="E37" s="26"/>
      <c r="F37" s="27"/>
      <c r="G37" s="176"/>
      <c r="H37" s="27"/>
      <c r="I37" s="1"/>
      <c r="J37" s="25">
        <f t="shared" si="9"/>
        <v>0</v>
      </c>
      <c r="K37" s="35">
        <f t="shared" si="4"/>
        <v>0</v>
      </c>
      <c r="L37" s="272" t="str">
        <f t="shared" si="5"/>
        <v>-</v>
      </c>
      <c r="M37" s="35">
        <f t="shared" si="6"/>
        <v>0</v>
      </c>
      <c r="N37" s="1"/>
      <c r="O37" s="35">
        <f t="shared" si="7"/>
        <v>0</v>
      </c>
      <c r="P37" s="35">
        <f t="shared" si="7"/>
        <v>0</v>
      </c>
      <c r="Q37" s="35">
        <f t="shared" si="7"/>
        <v>0</v>
      </c>
      <c r="R37" s="35">
        <f t="shared" si="7"/>
        <v>0</v>
      </c>
      <c r="S37" s="35">
        <f t="shared" si="7"/>
        <v>0</v>
      </c>
      <c r="T37" s="35">
        <f aca="true" t="shared" si="11" ref="T37:X68">(IF(T$9&lt;$F37,0,IF($L37&lt;=T$9-1,0,$K37)))</f>
        <v>0</v>
      </c>
      <c r="U37" s="35">
        <f t="shared" si="11"/>
        <v>0</v>
      </c>
      <c r="V37" s="35">
        <f t="shared" si="11"/>
        <v>0</v>
      </c>
      <c r="W37" s="35">
        <f t="shared" si="11"/>
        <v>0</v>
      </c>
      <c r="X37" s="35">
        <f t="shared" si="11"/>
        <v>0</v>
      </c>
      <c r="Y37" s="1"/>
      <c r="Z37" s="14"/>
      <c r="AA37" s="13"/>
      <c r="AC37" s="1"/>
      <c r="AD37" s="171">
        <f t="shared" si="10"/>
        <v>0</v>
      </c>
      <c r="AE37" s="171">
        <f t="shared" si="10"/>
        <v>0</v>
      </c>
      <c r="AF37" s="171">
        <f t="shared" si="10"/>
        <v>0</v>
      </c>
      <c r="AG37" s="171">
        <f t="shared" si="10"/>
        <v>0</v>
      </c>
      <c r="AH37" s="171">
        <f t="shared" si="10"/>
        <v>0</v>
      </c>
      <c r="AI37" s="171">
        <f t="shared" si="10"/>
        <v>0</v>
      </c>
      <c r="AJ37" s="171">
        <f t="shared" si="10"/>
        <v>0</v>
      </c>
      <c r="AK37" s="171">
        <f t="shared" si="10"/>
        <v>0</v>
      </c>
      <c r="AL37" s="171">
        <f t="shared" si="10"/>
        <v>0</v>
      </c>
      <c r="AM37" s="171">
        <f t="shared" si="10"/>
        <v>0</v>
      </c>
      <c r="AN37" s="1"/>
      <c r="AO37" s="14"/>
    </row>
    <row r="38" spans="2:41" ht="12.75">
      <c r="B38" s="13"/>
      <c r="C38" s="1"/>
      <c r="D38" s="26"/>
      <c r="E38" s="26"/>
      <c r="F38" s="27"/>
      <c r="G38" s="176"/>
      <c r="H38" s="27"/>
      <c r="I38" s="1"/>
      <c r="J38" s="25">
        <f t="shared" si="9"/>
        <v>0</v>
      </c>
      <c r="K38" s="35">
        <f t="shared" si="4"/>
        <v>0</v>
      </c>
      <c r="L38" s="272" t="str">
        <f t="shared" si="5"/>
        <v>-</v>
      </c>
      <c r="M38" s="35">
        <f t="shared" si="6"/>
        <v>0</v>
      </c>
      <c r="N38" s="1"/>
      <c r="O38" s="35">
        <f aca="true" t="shared" si="12" ref="O38:X69">(IF(O$9&lt;$F38,0,IF($L38&lt;=O$9-1,0,$K38)))</f>
        <v>0</v>
      </c>
      <c r="P38" s="35">
        <f t="shared" si="12"/>
        <v>0</v>
      </c>
      <c r="Q38" s="35">
        <f t="shared" si="12"/>
        <v>0</v>
      </c>
      <c r="R38" s="35">
        <f t="shared" si="12"/>
        <v>0</v>
      </c>
      <c r="S38" s="35">
        <f t="shared" si="12"/>
        <v>0</v>
      </c>
      <c r="T38" s="35">
        <f t="shared" si="11"/>
        <v>0</v>
      </c>
      <c r="U38" s="35">
        <f t="shared" si="11"/>
        <v>0</v>
      </c>
      <c r="V38" s="35">
        <f t="shared" si="11"/>
        <v>0</v>
      </c>
      <c r="W38" s="35">
        <f t="shared" si="11"/>
        <v>0</v>
      </c>
      <c r="X38" s="35">
        <f t="shared" si="11"/>
        <v>0</v>
      </c>
      <c r="Y38" s="1"/>
      <c r="Z38" s="14"/>
      <c r="AA38" s="13"/>
      <c r="AC38" s="1"/>
      <c r="AD38" s="171">
        <f t="shared" si="10"/>
        <v>0</v>
      </c>
      <c r="AE38" s="171">
        <f t="shared" si="10"/>
        <v>0</v>
      </c>
      <c r="AF38" s="171">
        <f t="shared" si="10"/>
        <v>0</v>
      </c>
      <c r="AG38" s="171">
        <f t="shared" si="10"/>
        <v>0</v>
      </c>
      <c r="AH38" s="171">
        <f t="shared" si="10"/>
        <v>0</v>
      </c>
      <c r="AI38" s="171">
        <f t="shared" si="10"/>
        <v>0</v>
      </c>
      <c r="AJ38" s="171">
        <f t="shared" si="10"/>
        <v>0</v>
      </c>
      <c r="AK38" s="171">
        <f t="shared" si="10"/>
        <v>0</v>
      </c>
      <c r="AL38" s="171">
        <f t="shared" si="10"/>
        <v>0</v>
      </c>
      <c r="AM38" s="171">
        <f t="shared" si="10"/>
        <v>0</v>
      </c>
      <c r="AN38" s="1"/>
      <c r="AO38" s="14"/>
    </row>
    <row r="39" spans="2:41" ht="12.75">
      <c r="B39" s="13"/>
      <c r="C39" s="1"/>
      <c r="D39" s="26"/>
      <c r="E39" s="26"/>
      <c r="F39" s="27"/>
      <c r="G39" s="176"/>
      <c r="H39" s="27"/>
      <c r="I39" s="1"/>
      <c r="J39" s="25">
        <f t="shared" si="9"/>
        <v>0</v>
      </c>
      <c r="K39" s="35">
        <f t="shared" si="4"/>
        <v>0</v>
      </c>
      <c r="L39" s="272" t="str">
        <f t="shared" si="5"/>
        <v>-</v>
      </c>
      <c r="M39" s="35">
        <f t="shared" si="6"/>
        <v>0</v>
      </c>
      <c r="N39" s="1"/>
      <c r="O39" s="35">
        <f t="shared" si="12"/>
        <v>0</v>
      </c>
      <c r="P39" s="35">
        <f t="shared" si="12"/>
        <v>0</v>
      </c>
      <c r="Q39" s="35">
        <f t="shared" si="12"/>
        <v>0</v>
      </c>
      <c r="R39" s="35">
        <f t="shared" si="12"/>
        <v>0</v>
      </c>
      <c r="S39" s="35">
        <f t="shared" si="12"/>
        <v>0</v>
      </c>
      <c r="T39" s="35">
        <f t="shared" si="11"/>
        <v>0</v>
      </c>
      <c r="U39" s="35">
        <f t="shared" si="11"/>
        <v>0</v>
      </c>
      <c r="V39" s="35">
        <f t="shared" si="11"/>
        <v>0</v>
      </c>
      <c r="W39" s="35">
        <f t="shared" si="11"/>
        <v>0</v>
      </c>
      <c r="X39" s="35">
        <f t="shared" si="11"/>
        <v>0</v>
      </c>
      <c r="Y39" s="1"/>
      <c r="Z39" s="14"/>
      <c r="AA39" s="13"/>
      <c r="AC39" s="1"/>
      <c r="AD39" s="171">
        <f t="shared" si="10"/>
        <v>0</v>
      </c>
      <c r="AE39" s="171">
        <f t="shared" si="10"/>
        <v>0</v>
      </c>
      <c r="AF39" s="171">
        <f t="shared" si="10"/>
        <v>0</v>
      </c>
      <c r="AG39" s="171">
        <f t="shared" si="10"/>
        <v>0</v>
      </c>
      <c r="AH39" s="171">
        <f t="shared" si="10"/>
        <v>0</v>
      </c>
      <c r="AI39" s="171">
        <f t="shared" si="10"/>
        <v>0</v>
      </c>
      <c r="AJ39" s="171">
        <f t="shared" si="10"/>
        <v>0</v>
      </c>
      <c r="AK39" s="171">
        <f t="shared" si="10"/>
        <v>0</v>
      </c>
      <c r="AL39" s="171">
        <f t="shared" si="10"/>
        <v>0</v>
      </c>
      <c r="AM39" s="171">
        <f t="shared" si="10"/>
        <v>0</v>
      </c>
      <c r="AN39" s="1"/>
      <c r="AO39" s="14"/>
    </row>
    <row r="40" spans="2:41" ht="12.75">
      <c r="B40" s="13"/>
      <c r="C40" s="1"/>
      <c r="D40" s="26"/>
      <c r="E40" s="26"/>
      <c r="F40" s="27"/>
      <c r="G40" s="176"/>
      <c r="H40" s="27"/>
      <c r="I40" s="1"/>
      <c r="J40" s="25">
        <f t="shared" si="9"/>
        <v>0</v>
      </c>
      <c r="K40" s="35">
        <f t="shared" si="4"/>
        <v>0</v>
      </c>
      <c r="L40" s="272" t="str">
        <f t="shared" si="5"/>
        <v>-</v>
      </c>
      <c r="M40" s="35">
        <f t="shared" si="6"/>
        <v>0</v>
      </c>
      <c r="N40" s="1"/>
      <c r="O40" s="35">
        <f t="shared" si="12"/>
        <v>0</v>
      </c>
      <c r="P40" s="35">
        <f t="shared" si="12"/>
        <v>0</v>
      </c>
      <c r="Q40" s="35">
        <f t="shared" si="12"/>
        <v>0</v>
      </c>
      <c r="R40" s="35">
        <f t="shared" si="12"/>
        <v>0</v>
      </c>
      <c r="S40" s="35">
        <f t="shared" si="12"/>
        <v>0</v>
      </c>
      <c r="T40" s="35">
        <f t="shared" si="11"/>
        <v>0</v>
      </c>
      <c r="U40" s="35">
        <f t="shared" si="11"/>
        <v>0</v>
      </c>
      <c r="V40" s="35">
        <f t="shared" si="11"/>
        <v>0</v>
      </c>
      <c r="W40" s="35">
        <f t="shared" si="11"/>
        <v>0</v>
      </c>
      <c r="X40" s="35">
        <f t="shared" si="11"/>
        <v>0</v>
      </c>
      <c r="Y40" s="1"/>
      <c r="Z40" s="14"/>
      <c r="AA40" s="13"/>
      <c r="AC40" s="1"/>
      <c r="AD40" s="171">
        <f t="shared" si="10"/>
        <v>0</v>
      </c>
      <c r="AE40" s="171">
        <f t="shared" si="10"/>
        <v>0</v>
      </c>
      <c r="AF40" s="171">
        <f t="shared" si="10"/>
        <v>0</v>
      </c>
      <c r="AG40" s="171">
        <f t="shared" si="10"/>
        <v>0</v>
      </c>
      <c r="AH40" s="171">
        <f t="shared" si="10"/>
        <v>0</v>
      </c>
      <c r="AI40" s="171">
        <f t="shared" si="10"/>
        <v>0</v>
      </c>
      <c r="AJ40" s="171">
        <f t="shared" si="10"/>
        <v>0</v>
      </c>
      <c r="AK40" s="171">
        <f t="shared" si="10"/>
        <v>0</v>
      </c>
      <c r="AL40" s="171">
        <f t="shared" si="10"/>
        <v>0</v>
      </c>
      <c r="AM40" s="171">
        <f t="shared" si="10"/>
        <v>0</v>
      </c>
      <c r="AN40" s="1"/>
      <c r="AO40" s="14"/>
    </row>
    <row r="41" spans="2:41" ht="12.75">
      <c r="B41" s="13"/>
      <c r="C41" s="1"/>
      <c r="D41" s="26"/>
      <c r="E41" s="26"/>
      <c r="F41" s="27"/>
      <c r="G41" s="176"/>
      <c r="H41" s="27"/>
      <c r="I41" s="1"/>
      <c r="J41" s="25">
        <f t="shared" si="9"/>
        <v>0</v>
      </c>
      <c r="K41" s="35">
        <f t="shared" si="4"/>
        <v>0</v>
      </c>
      <c r="L41" s="272" t="str">
        <f t="shared" si="5"/>
        <v>-</v>
      </c>
      <c r="M41" s="35">
        <f t="shared" si="6"/>
        <v>0</v>
      </c>
      <c r="N41" s="1"/>
      <c r="O41" s="35">
        <f t="shared" si="12"/>
        <v>0</v>
      </c>
      <c r="P41" s="35">
        <f t="shared" si="12"/>
        <v>0</v>
      </c>
      <c r="Q41" s="35">
        <f t="shared" si="12"/>
        <v>0</v>
      </c>
      <c r="R41" s="35">
        <f t="shared" si="12"/>
        <v>0</v>
      </c>
      <c r="S41" s="35">
        <f t="shared" si="12"/>
        <v>0</v>
      </c>
      <c r="T41" s="35">
        <f t="shared" si="11"/>
        <v>0</v>
      </c>
      <c r="U41" s="35">
        <f t="shared" si="11"/>
        <v>0</v>
      </c>
      <c r="V41" s="35">
        <f t="shared" si="11"/>
        <v>0</v>
      </c>
      <c r="W41" s="35">
        <f t="shared" si="11"/>
        <v>0</v>
      </c>
      <c r="X41" s="35">
        <f t="shared" si="11"/>
        <v>0</v>
      </c>
      <c r="Y41" s="1"/>
      <c r="Z41" s="14"/>
      <c r="AA41" s="13"/>
      <c r="AC41" s="1"/>
      <c r="AD41" s="171">
        <f t="shared" si="10"/>
        <v>0</v>
      </c>
      <c r="AE41" s="171">
        <f t="shared" si="10"/>
        <v>0</v>
      </c>
      <c r="AF41" s="171">
        <f t="shared" si="10"/>
        <v>0</v>
      </c>
      <c r="AG41" s="171">
        <f t="shared" si="10"/>
        <v>0</v>
      </c>
      <c r="AH41" s="171">
        <f t="shared" si="10"/>
        <v>0</v>
      </c>
      <c r="AI41" s="171">
        <f t="shared" si="10"/>
        <v>0</v>
      </c>
      <c r="AJ41" s="171">
        <f t="shared" si="10"/>
        <v>0</v>
      </c>
      <c r="AK41" s="171">
        <f t="shared" si="10"/>
        <v>0</v>
      </c>
      <c r="AL41" s="171">
        <f t="shared" si="10"/>
        <v>0</v>
      </c>
      <c r="AM41" s="171">
        <f t="shared" si="10"/>
        <v>0</v>
      </c>
      <c r="AN41" s="1"/>
      <c r="AO41" s="14"/>
    </row>
    <row r="42" spans="2:41" ht="12.75">
      <c r="B42" s="13"/>
      <c r="C42" s="1"/>
      <c r="D42" s="26"/>
      <c r="E42" s="26"/>
      <c r="F42" s="27"/>
      <c r="G42" s="176"/>
      <c r="H42" s="27"/>
      <c r="I42" s="1"/>
      <c r="J42" s="25">
        <f t="shared" si="9"/>
        <v>0</v>
      </c>
      <c r="K42" s="35">
        <f t="shared" si="4"/>
        <v>0</v>
      </c>
      <c r="L42" s="272" t="str">
        <f t="shared" si="5"/>
        <v>-</v>
      </c>
      <c r="M42" s="35">
        <f t="shared" si="6"/>
        <v>0</v>
      </c>
      <c r="N42" s="1"/>
      <c r="O42" s="35">
        <f t="shared" si="12"/>
        <v>0</v>
      </c>
      <c r="P42" s="35">
        <f t="shared" si="12"/>
        <v>0</v>
      </c>
      <c r="Q42" s="35">
        <f t="shared" si="12"/>
        <v>0</v>
      </c>
      <c r="R42" s="35">
        <f t="shared" si="12"/>
        <v>0</v>
      </c>
      <c r="S42" s="35">
        <f t="shared" si="12"/>
        <v>0</v>
      </c>
      <c r="T42" s="35">
        <f t="shared" si="11"/>
        <v>0</v>
      </c>
      <c r="U42" s="35">
        <f t="shared" si="11"/>
        <v>0</v>
      </c>
      <c r="V42" s="35">
        <f t="shared" si="11"/>
        <v>0</v>
      </c>
      <c r="W42" s="35">
        <f t="shared" si="11"/>
        <v>0</v>
      </c>
      <c r="X42" s="35">
        <f t="shared" si="11"/>
        <v>0</v>
      </c>
      <c r="Y42" s="1"/>
      <c r="Z42" s="14"/>
      <c r="AA42" s="13"/>
      <c r="AC42" s="1"/>
      <c r="AD42" s="171">
        <f t="shared" si="10"/>
        <v>0</v>
      </c>
      <c r="AE42" s="171">
        <f t="shared" si="10"/>
        <v>0</v>
      </c>
      <c r="AF42" s="171">
        <f t="shared" si="10"/>
        <v>0</v>
      </c>
      <c r="AG42" s="171">
        <f t="shared" si="10"/>
        <v>0</v>
      </c>
      <c r="AH42" s="171">
        <f t="shared" si="10"/>
        <v>0</v>
      </c>
      <c r="AI42" s="171">
        <f t="shared" si="10"/>
        <v>0</v>
      </c>
      <c r="AJ42" s="171">
        <f t="shared" si="10"/>
        <v>0</v>
      </c>
      <c r="AK42" s="171">
        <f t="shared" si="10"/>
        <v>0</v>
      </c>
      <c r="AL42" s="171">
        <f t="shared" si="10"/>
        <v>0</v>
      </c>
      <c r="AM42" s="171">
        <f t="shared" si="10"/>
        <v>0</v>
      </c>
      <c r="AN42" s="1"/>
      <c r="AO42" s="14"/>
    </row>
    <row r="43" spans="2:41" ht="12.75">
      <c r="B43" s="13"/>
      <c r="C43" s="1"/>
      <c r="D43" s="26"/>
      <c r="E43" s="26"/>
      <c r="F43" s="27"/>
      <c r="G43" s="176"/>
      <c r="H43" s="27"/>
      <c r="I43" s="1"/>
      <c r="J43" s="25">
        <f t="shared" si="9"/>
        <v>0</v>
      </c>
      <c r="K43" s="35">
        <f t="shared" si="4"/>
        <v>0</v>
      </c>
      <c r="L43" s="272" t="str">
        <f t="shared" si="5"/>
        <v>-</v>
      </c>
      <c r="M43" s="35">
        <f t="shared" si="6"/>
        <v>0</v>
      </c>
      <c r="N43" s="1"/>
      <c r="O43" s="35">
        <f t="shared" si="12"/>
        <v>0</v>
      </c>
      <c r="P43" s="35">
        <f t="shared" si="12"/>
        <v>0</v>
      </c>
      <c r="Q43" s="35">
        <f t="shared" si="12"/>
        <v>0</v>
      </c>
      <c r="R43" s="35">
        <f t="shared" si="12"/>
        <v>0</v>
      </c>
      <c r="S43" s="35">
        <f t="shared" si="12"/>
        <v>0</v>
      </c>
      <c r="T43" s="35">
        <f t="shared" si="11"/>
        <v>0</v>
      </c>
      <c r="U43" s="35">
        <f t="shared" si="11"/>
        <v>0</v>
      </c>
      <c r="V43" s="35">
        <f t="shared" si="11"/>
        <v>0</v>
      </c>
      <c r="W43" s="35">
        <f t="shared" si="11"/>
        <v>0</v>
      </c>
      <c r="X43" s="35">
        <f t="shared" si="11"/>
        <v>0</v>
      </c>
      <c r="Y43" s="1"/>
      <c r="Z43" s="14"/>
      <c r="AA43" s="13"/>
      <c r="AC43" s="1"/>
      <c r="AD43" s="171">
        <f t="shared" si="10"/>
        <v>0</v>
      </c>
      <c r="AE43" s="171">
        <f t="shared" si="10"/>
        <v>0</v>
      </c>
      <c r="AF43" s="171">
        <f t="shared" si="10"/>
        <v>0</v>
      </c>
      <c r="AG43" s="171">
        <f t="shared" si="10"/>
        <v>0</v>
      </c>
      <c r="AH43" s="171">
        <f t="shared" si="10"/>
        <v>0</v>
      </c>
      <c r="AI43" s="171">
        <f t="shared" si="10"/>
        <v>0</v>
      </c>
      <c r="AJ43" s="171">
        <f t="shared" si="10"/>
        <v>0</v>
      </c>
      <c r="AK43" s="171">
        <f t="shared" si="10"/>
        <v>0</v>
      </c>
      <c r="AL43" s="171">
        <f t="shared" si="10"/>
        <v>0</v>
      </c>
      <c r="AM43" s="171">
        <f t="shared" si="10"/>
        <v>0</v>
      </c>
      <c r="AN43" s="1"/>
      <c r="AO43" s="14"/>
    </row>
    <row r="44" spans="2:41" ht="12.75">
      <c r="B44" s="13"/>
      <c r="C44" s="1"/>
      <c r="D44" s="26"/>
      <c r="E44" s="26"/>
      <c r="F44" s="27"/>
      <c r="G44" s="176"/>
      <c r="H44" s="27"/>
      <c r="I44" s="1"/>
      <c r="J44" s="25">
        <f t="shared" si="9"/>
        <v>0</v>
      </c>
      <c r="K44" s="35">
        <f t="shared" si="4"/>
        <v>0</v>
      </c>
      <c r="L44" s="272" t="str">
        <f t="shared" si="5"/>
        <v>-</v>
      </c>
      <c r="M44" s="35">
        <f t="shared" si="6"/>
        <v>0</v>
      </c>
      <c r="N44" s="1"/>
      <c r="O44" s="35">
        <f t="shared" si="12"/>
        <v>0</v>
      </c>
      <c r="P44" s="35">
        <f t="shared" si="12"/>
        <v>0</v>
      </c>
      <c r="Q44" s="35">
        <f t="shared" si="12"/>
        <v>0</v>
      </c>
      <c r="R44" s="35">
        <f t="shared" si="12"/>
        <v>0</v>
      </c>
      <c r="S44" s="35">
        <f t="shared" si="12"/>
        <v>0</v>
      </c>
      <c r="T44" s="35">
        <f t="shared" si="11"/>
        <v>0</v>
      </c>
      <c r="U44" s="35">
        <f t="shared" si="11"/>
        <v>0</v>
      </c>
      <c r="V44" s="35">
        <f t="shared" si="11"/>
        <v>0</v>
      </c>
      <c r="W44" s="35">
        <f t="shared" si="11"/>
        <v>0</v>
      </c>
      <c r="X44" s="35">
        <f t="shared" si="11"/>
        <v>0</v>
      </c>
      <c r="Y44" s="1"/>
      <c r="Z44" s="14"/>
      <c r="AA44" s="13"/>
      <c r="AC44" s="1"/>
      <c r="AD44" s="171">
        <f aca="true" t="shared" si="13" ref="AD44:AM59">IF(AD$9=$F44,$G44,0)</f>
        <v>0</v>
      </c>
      <c r="AE44" s="171">
        <f t="shared" si="13"/>
        <v>0</v>
      </c>
      <c r="AF44" s="171">
        <f t="shared" si="13"/>
        <v>0</v>
      </c>
      <c r="AG44" s="171">
        <f t="shared" si="13"/>
        <v>0</v>
      </c>
      <c r="AH44" s="171">
        <f t="shared" si="13"/>
        <v>0</v>
      </c>
      <c r="AI44" s="171">
        <f t="shared" si="13"/>
        <v>0</v>
      </c>
      <c r="AJ44" s="171">
        <f t="shared" si="13"/>
        <v>0</v>
      </c>
      <c r="AK44" s="171">
        <f t="shared" si="13"/>
        <v>0</v>
      </c>
      <c r="AL44" s="171">
        <f t="shared" si="13"/>
        <v>0</v>
      </c>
      <c r="AM44" s="171">
        <f t="shared" si="13"/>
        <v>0</v>
      </c>
      <c r="AN44" s="1"/>
      <c r="AO44" s="14"/>
    </row>
    <row r="45" spans="2:41" ht="12.75">
      <c r="B45" s="13"/>
      <c r="C45" s="1"/>
      <c r="D45" s="26"/>
      <c r="E45" s="26"/>
      <c r="F45" s="27"/>
      <c r="G45" s="176"/>
      <c r="H45" s="27"/>
      <c r="I45" s="1"/>
      <c r="J45" s="25">
        <f t="shared" si="9"/>
        <v>0</v>
      </c>
      <c r="K45" s="35">
        <f t="shared" si="4"/>
        <v>0</v>
      </c>
      <c r="L45" s="272" t="str">
        <f t="shared" si="5"/>
        <v>-</v>
      </c>
      <c r="M45" s="35">
        <f t="shared" si="6"/>
        <v>0</v>
      </c>
      <c r="N45" s="1"/>
      <c r="O45" s="35">
        <f t="shared" si="12"/>
        <v>0</v>
      </c>
      <c r="P45" s="35">
        <f t="shared" si="12"/>
        <v>0</v>
      </c>
      <c r="Q45" s="35">
        <f t="shared" si="12"/>
        <v>0</v>
      </c>
      <c r="R45" s="35">
        <f t="shared" si="12"/>
        <v>0</v>
      </c>
      <c r="S45" s="35">
        <f t="shared" si="12"/>
        <v>0</v>
      </c>
      <c r="T45" s="35">
        <f t="shared" si="11"/>
        <v>0</v>
      </c>
      <c r="U45" s="35">
        <f t="shared" si="11"/>
        <v>0</v>
      </c>
      <c r="V45" s="35">
        <f t="shared" si="11"/>
        <v>0</v>
      </c>
      <c r="W45" s="35">
        <f t="shared" si="11"/>
        <v>0</v>
      </c>
      <c r="X45" s="35">
        <f t="shared" si="11"/>
        <v>0</v>
      </c>
      <c r="Y45" s="1"/>
      <c r="Z45" s="14"/>
      <c r="AA45" s="13"/>
      <c r="AC45" s="1"/>
      <c r="AD45" s="171">
        <f t="shared" si="13"/>
        <v>0</v>
      </c>
      <c r="AE45" s="171">
        <f t="shared" si="13"/>
        <v>0</v>
      </c>
      <c r="AF45" s="171">
        <f t="shared" si="13"/>
        <v>0</v>
      </c>
      <c r="AG45" s="171">
        <f t="shared" si="13"/>
        <v>0</v>
      </c>
      <c r="AH45" s="171">
        <f t="shared" si="13"/>
        <v>0</v>
      </c>
      <c r="AI45" s="171">
        <f t="shared" si="13"/>
        <v>0</v>
      </c>
      <c r="AJ45" s="171">
        <f t="shared" si="13"/>
        <v>0</v>
      </c>
      <c r="AK45" s="171">
        <f t="shared" si="13"/>
        <v>0</v>
      </c>
      <c r="AL45" s="171">
        <f t="shared" si="13"/>
        <v>0</v>
      </c>
      <c r="AM45" s="171">
        <f t="shared" si="13"/>
        <v>0</v>
      </c>
      <c r="AN45" s="1"/>
      <c r="AO45" s="14"/>
    </row>
    <row r="46" spans="2:41" ht="12.75">
      <c r="B46" s="13"/>
      <c r="C46" s="1"/>
      <c r="D46" s="26"/>
      <c r="E46" s="26"/>
      <c r="F46" s="27"/>
      <c r="G46" s="176"/>
      <c r="H46" s="27"/>
      <c r="I46" s="1"/>
      <c r="J46" s="25">
        <f t="shared" si="9"/>
        <v>0</v>
      </c>
      <c r="K46" s="35">
        <f t="shared" si="4"/>
        <v>0</v>
      </c>
      <c r="L46" s="272" t="str">
        <f t="shared" si="5"/>
        <v>-</v>
      </c>
      <c r="M46" s="35">
        <f t="shared" si="6"/>
        <v>0</v>
      </c>
      <c r="N46" s="1"/>
      <c r="O46" s="35">
        <f t="shared" si="12"/>
        <v>0</v>
      </c>
      <c r="P46" s="35">
        <f t="shared" si="12"/>
        <v>0</v>
      </c>
      <c r="Q46" s="35">
        <f t="shared" si="12"/>
        <v>0</v>
      </c>
      <c r="R46" s="35">
        <f t="shared" si="12"/>
        <v>0</v>
      </c>
      <c r="S46" s="35">
        <f t="shared" si="12"/>
        <v>0</v>
      </c>
      <c r="T46" s="35">
        <f t="shared" si="11"/>
        <v>0</v>
      </c>
      <c r="U46" s="35">
        <f t="shared" si="11"/>
        <v>0</v>
      </c>
      <c r="V46" s="35">
        <f t="shared" si="11"/>
        <v>0</v>
      </c>
      <c r="W46" s="35">
        <f t="shared" si="11"/>
        <v>0</v>
      </c>
      <c r="X46" s="35">
        <f t="shared" si="11"/>
        <v>0</v>
      </c>
      <c r="Y46" s="1"/>
      <c r="Z46" s="14"/>
      <c r="AA46" s="13"/>
      <c r="AC46" s="1"/>
      <c r="AD46" s="171">
        <f t="shared" si="13"/>
        <v>0</v>
      </c>
      <c r="AE46" s="171">
        <f t="shared" si="13"/>
        <v>0</v>
      </c>
      <c r="AF46" s="171">
        <f t="shared" si="13"/>
        <v>0</v>
      </c>
      <c r="AG46" s="171">
        <f t="shared" si="13"/>
        <v>0</v>
      </c>
      <c r="AH46" s="171">
        <f t="shared" si="13"/>
        <v>0</v>
      </c>
      <c r="AI46" s="171">
        <f t="shared" si="13"/>
        <v>0</v>
      </c>
      <c r="AJ46" s="171">
        <f t="shared" si="13"/>
        <v>0</v>
      </c>
      <c r="AK46" s="171">
        <f t="shared" si="13"/>
        <v>0</v>
      </c>
      <c r="AL46" s="171">
        <f t="shared" si="13"/>
        <v>0</v>
      </c>
      <c r="AM46" s="171">
        <f t="shared" si="13"/>
        <v>0</v>
      </c>
      <c r="AN46" s="1"/>
      <c r="AO46" s="14"/>
    </row>
    <row r="47" spans="2:41" ht="12.75">
      <c r="B47" s="13"/>
      <c r="C47" s="1"/>
      <c r="D47" s="26"/>
      <c r="E47" s="26"/>
      <c r="F47" s="27"/>
      <c r="G47" s="176"/>
      <c r="H47" s="27"/>
      <c r="I47" s="1"/>
      <c r="J47" s="25">
        <f t="shared" si="9"/>
        <v>0</v>
      </c>
      <c r="K47" s="35">
        <f t="shared" si="4"/>
        <v>0</v>
      </c>
      <c r="L47" s="272" t="str">
        <f t="shared" si="5"/>
        <v>-</v>
      </c>
      <c r="M47" s="35">
        <f t="shared" si="6"/>
        <v>0</v>
      </c>
      <c r="N47" s="1"/>
      <c r="O47" s="35">
        <f t="shared" si="12"/>
        <v>0</v>
      </c>
      <c r="P47" s="35">
        <f t="shared" si="12"/>
        <v>0</v>
      </c>
      <c r="Q47" s="35">
        <f t="shared" si="12"/>
        <v>0</v>
      </c>
      <c r="R47" s="35">
        <f t="shared" si="12"/>
        <v>0</v>
      </c>
      <c r="S47" s="35">
        <f t="shared" si="12"/>
        <v>0</v>
      </c>
      <c r="T47" s="35">
        <f t="shared" si="11"/>
        <v>0</v>
      </c>
      <c r="U47" s="35">
        <f t="shared" si="11"/>
        <v>0</v>
      </c>
      <c r="V47" s="35">
        <f t="shared" si="11"/>
        <v>0</v>
      </c>
      <c r="W47" s="35">
        <f t="shared" si="11"/>
        <v>0</v>
      </c>
      <c r="X47" s="35">
        <f t="shared" si="11"/>
        <v>0</v>
      </c>
      <c r="Y47" s="1"/>
      <c r="Z47" s="14"/>
      <c r="AA47" s="13"/>
      <c r="AC47" s="1"/>
      <c r="AD47" s="171">
        <f t="shared" si="13"/>
        <v>0</v>
      </c>
      <c r="AE47" s="171">
        <f t="shared" si="13"/>
        <v>0</v>
      </c>
      <c r="AF47" s="171">
        <f t="shared" si="13"/>
        <v>0</v>
      </c>
      <c r="AG47" s="171">
        <f t="shared" si="13"/>
        <v>0</v>
      </c>
      <c r="AH47" s="171">
        <f t="shared" si="13"/>
        <v>0</v>
      </c>
      <c r="AI47" s="171">
        <f t="shared" si="13"/>
        <v>0</v>
      </c>
      <c r="AJ47" s="171">
        <f t="shared" si="13"/>
        <v>0</v>
      </c>
      <c r="AK47" s="171">
        <f t="shared" si="13"/>
        <v>0</v>
      </c>
      <c r="AL47" s="171">
        <f t="shared" si="13"/>
        <v>0</v>
      </c>
      <c r="AM47" s="171">
        <f t="shared" si="13"/>
        <v>0</v>
      </c>
      <c r="AN47" s="1"/>
      <c r="AO47" s="14"/>
    </row>
    <row r="48" spans="2:41" ht="12.75">
      <c r="B48" s="13"/>
      <c r="C48" s="1"/>
      <c r="D48" s="26"/>
      <c r="E48" s="26"/>
      <c r="F48" s="27"/>
      <c r="G48" s="176"/>
      <c r="H48" s="27"/>
      <c r="I48" s="1"/>
      <c r="J48" s="25">
        <f t="shared" si="9"/>
        <v>0</v>
      </c>
      <c r="K48" s="35">
        <f t="shared" si="4"/>
        <v>0</v>
      </c>
      <c r="L48" s="272" t="str">
        <f t="shared" si="5"/>
        <v>-</v>
      </c>
      <c r="M48" s="35">
        <f t="shared" si="6"/>
        <v>0</v>
      </c>
      <c r="N48" s="1"/>
      <c r="O48" s="35">
        <f t="shared" si="12"/>
        <v>0</v>
      </c>
      <c r="P48" s="35">
        <f t="shared" si="12"/>
        <v>0</v>
      </c>
      <c r="Q48" s="35">
        <f t="shared" si="12"/>
        <v>0</v>
      </c>
      <c r="R48" s="35">
        <f t="shared" si="12"/>
        <v>0</v>
      </c>
      <c r="S48" s="35">
        <f t="shared" si="12"/>
        <v>0</v>
      </c>
      <c r="T48" s="35">
        <f t="shared" si="11"/>
        <v>0</v>
      </c>
      <c r="U48" s="35">
        <f t="shared" si="11"/>
        <v>0</v>
      </c>
      <c r="V48" s="35">
        <f t="shared" si="11"/>
        <v>0</v>
      </c>
      <c r="W48" s="35">
        <f t="shared" si="11"/>
        <v>0</v>
      </c>
      <c r="X48" s="35">
        <f t="shared" si="11"/>
        <v>0</v>
      </c>
      <c r="Y48" s="1"/>
      <c r="Z48" s="14"/>
      <c r="AA48" s="13"/>
      <c r="AC48" s="1"/>
      <c r="AD48" s="171">
        <f t="shared" si="13"/>
        <v>0</v>
      </c>
      <c r="AE48" s="171">
        <f t="shared" si="13"/>
        <v>0</v>
      </c>
      <c r="AF48" s="171">
        <f t="shared" si="13"/>
        <v>0</v>
      </c>
      <c r="AG48" s="171">
        <f t="shared" si="13"/>
        <v>0</v>
      </c>
      <c r="AH48" s="171">
        <f t="shared" si="13"/>
        <v>0</v>
      </c>
      <c r="AI48" s="171">
        <f t="shared" si="13"/>
        <v>0</v>
      </c>
      <c r="AJ48" s="171">
        <f t="shared" si="13"/>
        <v>0</v>
      </c>
      <c r="AK48" s="171">
        <f t="shared" si="13"/>
        <v>0</v>
      </c>
      <c r="AL48" s="171">
        <f t="shared" si="13"/>
        <v>0</v>
      </c>
      <c r="AM48" s="171">
        <f t="shared" si="13"/>
        <v>0</v>
      </c>
      <c r="AN48" s="1"/>
      <c r="AO48" s="14"/>
    </row>
    <row r="49" spans="2:41" ht="12.75">
      <c r="B49" s="13"/>
      <c r="C49" s="1"/>
      <c r="D49" s="26"/>
      <c r="E49" s="26"/>
      <c r="F49" s="27"/>
      <c r="G49" s="176"/>
      <c r="H49" s="27"/>
      <c r="I49" s="1"/>
      <c r="J49" s="25">
        <f t="shared" si="9"/>
        <v>0</v>
      </c>
      <c r="K49" s="35">
        <f t="shared" si="4"/>
        <v>0</v>
      </c>
      <c r="L49" s="272" t="str">
        <f t="shared" si="5"/>
        <v>-</v>
      </c>
      <c r="M49" s="35">
        <f t="shared" si="6"/>
        <v>0</v>
      </c>
      <c r="N49" s="1"/>
      <c r="O49" s="35">
        <f t="shared" si="12"/>
        <v>0</v>
      </c>
      <c r="P49" s="35">
        <f t="shared" si="12"/>
        <v>0</v>
      </c>
      <c r="Q49" s="35">
        <f t="shared" si="12"/>
        <v>0</v>
      </c>
      <c r="R49" s="35">
        <f t="shared" si="12"/>
        <v>0</v>
      </c>
      <c r="S49" s="35">
        <f t="shared" si="12"/>
        <v>0</v>
      </c>
      <c r="T49" s="35">
        <f t="shared" si="11"/>
        <v>0</v>
      </c>
      <c r="U49" s="35">
        <f t="shared" si="11"/>
        <v>0</v>
      </c>
      <c r="V49" s="35">
        <f t="shared" si="11"/>
        <v>0</v>
      </c>
      <c r="W49" s="35">
        <f t="shared" si="11"/>
        <v>0</v>
      </c>
      <c r="X49" s="35">
        <f t="shared" si="11"/>
        <v>0</v>
      </c>
      <c r="Y49" s="1"/>
      <c r="Z49" s="14"/>
      <c r="AA49" s="13"/>
      <c r="AC49" s="1"/>
      <c r="AD49" s="171">
        <f t="shared" si="13"/>
        <v>0</v>
      </c>
      <c r="AE49" s="171">
        <f t="shared" si="13"/>
        <v>0</v>
      </c>
      <c r="AF49" s="171">
        <f t="shared" si="13"/>
        <v>0</v>
      </c>
      <c r="AG49" s="171">
        <f t="shared" si="13"/>
        <v>0</v>
      </c>
      <c r="AH49" s="171">
        <f t="shared" si="13"/>
        <v>0</v>
      </c>
      <c r="AI49" s="171">
        <f t="shared" si="13"/>
        <v>0</v>
      </c>
      <c r="AJ49" s="171">
        <f t="shared" si="13"/>
        <v>0</v>
      </c>
      <c r="AK49" s="171">
        <f t="shared" si="13"/>
        <v>0</v>
      </c>
      <c r="AL49" s="171">
        <f t="shared" si="13"/>
        <v>0</v>
      </c>
      <c r="AM49" s="171">
        <f t="shared" si="13"/>
        <v>0</v>
      </c>
      <c r="AN49" s="1"/>
      <c r="AO49" s="14"/>
    </row>
    <row r="50" spans="2:41" ht="12.75">
      <c r="B50" s="13"/>
      <c r="C50" s="1"/>
      <c r="D50" s="26"/>
      <c r="E50" s="26"/>
      <c r="F50" s="27"/>
      <c r="G50" s="176"/>
      <c r="H50" s="27"/>
      <c r="I50" s="1"/>
      <c r="J50" s="25">
        <f t="shared" si="9"/>
        <v>0</v>
      </c>
      <c r="K50" s="35">
        <f t="shared" si="4"/>
        <v>0</v>
      </c>
      <c r="L50" s="272" t="str">
        <f t="shared" si="5"/>
        <v>-</v>
      </c>
      <c r="M50" s="35">
        <f t="shared" si="6"/>
        <v>0</v>
      </c>
      <c r="N50" s="1"/>
      <c r="O50" s="35">
        <f t="shared" si="12"/>
        <v>0</v>
      </c>
      <c r="P50" s="35">
        <f t="shared" si="12"/>
        <v>0</v>
      </c>
      <c r="Q50" s="35">
        <f t="shared" si="12"/>
        <v>0</v>
      </c>
      <c r="R50" s="35">
        <f t="shared" si="12"/>
        <v>0</v>
      </c>
      <c r="S50" s="35">
        <f t="shared" si="12"/>
        <v>0</v>
      </c>
      <c r="T50" s="35">
        <f t="shared" si="11"/>
        <v>0</v>
      </c>
      <c r="U50" s="35">
        <f t="shared" si="11"/>
        <v>0</v>
      </c>
      <c r="V50" s="35">
        <f t="shared" si="11"/>
        <v>0</v>
      </c>
      <c r="W50" s="35">
        <f t="shared" si="11"/>
        <v>0</v>
      </c>
      <c r="X50" s="35">
        <f t="shared" si="11"/>
        <v>0</v>
      </c>
      <c r="Y50" s="1"/>
      <c r="Z50" s="14"/>
      <c r="AA50" s="13"/>
      <c r="AC50" s="1"/>
      <c r="AD50" s="171">
        <f t="shared" si="13"/>
        <v>0</v>
      </c>
      <c r="AE50" s="171">
        <f t="shared" si="13"/>
        <v>0</v>
      </c>
      <c r="AF50" s="171">
        <f t="shared" si="13"/>
        <v>0</v>
      </c>
      <c r="AG50" s="171">
        <f t="shared" si="13"/>
        <v>0</v>
      </c>
      <c r="AH50" s="171">
        <f t="shared" si="13"/>
        <v>0</v>
      </c>
      <c r="AI50" s="171">
        <f t="shared" si="13"/>
        <v>0</v>
      </c>
      <c r="AJ50" s="171">
        <f t="shared" si="13"/>
        <v>0</v>
      </c>
      <c r="AK50" s="171">
        <f t="shared" si="13"/>
        <v>0</v>
      </c>
      <c r="AL50" s="171">
        <f t="shared" si="13"/>
        <v>0</v>
      </c>
      <c r="AM50" s="171">
        <f t="shared" si="13"/>
        <v>0</v>
      </c>
      <c r="AN50" s="1"/>
      <c r="AO50" s="14"/>
    </row>
    <row r="51" spans="2:41" ht="12.75">
      <c r="B51" s="13"/>
      <c r="C51" s="1"/>
      <c r="D51" s="26"/>
      <c r="E51" s="26"/>
      <c r="F51" s="27"/>
      <c r="G51" s="176"/>
      <c r="H51" s="27"/>
      <c r="I51" s="1"/>
      <c r="J51" s="25">
        <f t="shared" si="9"/>
        <v>0</v>
      </c>
      <c r="K51" s="35">
        <f t="shared" si="4"/>
        <v>0</v>
      </c>
      <c r="L51" s="272" t="str">
        <f t="shared" si="5"/>
        <v>-</v>
      </c>
      <c r="M51" s="35">
        <f t="shared" si="6"/>
        <v>0</v>
      </c>
      <c r="N51" s="1"/>
      <c r="O51" s="35">
        <f t="shared" si="12"/>
        <v>0</v>
      </c>
      <c r="P51" s="35">
        <f t="shared" si="12"/>
        <v>0</v>
      </c>
      <c r="Q51" s="35">
        <f t="shared" si="12"/>
        <v>0</v>
      </c>
      <c r="R51" s="35">
        <f t="shared" si="12"/>
        <v>0</v>
      </c>
      <c r="S51" s="35">
        <f t="shared" si="12"/>
        <v>0</v>
      </c>
      <c r="T51" s="35">
        <f t="shared" si="11"/>
        <v>0</v>
      </c>
      <c r="U51" s="35">
        <f t="shared" si="11"/>
        <v>0</v>
      </c>
      <c r="V51" s="35">
        <f t="shared" si="11"/>
        <v>0</v>
      </c>
      <c r="W51" s="35">
        <f t="shared" si="11"/>
        <v>0</v>
      </c>
      <c r="X51" s="35">
        <f t="shared" si="11"/>
        <v>0</v>
      </c>
      <c r="Y51" s="1"/>
      <c r="Z51" s="14"/>
      <c r="AA51" s="13"/>
      <c r="AC51" s="1"/>
      <c r="AD51" s="171">
        <f t="shared" si="13"/>
        <v>0</v>
      </c>
      <c r="AE51" s="171">
        <f t="shared" si="13"/>
        <v>0</v>
      </c>
      <c r="AF51" s="171">
        <f t="shared" si="13"/>
        <v>0</v>
      </c>
      <c r="AG51" s="171">
        <f t="shared" si="13"/>
        <v>0</v>
      </c>
      <c r="AH51" s="171">
        <f t="shared" si="13"/>
        <v>0</v>
      </c>
      <c r="AI51" s="171">
        <f t="shared" si="13"/>
        <v>0</v>
      </c>
      <c r="AJ51" s="171">
        <f t="shared" si="13"/>
        <v>0</v>
      </c>
      <c r="AK51" s="171">
        <f t="shared" si="13"/>
        <v>0</v>
      </c>
      <c r="AL51" s="171">
        <f t="shared" si="13"/>
        <v>0</v>
      </c>
      <c r="AM51" s="171">
        <f t="shared" si="13"/>
        <v>0</v>
      </c>
      <c r="AN51" s="1"/>
      <c r="AO51" s="14"/>
    </row>
    <row r="52" spans="2:41" ht="12.75">
      <c r="B52" s="13"/>
      <c r="C52" s="1"/>
      <c r="D52" s="26"/>
      <c r="E52" s="26"/>
      <c r="F52" s="27"/>
      <c r="G52" s="176"/>
      <c r="H52" s="27"/>
      <c r="I52" s="1"/>
      <c r="J52" s="25">
        <f t="shared" si="9"/>
        <v>0</v>
      </c>
      <c r="K52" s="35">
        <f t="shared" si="4"/>
        <v>0</v>
      </c>
      <c r="L52" s="272" t="str">
        <f t="shared" si="5"/>
        <v>-</v>
      </c>
      <c r="M52" s="35">
        <f t="shared" si="6"/>
        <v>0</v>
      </c>
      <c r="N52" s="1"/>
      <c r="O52" s="35">
        <f t="shared" si="12"/>
        <v>0</v>
      </c>
      <c r="P52" s="35">
        <f t="shared" si="12"/>
        <v>0</v>
      </c>
      <c r="Q52" s="35">
        <f t="shared" si="12"/>
        <v>0</v>
      </c>
      <c r="R52" s="35">
        <f t="shared" si="12"/>
        <v>0</v>
      </c>
      <c r="S52" s="35">
        <f t="shared" si="12"/>
        <v>0</v>
      </c>
      <c r="T52" s="35">
        <f t="shared" si="11"/>
        <v>0</v>
      </c>
      <c r="U52" s="35">
        <f t="shared" si="11"/>
        <v>0</v>
      </c>
      <c r="V52" s="35">
        <f t="shared" si="11"/>
        <v>0</v>
      </c>
      <c r="W52" s="35">
        <f t="shared" si="11"/>
        <v>0</v>
      </c>
      <c r="X52" s="35">
        <f t="shared" si="11"/>
        <v>0</v>
      </c>
      <c r="Y52" s="1"/>
      <c r="Z52" s="14"/>
      <c r="AA52" s="13"/>
      <c r="AC52" s="1"/>
      <c r="AD52" s="171">
        <f t="shared" si="13"/>
        <v>0</v>
      </c>
      <c r="AE52" s="171">
        <f t="shared" si="13"/>
        <v>0</v>
      </c>
      <c r="AF52" s="171">
        <f t="shared" si="13"/>
        <v>0</v>
      </c>
      <c r="AG52" s="171">
        <f t="shared" si="13"/>
        <v>0</v>
      </c>
      <c r="AH52" s="171">
        <f t="shared" si="13"/>
        <v>0</v>
      </c>
      <c r="AI52" s="171">
        <f t="shared" si="13"/>
        <v>0</v>
      </c>
      <c r="AJ52" s="171">
        <f t="shared" si="13"/>
        <v>0</v>
      </c>
      <c r="AK52" s="171">
        <f t="shared" si="13"/>
        <v>0</v>
      </c>
      <c r="AL52" s="171">
        <f t="shared" si="13"/>
        <v>0</v>
      </c>
      <c r="AM52" s="171">
        <f t="shared" si="13"/>
        <v>0</v>
      </c>
      <c r="AN52" s="1"/>
      <c r="AO52" s="14"/>
    </row>
    <row r="53" spans="2:41" ht="12.75">
      <c r="B53" s="13"/>
      <c r="C53" s="1"/>
      <c r="D53" s="26"/>
      <c r="E53" s="26"/>
      <c r="F53" s="27"/>
      <c r="G53" s="176"/>
      <c r="H53" s="27"/>
      <c r="I53" s="1"/>
      <c r="J53" s="25">
        <f t="shared" si="9"/>
        <v>0</v>
      </c>
      <c r="K53" s="35">
        <f t="shared" si="4"/>
        <v>0</v>
      </c>
      <c r="L53" s="272" t="str">
        <f t="shared" si="5"/>
        <v>-</v>
      </c>
      <c r="M53" s="35">
        <f t="shared" si="6"/>
        <v>0</v>
      </c>
      <c r="N53" s="1"/>
      <c r="O53" s="35">
        <f t="shared" si="12"/>
        <v>0</v>
      </c>
      <c r="P53" s="35">
        <f t="shared" si="12"/>
        <v>0</v>
      </c>
      <c r="Q53" s="35">
        <f t="shared" si="12"/>
        <v>0</v>
      </c>
      <c r="R53" s="35">
        <f t="shared" si="12"/>
        <v>0</v>
      </c>
      <c r="S53" s="35">
        <f t="shared" si="12"/>
        <v>0</v>
      </c>
      <c r="T53" s="35">
        <f t="shared" si="11"/>
        <v>0</v>
      </c>
      <c r="U53" s="35">
        <f t="shared" si="11"/>
        <v>0</v>
      </c>
      <c r="V53" s="35">
        <f t="shared" si="11"/>
        <v>0</v>
      </c>
      <c r="W53" s="35">
        <f t="shared" si="11"/>
        <v>0</v>
      </c>
      <c r="X53" s="35">
        <f t="shared" si="11"/>
        <v>0</v>
      </c>
      <c r="Y53" s="1"/>
      <c r="Z53" s="14"/>
      <c r="AA53" s="13"/>
      <c r="AC53" s="1"/>
      <c r="AD53" s="171">
        <f t="shared" si="13"/>
        <v>0</v>
      </c>
      <c r="AE53" s="171">
        <f t="shared" si="13"/>
        <v>0</v>
      </c>
      <c r="AF53" s="171">
        <f t="shared" si="13"/>
        <v>0</v>
      </c>
      <c r="AG53" s="171">
        <f t="shared" si="13"/>
        <v>0</v>
      </c>
      <c r="AH53" s="171">
        <f t="shared" si="13"/>
        <v>0</v>
      </c>
      <c r="AI53" s="171">
        <f t="shared" si="13"/>
        <v>0</v>
      </c>
      <c r="AJ53" s="171">
        <f t="shared" si="13"/>
        <v>0</v>
      </c>
      <c r="AK53" s="171">
        <f t="shared" si="13"/>
        <v>0</v>
      </c>
      <c r="AL53" s="171">
        <f t="shared" si="13"/>
        <v>0</v>
      </c>
      <c r="AM53" s="171">
        <f t="shared" si="13"/>
        <v>0</v>
      </c>
      <c r="AN53" s="1"/>
      <c r="AO53" s="14"/>
    </row>
    <row r="54" spans="2:41" ht="12.75">
      <c r="B54" s="13"/>
      <c r="C54" s="1"/>
      <c r="D54" s="26"/>
      <c r="E54" s="26"/>
      <c r="F54" s="27"/>
      <c r="G54" s="176"/>
      <c r="H54" s="27"/>
      <c r="I54" s="1"/>
      <c r="J54" s="25">
        <f t="shared" si="9"/>
        <v>0</v>
      </c>
      <c r="K54" s="35">
        <f t="shared" si="4"/>
        <v>0</v>
      </c>
      <c r="L54" s="272" t="str">
        <f t="shared" si="5"/>
        <v>-</v>
      </c>
      <c r="M54" s="35">
        <f t="shared" si="6"/>
        <v>0</v>
      </c>
      <c r="N54" s="1"/>
      <c r="O54" s="35">
        <f t="shared" si="12"/>
        <v>0</v>
      </c>
      <c r="P54" s="35">
        <f t="shared" si="12"/>
        <v>0</v>
      </c>
      <c r="Q54" s="35">
        <f t="shared" si="12"/>
        <v>0</v>
      </c>
      <c r="R54" s="35">
        <f t="shared" si="12"/>
        <v>0</v>
      </c>
      <c r="S54" s="35">
        <f t="shared" si="12"/>
        <v>0</v>
      </c>
      <c r="T54" s="35">
        <f t="shared" si="11"/>
        <v>0</v>
      </c>
      <c r="U54" s="35">
        <f t="shared" si="11"/>
        <v>0</v>
      </c>
      <c r="V54" s="35">
        <f t="shared" si="11"/>
        <v>0</v>
      </c>
      <c r="W54" s="35">
        <f t="shared" si="11"/>
        <v>0</v>
      </c>
      <c r="X54" s="35">
        <f t="shared" si="11"/>
        <v>0</v>
      </c>
      <c r="Y54" s="1"/>
      <c r="Z54" s="14"/>
      <c r="AA54" s="13"/>
      <c r="AC54" s="1"/>
      <c r="AD54" s="171">
        <f t="shared" si="13"/>
        <v>0</v>
      </c>
      <c r="AE54" s="171">
        <f t="shared" si="13"/>
        <v>0</v>
      </c>
      <c r="AF54" s="171">
        <f t="shared" si="13"/>
        <v>0</v>
      </c>
      <c r="AG54" s="171">
        <f t="shared" si="13"/>
        <v>0</v>
      </c>
      <c r="AH54" s="171">
        <f t="shared" si="13"/>
        <v>0</v>
      </c>
      <c r="AI54" s="171">
        <f t="shared" si="13"/>
        <v>0</v>
      </c>
      <c r="AJ54" s="171">
        <f t="shared" si="13"/>
        <v>0</v>
      </c>
      <c r="AK54" s="171">
        <f t="shared" si="13"/>
        <v>0</v>
      </c>
      <c r="AL54" s="171">
        <f t="shared" si="13"/>
        <v>0</v>
      </c>
      <c r="AM54" s="171">
        <f t="shared" si="13"/>
        <v>0</v>
      </c>
      <c r="AN54" s="1"/>
      <c r="AO54" s="14"/>
    </row>
    <row r="55" spans="2:41" ht="12.75">
      <c r="B55" s="13"/>
      <c r="C55" s="1"/>
      <c r="D55" s="26"/>
      <c r="E55" s="26"/>
      <c r="F55" s="27"/>
      <c r="G55" s="176"/>
      <c r="H55" s="27"/>
      <c r="I55" s="1"/>
      <c r="J55" s="25">
        <f t="shared" si="9"/>
        <v>0</v>
      </c>
      <c r="K55" s="35">
        <f t="shared" si="4"/>
        <v>0</v>
      </c>
      <c r="L55" s="272" t="str">
        <f t="shared" si="5"/>
        <v>-</v>
      </c>
      <c r="M55" s="35">
        <f t="shared" si="6"/>
        <v>0</v>
      </c>
      <c r="N55" s="1"/>
      <c r="O55" s="35">
        <f t="shared" si="12"/>
        <v>0</v>
      </c>
      <c r="P55" s="35">
        <f t="shared" si="12"/>
        <v>0</v>
      </c>
      <c r="Q55" s="35">
        <f t="shared" si="12"/>
        <v>0</v>
      </c>
      <c r="R55" s="35">
        <f t="shared" si="12"/>
        <v>0</v>
      </c>
      <c r="S55" s="35">
        <f t="shared" si="12"/>
        <v>0</v>
      </c>
      <c r="T55" s="35">
        <f t="shared" si="11"/>
        <v>0</v>
      </c>
      <c r="U55" s="35">
        <f t="shared" si="11"/>
        <v>0</v>
      </c>
      <c r="V55" s="35">
        <f t="shared" si="11"/>
        <v>0</v>
      </c>
      <c r="W55" s="35">
        <f t="shared" si="11"/>
        <v>0</v>
      </c>
      <c r="X55" s="35">
        <f t="shared" si="11"/>
        <v>0</v>
      </c>
      <c r="Y55" s="1"/>
      <c r="Z55" s="14"/>
      <c r="AA55" s="13"/>
      <c r="AC55" s="1"/>
      <c r="AD55" s="171">
        <f t="shared" si="13"/>
        <v>0</v>
      </c>
      <c r="AE55" s="171">
        <f t="shared" si="13"/>
        <v>0</v>
      </c>
      <c r="AF55" s="171">
        <f t="shared" si="13"/>
        <v>0</v>
      </c>
      <c r="AG55" s="171">
        <f t="shared" si="13"/>
        <v>0</v>
      </c>
      <c r="AH55" s="171">
        <f t="shared" si="13"/>
        <v>0</v>
      </c>
      <c r="AI55" s="171">
        <f t="shared" si="13"/>
        <v>0</v>
      </c>
      <c r="AJ55" s="171">
        <f t="shared" si="13"/>
        <v>0</v>
      </c>
      <c r="AK55" s="171">
        <f t="shared" si="13"/>
        <v>0</v>
      </c>
      <c r="AL55" s="171">
        <f t="shared" si="13"/>
        <v>0</v>
      </c>
      <c r="AM55" s="171">
        <f t="shared" si="13"/>
        <v>0</v>
      </c>
      <c r="AN55" s="1"/>
      <c r="AO55" s="14"/>
    </row>
    <row r="56" spans="2:41" ht="12.75">
      <c r="B56" s="13"/>
      <c r="C56" s="1"/>
      <c r="D56" s="26"/>
      <c r="E56" s="26"/>
      <c r="F56" s="27"/>
      <c r="G56" s="176"/>
      <c r="H56" s="27"/>
      <c r="I56" s="1"/>
      <c r="J56" s="25">
        <f t="shared" si="9"/>
        <v>0</v>
      </c>
      <c r="K56" s="35">
        <f t="shared" si="4"/>
        <v>0</v>
      </c>
      <c r="L56" s="272" t="str">
        <f t="shared" si="5"/>
        <v>-</v>
      </c>
      <c r="M56" s="35">
        <f t="shared" si="6"/>
        <v>0</v>
      </c>
      <c r="N56" s="1"/>
      <c r="O56" s="35">
        <f t="shared" si="12"/>
        <v>0</v>
      </c>
      <c r="P56" s="35">
        <f t="shared" si="12"/>
        <v>0</v>
      </c>
      <c r="Q56" s="35">
        <f t="shared" si="12"/>
        <v>0</v>
      </c>
      <c r="R56" s="35">
        <f t="shared" si="12"/>
        <v>0</v>
      </c>
      <c r="S56" s="35">
        <f t="shared" si="12"/>
        <v>0</v>
      </c>
      <c r="T56" s="35">
        <f t="shared" si="11"/>
        <v>0</v>
      </c>
      <c r="U56" s="35">
        <f t="shared" si="11"/>
        <v>0</v>
      </c>
      <c r="V56" s="35">
        <f t="shared" si="11"/>
        <v>0</v>
      </c>
      <c r="W56" s="35">
        <f t="shared" si="11"/>
        <v>0</v>
      </c>
      <c r="X56" s="35">
        <f t="shared" si="11"/>
        <v>0</v>
      </c>
      <c r="Y56" s="1"/>
      <c r="Z56" s="14"/>
      <c r="AA56" s="13"/>
      <c r="AC56" s="1"/>
      <c r="AD56" s="171">
        <f t="shared" si="13"/>
        <v>0</v>
      </c>
      <c r="AE56" s="171">
        <f t="shared" si="13"/>
        <v>0</v>
      </c>
      <c r="AF56" s="171">
        <f t="shared" si="13"/>
        <v>0</v>
      </c>
      <c r="AG56" s="171">
        <f t="shared" si="13"/>
        <v>0</v>
      </c>
      <c r="AH56" s="171">
        <f t="shared" si="13"/>
        <v>0</v>
      </c>
      <c r="AI56" s="171">
        <f t="shared" si="13"/>
        <v>0</v>
      </c>
      <c r="AJ56" s="171">
        <f t="shared" si="13"/>
        <v>0</v>
      </c>
      <c r="AK56" s="171">
        <f t="shared" si="13"/>
        <v>0</v>
      </c>
      <c r="AL56" s="171">
        <f t="shared" si="13"/>
        <v>0</v>
      </c>
      <c r="AM56" s="171">
        <f t="shared" si="13"/>
        <v>0</v>
      </c>
      <c r="AN56" s="1"/>
      <c r="AO56" s="14"/>
    </row>
    <row r="57" spans="2:41" ht="12.75">
      <c r="B57" s="13"/>
      <c r="C57" s="1"/>
      <c r="D57" s="26"/>
      <c r="E57" s="26"/>
      <c r="F57" s="27"/>
      <c r="G57" s="176"/>
      <c r="H57" s="27"/>
      <c r="I57" s="1"/>
      <c r="J57" s="25">
        <f t="shared" si="9"/>
        <v>0</v>
      </c>
      <c r="K57" s="35">
        <f t="shared" si="4"/>
        <v>0</v>
      </c>
      <c r="L57" s="272" t="str">
        <f t="shared" si="5"/>
        <v>-</v>
      </c>
      <c r="M57" s="35">
        <f t="shared" si="6"/>
        <v>0</v>
      </c>
      <c r="N57" s="1"/>
      <c r="O57" s="35">
        <f t="shared" si="12"/>
        <v>0</v>
      </c>
      <c r="P57" s="35">
        <f t="shared" si="12"/>
        <v>0</v>
      </c>
      <c r="Q57" s="35">
        <f t="shared" si="12"/>
        <v>0</v>
      </c>
      <c r="R57" s="35">
        <f t="shared" si="12"/>
        <v>0</v>
      </c>
      <c r="S57" s="35">
        <f t="shared" si="12"/>
        <v>0</v>
      </c>
      <c r="T57" s="35">
        <f t="shared" si="11"/>
        <v>0</v>
      </c>
      <c r="U57" s="35">
        <f t="shared" si="11"/>
        <v>0</v>
      </c>
      <c r="V57" s="35">
        <f t="shared" si="11"/>
        <v>0</v>
      </c>
      <c r="W57" s="35">
        <f t="shared" si="11"/>
        <v>0</v>
      </c>
      <c r="X57" s="35">
        <f t="shared" si="11"/>
        <v>0</v>
      </c>
      <c r="Y57" s="1"/>
      <c r="Z57" s="14"/>
      <c r="AA57" s="13"/>
      <c r="AC57" s="1"/>
      <c r="AD57" s="171">
        <f t="shared" si="13"/>
        <v>0</v>
      </c>
      <c r="AE57" s="171">
        <f t="shared" si="13"/>
        <v>0</v>
      </c>
      <c r="AF57" s="171">
        <f t="shared" si="13"/>
        <v>0</v>
      </c>
      <c r="AG57" s="171">
        <f t="shared" si="13"/>
        <v>0</v>
      </c>
      <c r="AH57" s="171">
        <f t="shared" si="13"/>
        <v>0</v>
      </c>
      <c r="AI57" s="171">
        <f t="shared" si="13"/>
        <v>0</v>
      </c>
      <c r="AJ57" s="171">
        <f t="shared" si="13"/>
        <v>0</v>
      </c>
      <c r="AK57" s="171">
        <f t="shared" si="13"/>
        <v>0</v>
      </c>
      <c r="AL57" s="171">
        <f t="shared" si="13"/>
        <v>0</v>
      </c>
      <c r="AM57" s="171">
        <f t="shared" si="13"/>
        <v>0</v>
      </c>
      <c r="AN57" s="1"/>
      <c r="AO57" s="14"/>
    </row>
    <row r="58" spans="2:41" ht="12.75">
      <c r="B58" s="13"/>
      <c r="C58" s="1"/>
      <c r="D58" s="26"/>
      <c r="E58" s="26"/>
      <c r="F58" s="27"/>
      <c r="G58" s="176"/>
      <c r="H58" s="27"/>
      <c r="I58" s="1"/>
      <c r="J58" s="25">
        <f>IF(H58="geen",9999999999,H58)</f>
        <v>0</v>
      </c>
      <c r="K58" s="35">
        <f t="shared" si="4"/>
        <v>0</v>
      </c>
      <c r="L58" s="272" t="str">
        <f t="shared" si="5"/>
        <v>-</v>
      </c>
      <c r="M58" s="35">
        <f t="shared" si="6"/>
        <v>0</v>
      </c>
      <c r="N58" s="1"/>
      <c r="O58" s="35">
        <f t="shared" si="12"/>
        <v>0</v>
      </c>
      <c r="P58" s="35">
        <f t="shared" si="12"/>
        <v>0</v>
      </c>
      <c r="Q58" s="35">
        <f t="shared" si="12"/>
        <v>0</v>
      </c>
      <c r="R58" s="35">
        <f t="shared" si="12"/>
        <v>0</v>
      </c>
      <c r="S58" s="35">
        <f t="shared" si="12"/>
        <v>0</v>
      </c>
      <c r="T58" s="35">
        <f t="shared" si="11"/>
        <v>0</v>
      </c>
      <c r="U58" s="35">
        <f t="shared" si="11"/>
        <v>0</v>
      </c>
      <c r="V58" s="35">
        <f t="shared" si="11"/>
        <v>0</v>
      </c>
      <c r="W58" s="35">
        <f t="shared" si="11"/>
        <v>0</v>
      </c>
      <c r="X58" s="35">
        <f t="shared" si="11"/>
        <v>0</v>
      </c>
      <c r="Y58" s="1"/>
      <c r="Z58" s="14"/>
      <c r="AA58" s="13"/>
      <c r="AC58" s="1"/>
      <c r="AD58" s="171">
        <f t="shared" si="13"/>
        <v>0</v>
      </c>
      <c r="AE58" s="171">
        <f t="shared" si="13"/>
        <v>0</v>
      </c>
      <c r="AF58" s="171">
        <f t="shared" si="13"/>
        <v>0</v>
      </c>
      <c r="AG58" s="171">
        <f t="shared" si="13"/>
        <v>0</v>
      </c>
      <c r="AH58" s="171">
        <f t="shared" si="13"/>
        <v>0</v>
      </c>
      <c r="AI58" s="171">
        <f t="shared" si="13"/>
        <v>0</v>
      </c>
      <c r="AJ58" s="171">
        <f t="shared" si="13"/>
        <v>0</v>
      </c>
      <c r="AK58" s="171">
        <f t="shared" si="13"/>
        <v>0</v>
      </c>
      <c r="AL58" s="171">
        <f t="shared" si="13"/>
        <v>0</v>
      </c>
      <c r="AM58" s="171">
        <f t="shared" si="13"/>
        <v>0</v>
      </c>
      <c r="AN58" s="1"/>
      <c r="AO58" s="14"/>
    </row>
    <row r="59" spans="2:41" ht="12.75">
      <c r="B59" s="13"/>
      <c r="C59" s="1"/>
      <c r="D59" s="26"/>
      <c r="E59" s="26"/>
      <c r="F59" s="27"/>
      <c r="G59" s="176"/>
      <c r="H59" s="27"/>
      <c r="I59" s="1"/>
      <c r="J59" s="25">
        <f>IF(H59="geen",9999999999,H59)</f>
        <v>0</v>
      </c>
      <c r="K59" s="35">
        <f t="shared" si="4"/>
        <v>0</v>
      </c>
      <c r="L59" s="272" t="str">
        <f t="shared" si="5"/>
        <v>-</v>
      </c>
      <c r="M59" s="35">
        <f t="shared" si="6"/>
        <v>0</v>
      </c>
      <c r="N59" s="1"/>
      <c r="O59" s="35">
        <f t="shared" si="12"/>
        <v>0</v>
      </c>
      <c r="P59" s="35">
        <f t="shared" si="12"/>
        <v>0</v>
      </c>
      <c r="Q59" s="35">
        <f t="shared" si="12"/>
        <v>0</v>
      </c>
      <c r="R59" s="35">
        <f t="shared" si="12"/>
        <v>0</v>
      </c>
      <c r="S59" s="35">
        <f t="shared" si="12"/>
        <v>0</v>
      </c>
      <c r="T59" s="35">
        <f t="shared" si="11"/>
        <v>0</v>
      </c>
      <c r="U59" s="35">
        <f t="shared" si="11"/>
        <v>0</v>
      </c>
      <c r="V59" s="35">
        <f t="shared" si="11"/>
        <v>0</v>
      </c>
      <c r="W59" s="35">
        <f t="shared" si="11"/>
        <v>0</v>
      </c>
      <c r="X59" s="35">
        <f t="shared" si="11"/>
        <v>0</v>
      </c>
      <c r="Y59" s="1"/>
      <c r="Z59" s="14"/>
      <c r="AA59" s="13"/>
      <c r="AC59" s="1"/>
      <c r="AD59" s="171">
        <f t="shared" si="13"/>
        <v>0</v>
      </c>
      <c r="AE59" s="171">
        <f t="shared" si="13"/>
        <v>0</v>
      </c>
      <c r="AF59" s="171">
        <f t="shared" si="13"/>
        <v>0</v>
      </c>
      <c r="AG59" s="171">
        <f t="shared" si="13"/>
        <v>0</v>
      </c>
      <c r="AH59" s="171">
        <f t="shared" si="13"/>
        <v>0</v>
      </c>
      <c r="AI59" s="171">
        <f t="shared" si="13"/>
        <v>0</v>
      </c>
      <c r="AJ59" s="171">
        <f t="shared" si="13"/>
        <v>0</v>
      </c>
      <c r="AK59" s="171">
        <f t="shared" si="13"/>
        <v>0</v>
      </c>
      <c r="AL59" s="171">
        <f t="shared" si="13"/>
        <v>0</v>
      </c>
      <c r="AM59" s="171">
        <f t="shared" si="13"/>
        <v>0</v>
      </c>
      <c r="AN59" s="1"/>
      <c r="AO59" s="14"/>
    </row>
    <row r="60" spans="2:41" ht="12.75">
      <c r="B60" s="13"/>
      <c r="C60" s="1"/>
      <c r="D60" s="26"/>
      <c r="E60" s="26"/>
      <c r="F60" s="27"/>
      <c r="G60" s="176"/>
      <c r="H60" s="27"/>
      <c r="I60" s="1"/>
      <c r="J60" s="25">
        <f>IF(H60="geen",9999999999,H60)</f>
        <v>0</v>
      </c>
      <c r="K60" s="35">
        <f t="shared" si="4"/>
        <v>0</v>
      </c>
      <c r="L60" s="272" t="str">
        <f t="shared" si="5"/>
        <v>-</v>
      </c>
      <c r="M60" s="35">
        <f t="shared" si="6"/>
        <v>0</v>
      </c>
      <c r="N60" s="1"/>
      <c r="O60" s="35">
        <f t="shared" si="12"/>
        <v>0</v>
      </c>
      <c r="P60" s="35">
        <f t="shared" si="12"/>
        <v>0</v>
      </c>
      <c r="Q60" s="35">
        <f t="shared" si="12"/>
        <v>0</v>
      </c>
      <c r="R60" s="35">
        <f t="shared" si="12"/>
        <v>0</v>
      </c>
      <c r="S60" s="35">
        <f t="shared" si="12"/>
        <v>0</v>
      </c>
      <c r="T60" s="35">
        <f t="shared" si="11"/>
        <v>0</v>
      </c>
      <c r="U60" s="35">
        <f t="shared" si="11"/>
        <v>0</v>
      </c>
      <c r="V60" s="35">
        <f t="shared" si="11"/>
        <v>0</v>
      </c>
      <c r="W60" s="35">
        <f t="shared" si="11"/>
        <v>0</v>
      </c>
      <c r="X60" s="35">
        <f t="shared" si="11"/>
        <v>0</v>
      </c>
      <c r="Y60" s="1"/>
      <c r="Z60" s="14"/>
      <c r="AA60" s="13"/>
      <c r="AC60" s="1"/>
      <c r="AD60" s="171">
        <f aca="true" t="shared" si="14" ref="AD60:AM75">IF(AD$9=$F60,$G60,0)</f>
        <v>0</v>
      </c>
      <c r="AE60" s="171">
        <f t="shared" si="14"/>
        <v>0</v>
      </c>
      <c r="AF60" s="171">
        <f t="shared" si="14"/>
        <v>0</v>
      </c>
      <c r="AG60" s="171">
        <f t="shared" si="14"/>
        <v>0</v>
      </c>
      <c r="AH60" s="171">
        <f t="shared" si="14"/>
        <v>0</v>
      </c>
      <c r="AI60" s="171">
        <f t="shared" si="14"/>
        <v>0</v>
      </c>
      <c r="AJ60" s="171">
        <f t="shared" si="14"/>
        <v>0</v>
      </c>
      <c r="AK60" s="171">
        <f t="shared" si="14"/>
        <v>0</v>
      </c>
      <c r="AL60" s="171">
        <f t="shared" si="14"/>
        <v>0</v>
      </c>
      <c r="AM60" s="171">
        <f t="shared" si="14"/>
        <v>0</v>
      </c>
      <c r="AN60" s="1"/>
      <c r="AO60" s="14"/>
    </row>
    <row r="61" spans="2:41" ht="12.75">
      <c r="B61" s="13"/>
      <c r="C61" s="1"/>
      <c r="D61" s="26"/>
      <c r="E61" s="26"/>
      <c r="F61" s="27"/>
      <c r="G61" s="176"/>
      <c r="H61" s="27"/>
      <c r="I61" s="1"/>
      <c r="J61" s="25">
        <f t="shared" si="9"/>
        <v>0</v>
      </c>
      <c r="K61" s="35">
        <f t="shared" si="4"/>
        <v>0</v>
      </c>
      <c r="L61" s="272" t="str">
        <f t="shared" si="5"/>
        <v>-</v>
      </c>
      <c r="M61" s="35">
        <f t="shared" si="6"/>
        <v>0</v>
      </c>
      <c r="N61" s="1"/>
      <c r="O61" s="35">
        <f t="shared" si="12"/>
        <v>0</v>
      </c>
      <c r="P61" s="35">
        <f t="shared" si="12"/>
        <v>0</v>
      </c>
      <c r="Q61" s="35">
        <f t="shared" si="12"/>
        <v>0</v>
      </c>
      <c r="R61" s="35">
        <f t="shared" si="12"/>
        <v>0</v>
      </c>
      <c r="S61" s="35">
        <f t="shared" si="12"/>
        <v>0</v>
      </c>
      <c r="T61" s="35">
        <f t="shared" si="11"/>
        <v>0</v>
      </c>
      <c r="U61" s="35">
        <f t="shared" si="11"/>
        <v>0</v>
      </c>
      <c r="V61" s="35">
        <f t="shared" si="11"/>
        <v>0</v>
      </c>
      <c r="W61" s="35">
        <f t="shared" si="11"/>
        <v>0</v>
      </c>
      <c r="X61" s="35">
        <f t="shared" si="11"/>
        <v>0</v>
      </c>
      <c r="Y61" s="1"/>
      <c r="Z61" s="14"/>
      <c r="AA61" s="13"/>
      <c r="AC61" s="1"/>
      <c r="AD61" s="171">
        <f t="shared" si="14"/>
        <v>0</v>
      </c>
      <c r="AE61" s="171">
        <f t="shared" si="14"/>
        <v>0</v>
      </c>
      <c r="AF61" s="171">
        <f t="shared" si="14"/>
        <v>0</v>
      </c>
      <c r="AG61" s="171">
        <f t="shared" si="14"/>
        <v>0</v>
      </c>
      <c r="AH61" s="171">
        <f t="shared" si="14"/>
        <v>0</v>
      </c>
      <c r="AI61" s="171">
        <f t="shared" si="14"/>
        <v>0</v>
      </c>
      <c r="AJ61" s="171">
        <f t="shared" si="14"/>
        <v>0</v>
      </c>
      <c r="AK61" s="171">
        <f t="shared" si="14"/>
        <v>0</v>
      </c>
      <c r="AL61" s="171">
        <f t="shared" si="14"/>
        <v>0</v>
      </c>
      <c r="AM61" s="171">
        <f t="shared" si="14"/>
        <v>0</v>
      </c>
      <c r="AN61" s="1"/>
      <c r="AO61" s="14"/>
    </row>
    <row r="62" spans="2:41" ht="12.75">
      <c r="B62" s="13"/>
      <c r="C62" s="1"/>
      <c r="D62" s="26"/>
      <c r="E62" s="26"/>
      <c r="F62" s="27"/>
      <c r="G62" s="176"/>
      <c r="H62" s="27"/>
      <c r="I62" s="1"/>
      <c r="J62" s="25">
        <f t="shared" si="9"/>
        <v>0</v>
      </c>
      <c r="K62" s="35">
        <f t="shared" si="4"/>
        <v>0</v>
      </c>
      <c r="L62" s="272" t="str">
        <f t="shared" si="5"/>
        <v>-</v>
      </c>
      <c r="M62" s="35">
        <f t="shared" si="6"/>
        <v>0</v>
      </c>
      <c r="N62" s="1"/>
      <c r="O62" s="35">
        <f t="shared" si="12"/>
        <v>0</v>
      </c>
      <c r="P62" s="35">
        <f t="shared" si="12"/>
        <v>0</v>
      </c>
      <c r="Q62" s="35">
        <f t="shared" si="12"/>
        <v>0</v>
      </c>
      <c r="R62" s="35">
        <f t="shared" si="12"/>
        <v>0</v>
      </c>
      <c r="S62" s="35">
        <f t="shared" si="12"/>
        <v>0</v>
      </c>
      <c r="T62" s="35">
        <f t="shared" si="11"/>
        <v>0</v>
      </c>
      <c r="U62" s="35">
        <f t="shared" si="11"/>
        <v>0</v>
      </c>
      <c r="V62" s="35">
        <f t="shared" si="11"/>
        <v>0</v>
      </c>
      <c r="W62" s="35">
        <f t="shared" si="11"/>
        <v>0</v>
      </c>
      <c r="X62" s="35">
        <f t="shared" si="11"/>
        <v>0</v>
      </c>
      <c r="Y62" s="1"/>
      <c r="Z62" s="14"/>
      <c r="AA62" s="13"/>
      <c r="AC62" s="1"/>
      <c r="AD62" s="171">
        <f t="shared" si="14"/>
        <v>0</v>
      </c>
      <c r="AE62" s="171">
        <f t="shared" si="14"/>
        <v>0</v>
      </c>
      <c r="AF62" s="171">
        <f t="shared" si="14"/>
        <v>0</v>
      </c>
      <c r="AG62" s="171">
        <f t="shared" si="14"/>
        <v>0</v>
      </c>
      <c r="AH62" s="171">
        <f t="shared" si="14"/>
        <v>0</v>
      </c>
      <c r="AI62" s="171">
        <f t="shared" si="14"/>
        <v>0</v>
      </c>
      <c r="AJ62" s="171">
        <f t="shared" si="14"/>
        <v>0</v>
      </c>
      <c r="AK62" s="171">
        <f t="shared" si="14"/>
        <v>0</v>
      </c>
      <c r="AL62" s="171">
        <f t="shared" si="14"/>
        <v>0</v>
      </c>
      <c r="AM62" s="171">
        <f t="shared" si="14"/>
        <v>0</v>
      </c>
      <c r="AN62" s="1"/>
      <c r="AO62" s="14"/>
    </row>
    <row r="63" spans="2:41" ht="12.75">
      <c r="B63" s="13"/>
      <c r="C63" s="1"/>
      <c r="D63" s="26"/>
      <c r="E63" s="26"/>
      <c r="F63" s="27"/>
      <c r="G63" s="176"/>
      <c r="H63" s="27"/>
      <c r="I63" s="1"/>
      <c r="J63" s="25">
        <f t="shared" si="9"/>
        <v>0</v>
      </c>
      <c r="K63" s="35">
        <f t="shared" si="4"/>
        <v>0</v>
      </c>
      <c r="L63" s="272" t="str">
        <f t="shared" si="5"/>
        <v>-</v>
      </c>
      <c r="M63" s="35">
        <f t="shared" si="6"/>
        <v>0</v>
      </c>
      <c r="N63" s="1"/>
      <c r="O63" s="35">
        <f t="shared" si="12"/>
        <v>0</v>
      </c>
      <c r="P63" s="35">
        <f t="shared" si="12"/>
        <v>0</v>
      </c>
      <c r="Q63" s="35">
        <f t="shared" si="12"/>
        <v>0</v>
      </c>
      <c r="R63" s="35">
        <f t="shared" si="12"/>
        <v>0</v>
      </c>
      <c r="S63" s="35">
        <f t="shared" si="12"/>
        <v>0</v>
      </c>
      <c r="T63" s="35">
        <f t="shared" si="11"/>
        <v>0</v>
      </c>
      <c r="U63" s="35">
        <f t="shared" si="11"/>
        <v>0</v>
      </c>
      <c r="V63" s="35">
        <f t="shared" si="11"/>
        <v>0</v>
      </c>
      <c r="W63" s="35">
        <f t="shared" si="11"/>
        <v>0</v>
      </c>
      <c r="X63" s="35">
        <f t="shared" si="11"/>
        <v>0</v>
      </c>
      <c r="Y63" s="1"/>
      <c r="Z63" s="14"/>
      <c r="AA63" s="13"/>
      <c r="AC63" s="1"/>
      <c r="AD63" s="171">
        <f t="shared" si="14"/>
        <v>0</v>
      </c>
      <c r="AE63" s="171">
        <f t="shared" si="14"/>
        <v>0</v>
      </c>
      <c r="AF63" s="171">
        <f t="shared" si="14"/>
        <v>0</v>
      </c>
      <c r="AG63" s="171">
        <f t="shared" si="14"/>
        <v>0</v>
      </c>
      <c r="AH63" s="171">
        <f t="shared" si="14"/>
        <v>0</v>
      </c>
      <c r="AI63" s="171">
        <f t="shared" si="14"/>
        <v>0</v>
      </c>
      <c r="AJ63" s="171">
        <f t="shared" si="14"/>
        <v>0</v>
      </c>
      <c r="AK63" s="171">
        <f t="shared" si="14"/>
        <v>0</v>
      </c>
      <c r="AL63" s="171">
        <f t="shared" si="14"/>
        <v>0</v>
      </c>
      <c r="AM63" s="171">
        <f t="shared" si="14"/>
        <v>0</v>
      </c>
      <c r="AN63" s="1"/>
      <c r="AO63" s="14"/>
    </row>
    <row r="64" spans="2:41" ht="12.75">
      <c r="B64" s="13"/>
      <c r="C64" s="1"/>
      <c r="D64" s="26"/>
      <c r="E64" s="26"/>
      <c r="F64" s="27"/>
      <c r="G64" s="176"/>
      <c r="H64" s="27"/>
      <c r="I64" s="1"/>
      <c r="J64" s="25">
        <f t="shared" si="9"/>
        <v>0</v>
      </c>
      <c r="K64" s="35">
        <f t="shared" si="4"/>
        <v>0</v>
      </c>
      <c r="L64" s="272" t="str">
        <f t="shared" si="5"/>
        <v>-</v>
      </c>
      <c r="M64" s="35">
        <f t="shared" si="6"/>
        <v>0</v>
      </c>
      <c r="N64" s="1"/>
      <c r="O64" s="35">
        <f t="shared" si="12"/>
        <v>0</v>
      </c>
      <c r="P64" s="35">
        <f t="shared" si="12"/>
        <v>0</v>
      </c>
      <c r="Q64" s="35">
        <f t="shared" si="12"/>
        <v>0</v>
      </c>
      <c r="R64" s="35">
        <f t="shared" si="12"/>
        <v>0</v>
      </c>
      <c r="S64" s="35">
        <f t="shared" si="12"/>
        <v>0</v>
      </c>
      <c r="T64" s="35">
        <f t="shared" si="11"/>
        <v>0</v>
      </c>
      <c r="U64" s="35">
        <f t="shared" si="11"/>
        <v>0</v>
      </c>
      <c r="V64" s="35">
        <f t="shared" si="11"/>
        <v>0</v>
      </c>
      <c r="W64" s="35">
        <f t="shared" si="11"/>
        <v>0</v>
      </c>
      <c r="X64" s="35">
        <f t="shared" si="11"/>
        <v>0</v>
      </c>
      <c r="Y64" s="1"/>
      <c r="Z64" s="14"/>
      <c r="AA64" s="13"/>
      <c r="AC64" s="1"/>
      <c r="AD64" s="171">
        <f t="shared" si="14"/>
        <v>0</v>
      </c>
      <c r="AE64" s="171">
        <f t="shared" si="14"/>
        <v>0</v>
      </c>
      <c r="AF64" s="171">
        <f t="shared" si="14"/>
        <v>0</v>
      </c>
      <c r="AG64" s="171">
        <f t="shared" si="14"/>
        <v>0</v>
      </c>
      <c r="AH64" s="171">
        <f t="shared" si="14"/>
        <v>0</v>
      </c>
      <c r="AI64" s="171">
        <f t="shared" si="14"/>
        <v>0</v>
      </c>
      <c r="AJ64" s="171">
        <f t="shared" si="14"/>
        <v>0</v>
      </c>
      <c r="AK64" s="171">
        <f t="shared" si="14"/>
        <v>0</v>
      </c>
      <c r="AL64" s="171">
        <f t="shared" si="14"/>
        <v>0</v>
      </c>
      <c r="AM64" s="171">
        <f t="shared" si="14"/>
        <v>0</v>
      </c>
      <c r="AN64" s="1"/>
      <c r="AO64" s="14"/>
    </row>
    <row r="65" spans="2:41" ht="12.75">
      <c r="B65" s="13"/>
      <c r="C65" s="1"/>
      <c r="D65" s="26"/>
      <c r="E65" s="26"/>
      <c r="F65" s="27"/>
      <c r="G65" s="176"/>
      <c r="H65" s="27"/>
      <c r="I65" s="1"/>
      <c r="J65" s="25">
        <f t="shared" si="9"/>
        <v>0</v>
      </c>
      <c r="K65" s="35">
        <f t="shared" si="4"/>
        <v>0</v>
      </c>
      <c r="L65" s="272" t="str">
        <f t="shared" si="5"/>
        <v>-</v>
      </c>
      <c r="M65" s="35">
        <f t="shared" si="6"/>
        <v>0</v>
      </c>
      <c r="N65" s="1"/>
      <c r="O65" s="35">
        <f t="shared" si="12"/>
        <v>0</v>
      </c>
      <c r="P65" s="35">
        <f t="shared" si="12"/>
        <v>0</v>
      </c>
      <c r="Q65" s="35">
        <f t="shared" si="12"/>
        <v>0</v>
      </c>
      <c r="R65" s="35">
        <f t="shared" si="12"/>
        <v>0</v>
      </c>
      <c r="S65" s="35">
        <f t="shared" si="12"/>
        <v>0</v>
      </c>
      <c r="T65" s="35">
        <f t="shared" si="11"/>
        <v>0</v>
      </c>
      <c r="U65" s="35">
        <f t="shared" si="11"/>
        <v>0</v>
      </c>
      <c r="V65" s="35">
        <f t="shared" si="11"/>
        <v>0</v>
      </c>
      <c r="W65" s="35">
        <f t="shared" si="11"/>
        <v>0</v>
      </c>
      <c r="X65" s="35">
        <f t="shared" si="11"/>
        <v>0</v>
      </c>
      <c r="Y65" s="1"/>
      <c r="Z65" s="14"/>
      <c r="AA65" s="13"/>
      <c r="AC65" s="1"/>
      <c r="AD65" s="171">
        <f t="shared" si="14"/>
        <v>0</v>
      </c>
      <c r="AE65" s="171">
        <f t="shared" si="14"/>
        <v>0</v>
      </c>
      <c r="AF65" s="171">
        <f t="shared" si="14"/>
        <v>0</v>
      </c>
      <c r="AG65" s="171">
        <f t="shared" si="14"/>
        <v>0</v>
      </c>
      <c r="AH65" s="171">
        <f t="shared" si="14"/>
        <v>0</v>
      </c>
      <c r="AI65" s="171">
        <f t="shared" si="14"/>
        <v>0</v>
      </c>
      <c r="AJ65" s="171">
        <f t="shared" si="14"/>
        <v>0</v>
      </c>
      <c r="AK65" s="171">
        <f t="shared" si="14"/>
        <v>0</v>
      </c>
      <c r="AL65" s="171">
        <f t="shared" si="14"/>
        <v>0</v>
      </c>
      <c r="AM65" s="171">
        <f t="shared" si="14"/>
        <v>0</v>
      </c>
      <c r="AN65" s="1"/>
      <c r="AO65" s="14"/>
    </row>
    <row r="66" spans="2:41" ht="12.75">
      <c r="B66" s="13"/>
      <c r="C66" s="1"/>
      <c r="D66" s="26"/>
      <c r="E66" s="26"/>
      <c r="F66" s="27"/>
      <c r="G66" s="176"/>
      <c r="H66" s="27"/>
      <c r="I66" s="1"/>
      <c r="J66" s="25">
        <f t="shared" si="9"/>
        <v>0</v>
      </c>
      <c r="K66" s="35">
        <f t="shared" si="4"/>
        <v>0</v>
      </c>
      <c r="L66" s="272" t="str">
        <f t="shared" si="5"/>
        <v>-</v>
      </c>
      <c r="M66" s="35">
        <f t="shared" si="6"/>
        <v>0</v>
      </c>
      <c r="N66" s="1"/>
      <c r="O66" s="35">
        <f t="shared" si="12"/>
        <v>0</v>
      </c>
      <c r="P66" s="35">
        <f t="shared" si="12"/>
        <v>0</v>
      </c>
      <c r="Q66" s="35">
        <f t="shared" si="12"/>
        <v>0</v>
      </c>
      <c r="R66" s="35">
        <f t="shared" si="12"/>
        <v>0</v>
      </c>
      <c r="S66" s="35">
        <f t="shared" si="12"/>
        <v>0</v>
      </c>
      <c r="T66" s="35">
        <f t="shared" si="11"/>
        <v>0</v>
      </c>
      <c r="U66" s="35">
        <f t="shared" si="11"/>
        <v>0</v>
      </c>
      <c r="V66" s="35">
        <f t="shared" si="11"/>
        <v>0</v>
      </c>
      <c r="W66" s="35">
        <f t="shared" si="11"/>
        <v>0</v>
      </c>
      <c r="X66" s="35">
        <f t="shared" si="11"/>
        <v>0</v>
      </c>
      <c r="Y66" s="1"/>
      <c r="Z66" s="14"/>
      <c r="AA66" s="13"/>
      <c r="AC66" s="1"/>
      <c r="AD66" s="171">
        <f t="shared" si="14"/>
        <v>0</v>
      </c>
      <c r="AE66" s="171">
        <f t="shared" si="14"/>
        <v>0</v>
      </c>
      <c r="AF66" s="171">
        <f t="shared" si="14"/>
        <v>0</v>
      </c>
      <c r="AG66" s="171">
        <f t="shared" si="14"/>
        <v>0</v>
      </c>
      <c r="AH66" s="171">
        <f t="shared" si="14"/>
        <v>0</v>
      </c>
      <c r="AI66" s="171">
        <f t="shared" si="14"/>
        <v>0</v>
      </c>
      <c r="AJ66" s="171">
        <f t="shared" si="14"/>
        <v>0</v>
      </c>
      <c r="AK66" s="171">
        <f t="shared" si="14"/>
        <v>0</v>
      </c>
      <c r="AL66" s="171">
        <f t="shared" si="14"/>
        <v>0</v>
      </c>
      <c r="AM66" s="171">
        <f t="shared" si="14"/>
        <v>0</v>
      </c>
      <c r="AN66" s="1"/>
      <c r="AO66" s="14"/>
    </row>
    <row r="67" spans="2:41" ht="12.75">
      <c r="B67" s="13"/>
      <c r="C67" s="1"/>
      <c r="D67" s="26"/>
      <c r="E67" s="26"/>
      <c r="F67" s="27"/>
      <c r="G67" s="176"/>
      <c r="H67" s="27"/>
      <c r="I67" s="1"/>
      <c r="J67" s="25">
        <f t="shared" si="9"/>
        <v>0</v>
      </c>
      <c r="K67" s="35">
        <f t="shared" si="4"/>
        <v>0</v>
      </c>
      <c r="L67" s="272" t="str">
        <f t="shared" si="5"/>
        <v>-</v>
      </c>
      <c r="M67" s="35">
        <f t="shared" si="6"/>
        <v>0</v>
      </c>
      <c r="N67" s="1"/>
      <c r="O67" s="35">
        <f t="shared" si="12"/>
        <v>0</v>
      </c>
      <c r="P67" s="35">
        <f t="shared" si="12"/>
        <v>0</v>
      </c>
      <c r="Q67" s="35">
        <f t="shared" si="12"/>
        <v>0</v>
      </c>
      <c r="R67" s="35">
        <f t="shared" si="12"/>
        <v>0</v>
      </c>
      <c r="S67" s="35">
        <f t="shared" si="12"/>
        <v>0</v>
      </c>
      <c r="T67" s="35">
        <f t="shared" si="11"/>
        <v>0</v>
      </c>
      <c r="U67" s="35">
        <f t="shared" si="11"/>
        <v>0</v>
      </c>
      <c r="V67" s="35">
        <f t="shared" si="11"/>
        <v>0</v>
      </c>
      <c r="W67" s="35">
        <f t="shared" si="11"/>
        <v>0</v>
      </c>
      <c r="X67" s="35">
        <f t="shared" si="11"/>
        <v>0</v>
      </c>
      <c r="Y67" s="1"/>
      <c r="Z67" s="14"/>
      <c r="AA67" s="13"/>
      <c r="AC67" s="1"/>
      <c r="AD67" s="171">
        <f t="shared" si="14"/>
        <v>0</v>
      </c>
      <c r="AE67" s="171">
        <f t="shared" si="14"/>
        <v>0</v>
      </c>
      <c r="AF67" s="171">
        <f t="shared" si="14"/>
        <v>0</v>
      </c>
      <c r="AG67" s="171">
        <f t="shared" si="14"/>
        <v>0</v>
      </c>
      <c r="AH67" s="171">
        <f t="shared" si="14"/>
        <v>0</v>
      </c>
      <c r="AI67" s="171">
        <f t="shared" si="14"/>
        <v>0</v>
      </c>
      <c r="AJ67" s="171">
        <f t="shared" si="14"/>
        <v>0</v>
      </c>
      <c r="AK67" s="171">
        <f t="shared" si="14"/>
        <v>0</v>
      </c>
      <c r="AL67" s="171">
        <f t="shared" si="14"/>
        <v>0</v>
      </c>
      <c r="AM67" s="171">
        <f t="shared" si="14"/>
        <v>0</v>
      </c>
      <c r="AN67" s="1"/>
      <c r="AO67" s="14"/>
    </row>
    <row r="68" spans="2:41" ht="12.75">
      <c r="B68" s="13"/>
      <c r="C68" s="1"/>
      <c r="D68" s="26"/>
      <c r="E68" s="26"/>
      <c r="F68" s="27"/>
      <c r="G68" s="176"/>
      <c r="H68" s="27"/>
      <c r="I68" s="1"/>
      <c r="J68" s="25">
        <f t="shared" si="9"/>
        <v>0</v>
      </c>
      <c r="K68" s="35">
        <f t="shared" si="4"/>
        <v>0</v>
      </c>
      <c r="L68" s="272" t="str">
        <f t="shared" si="5"/>
        <v>-</v>
      </c>
      <c r="M68" s="35">
        <f t="shared" si="6"/>
        <v>0</v>
      </c>
      <c r="N68" s="1"/>
      <c r="O68" s="35">
        <f t="shared" si="12"/>
        <v>0</v>
      </c>
      <c r="P68" s="35">
        <f t="shared" si="12"/>
        <v>0</v>
      </c>
      <c r="Q68" s="35">
        <f t="shared" si="12"/>
        <v>0</v>
      </c>
      <c r="R68" s="35">
        <f t="shared" si="12"/>
        <v>0</v>
      </c>
      <c r="S68" s="35">
        <f t="shared" si="12"/>
        <v>0</v>
      </c>
      <c r="T68" s="35">
        <f t="shared" si="11"/>
        <v>0</v>
      </c>
      <c r="U68" s="35">
        <f t="shared" si="11"/>
        <v>0</v>
      </c>
      <c r="V68" s="35">
        <f t="shared" si="11"/>
        <v>0</v>
      </c>
      <c r="W68" s="35">
        <f t="shared" si="11"/>
        <v>0</v>
      </c>
      <c r="X68" s="35">
        <f t="shared" si="11"/>
        <v>0</v>
      </c>
      <c r="Y68" s="1"/>
      <c r="Z68" s="14"/>
      <c r="AA68" s="13"/>
      <c r="AC68" s="1"/>
      <c r="AD68" s="171">
        <f t="shared" si="14"/>
        <v>0</v>
      </c>
      <c r="AE68" s="171">
        <f t="shared" si="14"/>
        <v>0</v>
      </c>
      <c r="AF68" s="171">
        <f t="shared" si="14"/>
        <v>0</v>
      </c>
      <c r="AG68" s="171">
        <f t="shared" si="14"/>
        <v>0</v>
      </c>
      <c r="AH68" s="171">
        <f t="shared" si="14"/>
        <v>0</v>
      </c>
      <c r="AI68" s="171">
        <f t="shared" si="14"/>
        <v>0</v>
      </c>
      <c r="AJ68" s="171">
        <f t="shared" si="14"/>
        <v>0</v>
      </c>
      <c r="AK68" s="171">
        <f t="shared" si="14"/>
        <v>0</v>
      </c>
      <c r="AL68" s="171">
        <f t="shared" si="14"/>
        <v>0</v>
      </c>
      <c r="AM68" s="171">
        <f t="shared" si="14"/>
        <v>0</v>
      </c>
      <c r="AN68" s="1"/>
      <c r="AO68" s="14"/>
    </row>
    <row r="69" spans="2:41" ht="12.75">
      <c r="B69" s="13"/>
      <c r="C69" s="1"/>
      <c r="D69" s="26"/>
      <c r="E69" s="26"/>
      <c r="F69" s="27"/>
      <c r="G69" s="176"/>
      <c r="H69" s="27"/>
      <c r="I69" s="1"/>
      <c r="J69" s="25">
        <f t="shared" si="9"/>
        <v>0</v>
      </c>
      <c r="K69" s="35">
        <f t="shared" si="4"/>
        <v>0</v>
      </c>
      <c r="L69" s="272" t="str">
        <f t="shared" si="5"/>
        <v>-</v>
      </c>
      <c r="M69" s="35">
        <f t="shared" si="6"/>
        <v>0</v>
      </c>
      <c r="N69" s="1"/>
      <c r="O69" s="35">
        <f t="shared" si="12"/>
        <v>0</v>
      </c>
      <c r="P69" s="35">
        <f t="shared" si="12"/>
        <v>0</v>
      </c>
      <c r="Q69" s="35">
        <f t="shared" si="12"/>
        <v>0</v>
      </c>
      <c r="R69" s="35">
        <f t="shared" si="12"/>
        <v>0</v>
      </c>
      <c r="S69" s="35">
        <f t="shared" si="12"/>
        <v>0</v>
      </c>
      <c r="T69" s="35">
        <f t="shared" si="12"/>
        <v>0</v>
      </c>
      <c r="U69" s="35">
        <f t="shared" si="12"/>
        <v>0</v>
      </c>
      <c r="V69" s="35">
        <f t="shared" si="12"/>
        <v>0</v>
      </c>
      <c r="W69" s="35">
        <f t="shared" si="12"/>
        <v>0</v>
      </c>
      <c r="X69" s="35">
        <f t="shared" si="12"/>
        <v>0</v>
      </c>
      <c r="Y69" s="1"/>
      <c r="Z69" s="14"/>
      <c r="AA69" s="13"/>
      <c r="AC69" s="1"/>
      <c r="AD69" s="171">
        <f t="shared" si="14"/>
        <v>0</v>
      </c>
      <c r="AE69" s="171">
        <f t="shared" si="14"/>
        <v>0</v>
      </c>
      <c r="AF69" s="171">
        <f t="shared" si="14"/>
        <v>0</v>
      </c>
      <c r="AG69" s="171">
        <f t="shared" si="14"/>
        <v>0</v>
      </c>
      <c r="AH69" s="171">
        <f t="shared" si="14"/>
        <v>0</v>
      </c>
      <c r="AI69" s="171">
        <f t="shared" si="14"/>
        <v>0</v>
      </c>
      <c r="AJ69" s="171">
        <f t="shared" si="14"/>
        <v>0</v>
      </c>
      <c r="AK69" s="171">
        <f t="shared" si="14"/>
        <v>0</v>
      </c>
      <c r="AL69" s="171">
        <f t="shared" si="14"/>
        <v>0</v>
      </c>
      <c r="AM69" s="171">
        <f t="shared" si="14"/>
        <v>0</v>
      </c>
      <c r="AN69" s="1"/>
      <c r="AO69" s="14"/>
    </row>
    <row r="70" spans="2:41" ht="12.75">
      <c r="B70" s="13"/>
      <c r="C70" s="1"/>
      <c r="D70" s="26"/>
      <c r="E70" s="26"/>
      <c r="F70" s="27"/>
      <c r="G70" s="176"/>
      <c r="H70" s="27"/>
      <c r="I70" s="1"/>
      <c r="J70" s="25">
        <f t="shared" si="9"/>
        <v>0</v>
      </c>
      <c r="K70" s="35">
        <f t="shared" si="4"/>
        <v>0</v>
      </c>
      <c r="L70" s="272" t="str">
        <f t="shared" si="5"/>
        <v>-</v>
      </c>
      <c r="M70" s="35">
        <f t="shared" si="6"/>
        <v>0</v>
      </c>
      <c r="N70" s="1"/>
      <c r="O70" s="35">
        <f aca="true" t="shared" si="15" ref="O70:X79">(IF(O$9&lt;$F70,0,IF($L70&lt;=O$9-1,0,$K70)))</f>
        <v>0</v>
      </c>
      <c r="P70" s="35">
        <f t="shared" si="15"/>
        <v>0</v>
      </c>
      <c r="Q70" s="35">
        <f t="shared" si="15"/>
        <v>0</v>
      </c>
      <c r="R70" s="35">
        <f t="shared" si="15"/>
        <v>0</v>
      </c>
      <c r="S70" s="35">
        <f t="shared" si="15"/>
        <v>0</v>
      </c>
      <c r="T70" s="35">
        <f t="shared" si="15"/>
        <v>0</v>
      </c>
      <c r="U70" s="35">
        <f t="shared" si="15"/>
        <v>0</v>
      </c>
      <c r="V70" s="35">
        <f t="shared" si="15"/>
        <v>0</v>
      </c>
      <c r="W70" s="35">
        <f t="shared" si="15"/>
        <v>0</v>
      </c>
      <c r="X70" s="35">
        <f t="shared" si="15"/>
        <v>0</v>
      </c>
      <c r="Y70" s="1"/>
      <c r="Z70" s="14"/>
      <c r="AA70" s="13"/>
      <c r="AC70" s="1"/>
      <c r="AD70" s="171">
        <f t="shared" si="14"/>
        <v>0</v>
      </c>
      <c r="AE70" s="171">
        <f t="shared" si="14"/>
        <v>0</v>
      </c>
      <c r="AF70" s="171">
        <f t="shared" si="14"/>
        <v>0</v>
      </c>
      <c r="AG70" s="171">
        <f t="shared" si="14"/>
        <v>0</v>
      </c>
      <c r="AH70" s="171">
        <f t="shared" si="14"/>
        <v>0</v>
      </c>
      <c r="AI70" s="171">
        <f t="shared" si="14"/>
        <v>0</v>
      </c>
      <c r="AJ70" s="171">
        <f t="shared" si="14"/>
        <v>0</v>
      </c>
      <c r="AK70" s="171">
        <f t="shared" si="14"/>
        <v>0</v>
      </c>
      <c r="AL70" s="171">
        <f t="shared" si="14"/>
        <v>0</v>
      </c>
      <c r="AM70" s="171">
        <f t="shared" si="14"/>
        <v>0</v>
      </c>
      <c r="AN70" s="1"/>
      <c r="AO70" s="14"/>
    </row>
    <row r="71" spans="2:41" ht="12.75">
      <c r="B71" s="13"/>
      <c r="C71" s="1"/>
      <c r="D71" s="26"/>
      <c r="E71" s="26"/>
      <c r="F71" s="27"/>
      <c r="G71" s="176"/>
      <c r="H71" s="27"/>
      <c r="I71" s="1"/>
      <c r="J71" s="25">
        <f t="shared" si="9"/>
        <v>0</v>
      </c>
      <c r="K71" s="35">
        <f t="shared" si="4"/>
        <v>0</v>
      </c>
      <c r="L71" s="272" t="str">
        <f t="shared" si="5"/>
        <v>-</v>
      </c>
      <c r="M71" s="35">
        <f t="shared" si="6"/>
        <v>0</v>
      </c>
      <c r="N71" s="1"/>
      <c r="O71" s="35">
        <f t="shared" si="15"/>
        <v>0</v>
      </c>
      <c r="P71" s="35">
        <f t="shared" si="15"/>
        <v>0</v>
      </c>
      <c r="Q71" s="35">
        <f t="shared" si="15"/>
        <v>0</v>
      </c>
      <c r="R71" s="35">
        <f t="shared" si="15"/>
        <v>0</v>
      </c>
      <c r="S71" s="35">
        <f t="shared" si="15"/>
        <v>0</v>
      </c>
      <c r="T71" s="35">
        <f t="shared" si="15"/>
        <v>0</v>
      </c>
      <c r="U71" s="35">
        <f t="shared" si="15"/>
        <v>0</v>
      </c>
      <c r="V71" s="35">
        <f t="shared" si="15"/>
        <v>0</v>
      </c>
      <c r="W71" s="35">
        <f t="shared" si="15"/>
        <v>0</v>
      </c>
      <c r="X71" s="35">
        <f t="shared" si="15"/>
        <v>0</v>
      </c>
      <c r="Y71" s="1"/>
      <c r="Z71" s="14"/>
      <c r="AA71" s="13"/>
      <c r="AC71" s="1"/>
      <c r="AD71" s="171">
        <f t="shared" si="14"/>
        <v>0</v>
      </c>
      <c r="AE71" s="171">
        <f t="shared" si="14"/>
        <v>0</v>
      </c>
      <c r="AF71" s="171">
        <f t="shared" si="14"/>
        <v>0</v>
      </c>
      <c r="AG71" s="171">
        <f t="shared" si="14"/>
        <v>0</v>
      </c>
      <c r="AH71" s="171">
        <f t="shared" si="14"/>
        <v>0</v>
      </c>
      <c r="AI71" s="171">
        <f t="shared" si="14"/>
        <v>0</v>
      </c>
      <c r="AJ71" s="171">
        <f t="shared" si="14"/>
        <v>0</v>
      </c>
      <c r="AK71" s="171">
        <f t="shared" si="14"/>
        <v>0</v>
      </c>
      <c r="AL71" s="171">
        <f t="shared" si="14"/>
        <v>0</v>
      </c>
      <c r="AM71" s="171">
        <f t="shared" si="14"/>
        <v>0</v>
      </c>
      <c r="AN71" s="1"/>
      <c r="AO71" s="14"/>
    </row>
    <row r="72" spans="2:41" ht="12.75">
      <c r="B72" s="13"/>
      <c r="C72" s="1"/>
      <c r="D72" s="26"/>
      <c r="E72" s="26"/>
      <c r="F72" s="27"/>
      <c r="G72" s="176"/>
      <c r="H72" s="27"/>
      <c r="I72" s="1"/>
      <c r="J72" s="25">
        <f t="shared" si="9"/>
        <v>0</v>
      </c>
      <c r="K72" s="35">
        <f t="shared" si="4"/>
        <v>0</v>
      </c>
      <c r="L72" s="272" t="str">
        <f t="shared" si="5"/>
        <v>-</v>
      </c>
      <c r="M72" s="35">
        <f t="shared" si="6"/>
        <v>0</v>
      </c>
      <c r="N72" s="1"/>
      <c r="O72" s="35">
        <f t="shared" si="15"/>
        <v>0</v>
      </c>
      <c r="P72" s="35">
        <f t="shared" si="15"/>
        <v>0</v>
      </c>
      <c r="Q72" s="35">
        <f t="shared" si="15"/>
        <v>0</v>
      </c>
      <c r="R72" s="35">
        <f t="shared" si="15"/>
        <v>0</v>
      </c>
      <c r="S72" s="35">
        <f t="shared" si="15"/>
        <v>0</v>
      </c>
      <c r="T72" s="35">
        <f t="shared" si="15"/>
        <v>0</v>
      </c>
      <c r="U72" s="35">
        <f t="shared" si="15"/>
        <v>0</v>
      </c>
      <c r="V72" s="35">
        <f t="shared" si="15"/>
        <v>0</v>
      </c>
      <c r="W72" s="35">
        <f t="shared" si="15"/>
        <v>0</v>
      </c>
      <c r="X72" s="35">
        <f t="shared" si="15"/>
        <v>0</v>
      </c>
      <c r="Y72" s="1"/>
      <c r="Z72" s="14"/>
      <c r="AA72" s="13"/>
      <c r="AC72" s="1"/>
      <c r="AD72" s="171">
        <f t="shared" si="14"/>
        <v>0</v>
      </c>
      <c r="AE72" s="171">
        <f t="shared" si="14"/>
        <v>0</v>
      </c>
      <c r="AF72" s="171">
        <f t="shared" si="14"/>
        <v>0</v>
      </c>
      <c r="AG72" s="171">
        <f t="shared" si="14"/>
        <v>0</v>
      </c>
      <c r="AH72" s="171">
        <f t="shared" si="14"/>
        <v>0</v>
      </c>
      <c r="AI72" s="171">
        <f t="shared" si="14"/>
        <v>0</v>
      </c>
      <c r="AJ72" s="171">
        <f t="shared" si="14"/>
        <v>0</v>
      </c>
      <c r="AK72" s="171">
        <f t="shared" si="14"/>
        <v>0</v>
      </c>
      <c r="AL72" s="171">
        <f t="shared" si="14"/>
        <v>0</v>
      </c>
      <c r="AM72" s="171">
        <f t="shared" si="14"/>
        <v>0</v>
      </c>
      <c r="AN72" s="1"/>
      <c r="AO72" s="14"/>
    </row>
    <row r="73" spans="2:41" ht="12.75">
      <c r="B73" s="13"/>
      <c r="C73" s="1"/>
      <c r="D73" s="26"/>
      <c r="E73" s="26"/>
      <c r="F73" s="27"/>
      <c r="G73" s="176"/>
      <c r="H73" s="27"/>
      <c r="I73" s="1"/>
      <c r="J73" s="25">
        <f t="shared" si="9"/>
        <v>0</v>
      </c>
      <c r="K73" s="35">
        <f t="shared" si="4"/>
        <v>0</v>
      </c>
      <c r="L73" s="272" t="str">
        <f t="shared" si="5"/>
        <v>-</v>
      </c>
      <c r="M73" s="35">
        <f t="shared" si="6"/>
        <v>0</v>
      </c>
      <c r="N73" s="1"/>
      <c r="O73" s="35">
        <f t="shared" si="15"/>
        <v>0</v>
      </c>
      <c r="P73" s="35">
        <f t="shared" si="15"/>
        <v>0</v>
      </c>
      <c r="Q73" s="35">
        <f t="shared" si="15"/>
        <v>0</v>
      </c>
      <c r="R73" s="35">
        <f t="shared" si="15"/>
        <v>0</v>
      </c>
      <c r="S73" s="35">
        <f t="shared" si="15"/>
        <v>0</v>
      </c>
      <c r="T73" s="35">
        <f t="shared" si="15"/>
        <v>0</v>
      </c>
      <c r="U73" s="35">
        <f t="shared" si="15"/>
        <v>0</v>
      </c>
      <c r="V73" s="35">
        <f t="shared" si="15"/>
        <v>0</v>
      </c>
      <c r="W73" s="35">
        <f t="shared" si="15"/>
        <v>0</v>
      </c>
      <c r="X73" s="35">
        <f t="shared" si="15"/>
        <v>0</v>
      </c>
      <c r="Y73" s="1"/>
      <c r="Z73" s="14"/>
      <c r="AA73" s="13"/>
      <c r="AC73" s="1"/>
      <c r="AD73" s="171">
        <f t="shared" si="14"/>
        <v>0</v>
      </c>
      <c r="AE73" s="171">
        <f t="shared" si="14"/>
        <v>0</v>
      </c>
      <c r="AF73" s="171">
        <f t="shared" si="14"/>
        <v>0</v>
      </c>
      <c r="AG73" s="171">
        <f t="shared" si="14"/>
        <v>0</v>
      </c>
      <c r="AH73" s="171">
        <f t="shared" si="14"/>
        <v>0</v>
      </c>
      <c r="AI73" s="171">
        <f t="shared" si="14"/>
        <v>0</v>
      </c>
      <c r="AJ73" s="171">
        <f t="shared" si="14"/>
        <v>0</v>
      </c>
      <c r="AK73" s="171">
        <f t="shared" si="14"/>
        <v>0</v>
      </c>
      <c r="AL73" s="171">
        <f t="shared" si="14"/>
        <v>0</v>
      </c>
      <c r="AM73" s="171">
        <f t="shared" si="14"/>
        <v>0</v>
      </c>
      <c r="AN73" s="1"/>
      <c r="AO73" s="14"/>
    </row>
    <row r="74" spans="2:41" ht="12.75">
      <c r="B74" s="13"/>
      <c r="C74" s="1"/>
      <c r="D74" s="26"/>
      <c r="E74" s="26"/>
      <c r="F74" s="27"/>
      <c r="G74" s="176"/>
      <c r="H74" s="27"/>
      <c r="I74" s="1"/>
      <c r="J74" s="25">
        <f t="shared" si="9"/>
        <v>0</v>
      </c>
      <c r="K74" s="35">
        <f t="shared" si="4"/>
        <v>0</v>
      </c>
      <c r="L74" s="272" t="str">
        <f t="shared" si="5"/>
        <v>-</v>
      </c>
      <c r="M74" s="35">
        <f t="shared" si="6"/>
        <v>0</v>
      </c>
      <c r="N74" s="1"/>
      <c r="O74" s="35">
        <f t="shared" si="15"/>
        <v>0</v>
      </c>
      <c r="P74" s="35">
        <f t="shared" si="15"/>
        <v>0</v>
      </c>
      <c r="Q74" s="35">
        <f t="shared" si="15"/>
        <v>0</v>
      </c>
      <c r="R74" s="35">
        <f t="shared" si="15"/>
        <v>0</v>
      </c>
      <c r="S74" s="35">
        <f t="shared" si="15"/>
        <v>0</v>
      </c>
      <c r="T74" s="35">
        <f t="shared" si="15"/>
        <v>0</v>
      </c>
      <c r="U74" s="35">
        <f t="shared" si="15"/>
        <v>0</v>
      </c>
      <c r="V74" s="35">
        <f t="shared" si="15"/>
        <v>0</v>
      </c>
      <c r="W74" s="35">
        <f t="shared" si="15"/>
        <v>0</v>
      </c>
      <c r="X74" s="35">
        <f t="shared" si="15"/>
        <v>0</v>
      </c>
      <c r="Y74" s="1"/>
      <c r="Z74" s="14"/>
      <c r="AA74" s="13"/>
      <c r="AC74" s="1"/>
      <c r="AD74" s="171">
        <f t="shared" si="14"/>
        <v>0</v>
      </c>
      <c r="AE74" s="171">
        <f t="shared" si="14"/>
        <v>0</v>
      </c>
      <c r="AF74" s="171">
        <f t="shared" si="14"/>
        <v>0</v>
      </c>
      <c r="AG74" s="171">
        <f t="shared" si="14"/>
        <v>0</v>
      </c>
      <c r="AH74" s="171">
        <f t="shared" si="14"/>
        <v>0</v>
      </c>
      <c r="AI74" s="171">
        <f t="shared" si="14"/>
        <v>0</v>
      </c>
      <c r="AJ74" s="171">
        <f t="shared" si="14"/>
        <v>0</v>
      </c>
      <c r="AK74" s="171">
        <f t="shared" si="14"/>
        <v>0</v>
      </c>
      <c r="AL74" s="171">
        <f t="shared" si="14"/>
        <v>0</v>
      </c>
      <c r="AM74" s="171">
        <f t="shared" si="14"/>
        <v>0</v>
      </c>
      <c r="AN74" s="1"/>
      <c r="AO74" s="14"/>
    </row>
    <row r="75" spans="2:41" ht="12.75">
      <c r="B75" s="13"/>
      <c r="C75" s="1"/>
      <c r="D75" s="26"/>
      <c r="E75" s="26"/>
      <c r="F75" s="27"/>
      <c r="G75" s="176"/>
      <c r="H75" s="27"/>
      <c r="I75" s="1"/>
      <c r="J75" s="25">
        <f t="shared" si="9"/>
        <v>0</v>
      </c>
      <c r="K75" s="35">
        <f t="shared" si="4"/>
        <v>0</v>
      </c>
      <c r="L75" s="272" t="str">
        <f t="shared" si="5"/>
        <v>-</v>
      </c>
      <c r="M75" s="35">
        <f t="shared" si="6"/>
        <v>0</v>
      </c>
      <c r="N75" s="1"/>
      <c r="O75" s="35">
        <f t="shared" si="15"/>
        <v>0</v>
      </c>
      <c r="P75" s="35">
        <f t="shared" si="15"/>
        <v>0</v>
      </c>
      <c r="Q75" s="35">
        <f t="shared" si="15"/>
        <v>0</v>
      </c>
      <c r="R75" s="35">
        <f t="shared" si="15"/>
        <v>0</v>
      </c>
      <c r="S75" s="35">
        <f t="shared" si="15"/>
        <v>0</v>
      </c>
      <c r="T75" s="35">
        <f t="shared" si="15"/>
        <v>0</v>
      </c>
      <c r="U75" s="35">
        <f t="shared" si="15"/>
        <v>0</v>
      </c>
      <c r="V75" s="35">
        <f t="shared" si="15"/>
        <v>0</v>
      </c>
      <c r="W75" s="35">
        <f t="shared" si="15"/>
        <v>0</v>
      </c>
      <c r="X75" s="35">
        <f t="shared" si="15"/>
        <v>0</v>
      </c>
      <c r="Y75" s="1"/>
      <c r="Z75" s="14"/>
      <c r="AA75" s="13"/>
      <c r="AC75" s="1"/>
      <c r="AD75" s="171">
        <f t="shared" si="14"/>
        <v>0</v>
      </c>
      <c r="AE75" s="171">
        <f t="shared" si="14"/>
        <v>0</v>
      </c>
      <c r="AF75" s="171">
        <f t="shared" si="14"/>
        <v>0</v>
      </c>
      <c r="AG75" s="171">
        <f t="shared" si="14"/>
        <v>0</v>
      </c>
      <c r="AH75" s="171">
        <f t="shared" si="14"/>
        <v>0</v>
      </c>
      <c r="AI75" s="171">
        <f t="shared" si="14"/>
        <v>0</v>
      </c>
      <c r="AJ75" s="171">
        <f t="shared" si="14"/>
        <v>0</v>
      </c>
      <c r="AK75" s="171">
        <f t="shared" si="14"/>
        <v>0</v>
      </c>
      <c r="AL75" s="171">
        <f t="shared" si="14"/>
        <v>0</v>
      </c>
      <c r="AM75" s="171">
        <f t="shared" si="14"/>
        <v>0</v>
      </c>
      <c r="AN75" s="1"/>
      <c r="AO75" s="14"/>
    </row>
    <row r="76" spans="2:41" ht="12.75">
      <c r="B76" s="13"/>
      <c r="C76" s="1"/>
      <c r="D76" s="26"/>
      <c r="E76" s="26"/>
      <c r="F76" s="27"/>
      <c r="G76" s="176"/>
      <c r="H76" s="27"/>
      <c r="I76" s="1"/>
      <c r="J76" s="25">
        <f t="shared" si="9"/>
        <v>0</v>
      </c>
      <c r="K76" s="35">
        <f>IF(G76=0,0,(G76/J76))</f>
        <v>0</v>
      </c>
      <c r="L76" s="272" t="str">
        <f>IF(J76=0,"-",(IF(J76&gt;3000,"-",F76+J76-1)))</f>
        <v>-</v>
      </c>
      <c r="M76" s="35">
        <f>IF(H76="geen",IF(F76&lt;$O$9,G76,0),IF(F76&gt;=$O$9,0,IF((G76-($O$9-F76)*K76)&lt;0,0,G76-($O$9-F76)*K76)))</f>
        <v>0</v>
      </c>
      <c r="N76" s="1"/>
      <c r="O76" s="35">
        <f t="shared" si="15"/>
        <v>0</v>
      </c>
      <c r="P76" s="35">
        <f t="shared" si="15"/>
        <v>0</v>
      </c>
      <c r="Q76" s="35">
        <f t="shared" si="15"/>
        <v>0</v>
      </c>
      <c r="R76" s="35">
        <f t="shared" si="15"/>
        <v>0</v>
      </c>
      <c r="S76" s="35">
        <f t="shared" si="15"/>
        <v>0</v>
      </c>
      <c r="T76" s="35">
        <f t="shared" si="15"/>
        <v>0</v>
      </c>
      <c r="U76" s="35">
        <f t="shared" si="15"/>
        <v>0</v>
      </c>
      <c r="V76" s="35">
        <f t="shared" si="15"/>
        <v>0</v>
      </c>
      <c r="W76" s="35">
        <f t="shared" si="15"/>
        <v>0</v>
      </c>
      <c r="X76" s="35">
        <f t="shared" si="15"/>
        <v>0</v>
      </c>
      <c r="Y76" s="1"/>
      <c r="Z76" s="14"/>
      <c r="AA76" s="13"/>
      <c r="AC76" s="1"/>
      <c r="AD76" s="171">
        <f aca="true" t="shared" si="16" ref="AD76:AM79">IF(AD$9=$F76,$G76,0)</f>
        <v>0</v>
      </c>
      <c r="AE76" s="171">
        <f t="shared" si="16"/>
        <v>0</v>
      </c>
      <c r="AF76" s="171">
        <f t="shared" si="16"/>
        <v>0</v>
      </c>
      <c r="AG76" s="171">
        <f t="shared" si="16"/>
        <v>0</v>
      </c>
      <c r="AH76" s="171">
        <f t="shared" si="16"/>
        <v>0</v>
      </c>
      <c r="AI76" s="171">
        <f t="shared" si="16"/>
        <v>0</v>
      </c>
      <c r="AJ76" s="171">
        <f t="shared" si="16"/>
        <v>0</v>
      </c>
      <c r="AK76" s="171">
        <f t="shared" si="16"/>
        <v>0</v>
      </c>
      <c r="AL76" s="171">
        <f t="shared" si="16"/>
        <v>0</v>
      </c>
      <c r="AM76" s="171">
        <f t="shared" si="16"/>
        <v>0</v>
      </c>
      <c r="AN76" s="1"/>
      <c r="AO76" s="14"/>
    </row>
    <row r="77" spans="2:41" ht="12.75">
      <c r="B77" s="13"/>
      <c r="C77" s="1"/>
      <c r="D77" s="26"/>
      <c r="E77" s="26"/>
      <c r="F77" s="27"/>
      <c r="G77" s="176"/>
      <c r="H77" s="27"/>
      <c r="I77" s="1"/>
      <c r="J77" s="25">
        <f t="shared" si="9"/>
        <v>0</v>
      </c>
      <c r="K77" s="35">
        <f>IF(G77=0,0,(G77/J77))</f>
        <v>0</v>
      </c>
      <c r="L77" s="272" t="str">
        <f>IF(J77=0,"-",(IF(J77&gt;3000,"-",F77+J77-1)))</f>
        <v>-</v>
      </c>
      <c r="M77" s="35">
        <f>IF(H77="geen",IF(F77&lt;$O$9,G77,0),IF(F77&gt;=$O$9,0,IF((G77-($O$9-F77)*K77)&lt;0,0,G77-($O$9-F77)*K77)))</f>
        <v>0</v>
      </c>
      <c r="N77" s="1"/>
      <c r="O77" s="35">
        <f t="shared" si="15"/>
        <v>0</v>
      </c>
      <c r="P77" s="35">
        <f t="shared" si="15"/>
        <v>0</v>
      </c>
      <c r="Q77" s="35">
        <f t="shared" si="15"/>
        <v>0</v>
      </c>
      <c r="R77" s="35">
        <f t="shared" si="15"/>
        <v>0</v>
      </c>
      <c r="S77" s="35">
        <f t="shared" si="15"/>
        <v>0</v>
      </c>
      <c r="T77" s="35">
        <f t="shared" si="15"/>
        <v>0</v>
      </c>
      <c r="U77" s="35">
        <f t="shared" si="15"/>
        <v>0</v>
      </c>
      <c r="V77" s="35">
        <f t="shared" si="15"/>
        <v>0</v>
      </c>
      <c r="W77" s="35">
        <f t="shared" si="15"/>
        <v>0</v>
      </c>
      <c r="X77" s="35">
        <f t="shared" si="15"/>
        <v>0</v>
      </c>
      <c r="Y77" s="1"/>
      <c r="Z77" s="14"/>
      <c r="AA77" s="13"/>
      <c r="AC77" s="1"/>
      <c r="AD77" s="171">
        <f t="shared" si="16"/>
        <v>0</v>
      </c>
      <c r="AE77" s="171">
        <f t="shared" si="16"/>
        <v>0</v>
      </c>
      <c r="AF77" s="171">
        <f t="shared" si="16"/>
        <v>0</v>
      </c>
      <c r="AG77" s="171">
        <f t="shared" si="16"/>
        <v>0</v>
      </c>
      <c r="AH77" s="171">
        <f t="shared" si="16"/>
        <v>0</v>
      </c>
      <c r="AI77" s="171">
        <f t="shared" si="16"/>
        <v>0</v>
      </c>
      <c r="AJ77" s="171">
        <f t="shared" si="16"/>
        <v>0</v>
      </c>
      <c r="AK77" s="171">
        <f t="shared" si="16"/>
        <v>0</v>
      </c>
      <c r="AL77" s="171">
        <f t="shared" si="16"/>
        <v>0</v>
      </c>
      <c r="AM77" s="171">
        <f t="shared" si="16"/>
        <v>0</v>
      </c>
      <c r="AN77" s="1"/>
      <c r="AO77" s="14"/>
    </row>
    <row r="78" spans="2:41" ht="12.75">
      <c r="B78" s="13"/>
      <c r="C78" s="1"/>
      <c r="D78" s="26"/>
      <c r="E78" s="26"/>
      <c r="F78" s="27"/>
      <c r="G78" s="176"/>
      <c r="H78" s="27"/>
      <c r="I78" s="1"/>
      <c r="J78" s="25">
        <f t="shared" si="9"/>
        <v>0</v>
      </c>
      <c r="K78" s="35">
        <f>IF(G78=0,0,(G78/J78))</f>
        <v>0</v>
      </c>
      <c r="L78" s="272" t="str">
        <f>IF(J78=0,"-",(IF(J78&gt;3000,"-",F78+J78-1)))</f>
        <v>-</v>
      </c>
      <c r="M78" s="35">
        <f>IF(H78="geen",IF(F78&lt;$O$9,G78,0),IF(F78&gt;=$O$9,0,IF((G78-($O$9-F78)*K78)&lt;0,0,G78-($O$9-F78)*K78)))</f>
        <v>0</v>
      </c>
      <c r="N78" s="1"/>
      <c r="O78" s="35">
        <f t="shared" si="15"/>
        <v>0</v>
      </c>
      <c r="P78" s="35">
        <f t="shared" si="15"/>
        <v>0</v>
      </c>
      <c r="Q78" s="35">
        <f t="shared" si="15"/>
        <v>0</v>
      </c>
      <c r="R78" s="35">
        <f t="shared" si="15"/>
        <v>0</v>
      </c>
      <c r="S78" s="35">
        <f t="shared" si="15"/>
        <v>0</v>
      </c>
      <c r="T78" s="35">
        <f t="shared" si="15"/>
        <v>0</v>
      </c>
      <c r="U78" s="35">
        <f t="shared" si="15"/>
        <v>0</v>
      </c>
      <c r="V78" s="35">
        <f t="shared" si="15"/>
        <v>0</v>
      </c>
      <c r="W78" s="35">
        <f t="shared" si="15"/>
        <v>0</v>
      </c>
      <c r="X78" s="35">
        <f t="shared" si="15"/>
        <v>0</v>
      </c>
      <c r="Y78" s="1"/>
      <c r="Z78" s="14"/>
      <c r="AA78" s="13"/>
      <c r="AC78" s="1"/>
      <c r="AD78" s="171">
        <f t="shared" si="16"/>
        <v>0</v>
      </c>
      <c r="AE78" s="171">
        <f t="shared" si="16"/>
        <v>0</v>
      </c>
      <c r="AF78" s="171">
        <f t="shared" si="16"/>
        <v>0</v>
      </c>
      <c r="AG78" s="171">
        <f t="shared" si="16"/>
        <v>0</v>
      </c>
      <c r="AH78" s="171">
        <f t="shared" si="16"/>
        <v>0</v>
      </c>
      <c r="AI78" s="171">
        <f t="shared" si="16"/>
        <v>0</v>
      </c>
      <c r="AJ78" s="171">
        <f t="shared" si="16"/>
        <v>0</v>
      </c>
      <c r="AK78" s="171">
        <f t="shared" si="16"/>
        <v>0</v>
      </c>
      <c r="AL78" s="171">
        <f t="shared" si="16"/>
        <v>0</v>
      </c>
      <c r="AM78" s="171">
        <f t="shared" si="16"/>
        <v>0</v>
      </c>
      <c r="AN78" s="1"/>
      <c r="AO78" s="14"/>
    </row>
    <row r="79" spans="2:41" ht="12.75">
      <c r="B79" s="13"/>
      <c r="C79" s="1"/>
      <c r="D79" s="26"/>
      <c r="E79" s="26"/>
      <c r="F79" s="27"/>
      <c r="G79" s="176"/>
      <c r="H79" s="27"/>
      <c r="I79" s="1"/>
      <c r="J79" s="25">
        <f t="shared" si="9"/>
        <v>0</v>
      </c>
      <c r="K79" s="35">
        <f>IF(G79=0,0,(G79/J79))</f>
        <v>0</v>
      </c>
      <c r="L79" s="272" t="str">
        <f>IF(J79=0,"-",(IF(J79&gt;3000,"-",F79+J79-1)))</f>
        <v>-</v>
      </c>
      <c r="M79" s="35">
        <f>IF(H79="geen",IF(F79&lt;$O$9,G79,0),IF(F79&gt;=$O$9,0,IF((G79-($O$9-F79)*K79)&lt;0,0,G79-($O$9-F79)*K79)))</f>
        <v>0</v>
      </c>
      <c r="N79" s="1"/>
      <c r="O79" s="35">
        <f t="shared" si="15"/>
        <v>0</v>
      </c>
      <c r="P79" s="35">
        <f t="shared" si="15"/>
        <v>0</v>
      </c>
      <c r="Q79" s="35">
        <f t="shared" si="15"/>
        <v>0</v>
      </c>
      <c r="R79" s="35">
        <f t="shared" si="15"/>
        <v>0</v>
      </c>
      <c r="S79" s="35">
        <f t="shared" si="15"/>
        <v>0</v>
      </c>
      <c r="T79" s="35">
        <f t="shared" si="15"/>
        <v>0</v>
      </c>
      <c r="U79" s="35">
        <f t="shared" si="15"/>
        <v>0</v>
      </c>
      <c r="V79" s="35">
        <f t="shared" si="15"/>
        <v>0</v>
      </c>
      <c r="W79" s="35">
        <f t="shared" si="15"/>
        <v>0</v>
      </c>
      <c r="X79" s="35">
        <f t="shared" si="15"/>
        <v>0</v>
      </c>
      <c r="Y79" s="1"/>
      <c r="Z79" s="14"/>
      <c r="AA79" s="13"/>
      <c r="AC79" s="1"/>
      <c r="AD79" s="171">
        <f t="shared" si="16"/>
        <v>0</v>
      </c>
      <c r="AE79" s="171">
        <f t="shared" si="16"/>
        <v>0</v>
      </c>
      <c r="AF79" s="171">
        <f t="shared" si="16"/>
        <v>0</v>
      </c>
      <c r="AG79" s="171">
        <f t="shared" si="16"/>
        <v>0</v>
      </c>
      <c r="AH79" s="171">
        <f t="shared" si="16"/>
        <v>0</v>
      </c>
      <c r="AI79" s="171">
        <f t="shared" si="16"/>
        <v>0</v>
      </c>
      <c r="AJ79" s="171">
        <f t="shared" si="16"/>
        <v>0</v>
      </c>
      <c r="AK79" s="171">
        <f t="shared" si="16"/>
        <v>0</v>
      </c>
      <c r="AL79" s="171">
        <f t="shared" si="16"/>
        <v>0</v>
      </c>
      <c r="AM79" s="171">
        <f t="shared" si="16"/>
        <v>0</v>
      </c>
      <c r="AN79" s="1"/>
      <c r="AO79" s="14"/>
    </row>
    <row r="80" spans="2:41" ht="12.75">
      <c r="B80" s="13"/>
      <c r="C80" s="1"/>
      <c r="D80" s="26"/>
      <c r="E80" s="26"/>
      <c r="F80" s="27"/>
      <c r="G80" s="176"/>
      <c r="H80" s="27"/>
      <c r="I80" s="1"/>
      <c r="J80" s="25">
        <f aca="true" t="shared" si="17" ref="J80:J85">IF(H80="geen",9999999999,H80)</f>
        <v>0</v>
      </c>
      <c r="K80" s="35">
        <f aca="true" t="shared" si="18" ref="K80:K85">IF(G80=0,0,(G80/J80))</f>
        <v>0</v>
      </c>
      <c r="L80" s="272" t="str">
        <f aca="true" t="shared" si="19" ref="L80:L85">IF(J80=0,"-",(IF(J80&gt;3000,"-",F80+J80-1)))</f>
        <v>-</v>
      </c>
      <c r="M80" s="35">
        <f aca="true" t="shared" si="20" ref="M80:M85">IF(H80="geen",IF(F80&lt;$O$9,G80,0),IF(F80&gt;=$O$9,0,IF((G80-($O$9-F80)*K80)&lt;0,0,G80-($O$9-F80)*K80)))</f>
        <v>0</v>
      </c>
      <c r="N80" s="1"/>
      <c r="O80" s="35">
        <f aca="true" t="shared" si="21" ref="O80:X85">(IF(O$9&lt;$F80,0,IF($L80&lt;=O$9-1,0,$K80)))</f>
        <v>0</v>
      </c>
      <c r="P80" s="35">
        <f t="shared" si="21"/>
        <v>0</v>
      </c>
      <c r="Q80" s="35">
        <f t="shared" si="21"/>
        <v>0</v>
      </c>
      <c r="R80" s="35">
        <f t="shared" si="21"/>
        <v>0</v>
      </c>
      <c r="S80" s="35">
        <f t="shared" si="21"/>
        <v>0</v>
      </c>
      <c r="T80" s="35">
        <f t="shared" si="21"/>
        <v>0</v>
      </c>
      <c r="U80" s="35">
        <f t="shared" si="21"/>
        <v>0</v>
      </c>
      <c r="V80" s="35">
        <f t="shared" si="21"/>
        <v>0</v>
      </c>
      <c r="W80" s="35">
        <f t="shared" si="21"/>
        <v>0</v>
      </c>
      <c r="X80" s="35">
        <f t="shared" si="21"/>
        <v>0</v>
      </c>
      <c r="Y80" s="1"/>
      <c r="Z80" s="14"/>
      <c r="AA80" s="13"/>
      <c r="AC80" s="1"/>
      <c r="AD80" s="171">
        <f aca="true" t="shared" si="22" ref="AD80:AM85">IF(AD$9=$F80,$G80,0)</f>
        <v>0</v>
      </c>
      <c r="AE80" s="171">
        <f t="shared" si="22"/>
        <v>0</v>
      </c>
      <c r="AF80" s="171">
        <f t="shared" si="22"/>
        <v>0</v>
      </c>
      <c r="AG80" s="171">
        <f t="shared" si="22"/>
        <v>0</v>
      </c>
      <c r="AH80" s="171">
        <f t="shared" si="22"/>
        <v>0</v>
      </c>
      <c r="AI80" s="171">
        <f t="shared" si="22"/>
        <v>0</v>
      </c>
      <c r="AJ80" s="171">
        <f t="shared" si="22"/>
        <v>0</v>
      </c>
      <c r="AK80" s="171">
        <f t="shared" si="22"/>
        <v>0</v>
      </c>
      <c r="AL80" s="171">
        <f t="shared" si="22"/>
        <v>0</v>
      </c>
      <c r="AM80" s="171">
        <f t="shared" si="22"/>
        <v>0</v>
      </c>
      <c r="AN80" s="1"/>
      <c r="AO80" s="14"/>
    </row>
    <row r="81" spans="2:41" ht="12.75">
      <c r="B81" s="13"/>
      <c r="C81" s="1"/>
      <c r="D81" s="26"/>
      <c r="E81" s="26"/>
      <c r="F81" s="27"/>
      <c r="G81" s="176"/>
      <c r="H81" s="27"/>
      <c r="I81" s="1"/>
      <c r="J81" s="25">
        <f t="shared" si="17"/>
        <v>0</v>
      </c>
      <c r="K81" s="35">
        <f t="shared" si="18"/>
        <v>0</v>
      </c>
      <c r="L81" s="272" t="str">
        <f t="shared" si="19"/>
        <v>-</v>
      </c>
      <c r="M81" s="35">
        <f t="shared" si="20"/>
        <v>0</v>
      </c>
      <c r="N81" s="1"/>
      <c r="O81" s="35">
        <f t="shared" si="21"/>
        <v>0</v>
      </c>
      <c r="P81" s="35">
        <f t="shared" si="21"/>
        <v>0</v>
      </c>
      <c r="Q81" s="35">
        <f t="shared" si="21"/>
        <v>0</v>
      </c>
      <c r="R81" s="35">
        <f t="shared" si="21"/>
        <v>0</v>
      </c>
      <c r="S81" s="35">
        <f t="shared" si="21"/>
        <v>0</v>
      </c>
      <c r="T81" s="35">
        <f t="shared" si="21"/>
        <v>0</v>
      </c>
      <c r="U81" s="35">
        <f t="shared" si="21"/>
        <v>0</v>
      </c>
      <c r="V81" s="35">
        <f t="shared" si="21"/>
        <v>0</v>
      </c>
      <c r="W81" s="35">
        <f t="shared" si="21"/>
        <v>0</v>
      </c>
      <c r="X81" s="35">
        <f t="shared" si="21"/>
        <v>0</v>
      </c>
      <c r="Y81" s="1"/>
      <c r="Z81" s="14"/>
      <c r="AA81" s="13"/>
      <c r="AC81" s="1"/>
      <c r="AD81" s="171">
        <f t="shared" si="22"/>
        <v>0</v>
      </c>
      <c r="AE81" s="171">
        <f t="shared" si="22"/>
        <v>0</v>
      </c>
      <c r="AF81" s="171">
        <f t="shared" si="22"/>
        <v>0</v>
      </c>
      <c r="AG81" s="171">
        <f t="shared" si="22"/>
        <v>0</v>
      </c>
      <c r="AH81" s="171">
        <f t="shared" si="22"/>
        <v>0</v>
      </c>
      <c r="AI81" s="171">
        <f t="shared" si="22"/>
        <v>0</v>
      </c>
      <c r="AJ81" s="171">
        <f t="shared" si="22"/>
        <v>0</v>
      </c>
      <c r="AK81" s="171">
        <f t="shared" si="22"/>
        <v>0</v>
      </c>
      <c r="AL81" s="171">
        <f t="shared" si="22"/>
        <v>0</v>
      </c>
      <c r="AM81" s="171">
        <f t="shared" si="22"/>
        <v>0</v>
      </c>
      <c r="AN81" s="1"/>
      <c r="AO81" s="14"/>
    </row>
    <row r="82" spans="2:41" ht="12.75">
      <c r="B82" s="13"/>
      <c r="C82" s="1"/>
      <c r="D82" s="26"/>
      <c r="E82" s="26"/>
      <c r="F82" s="27"/>
      <c r="G82" s="176"/>
      <c r="H82" s="27"/>
      <c r="I82" s="1"/>
      <c r="J82" s="25">
        <f t="shared" si="17"/>
        <v>0</v>
      </c>
      <c r="K82" s="35">
        <f t="shared" si="18"/>
        <v>0</v>
      </c>
      <c r="L82" s="272" t="str">
        <f t="shared" si="19"/>
        <v>-</v>
      </c>
      <c r="M82" s="35">
        <f t="shared" si="20"/>
        <v>0</v>
      </c>
      <c r="N82" s="1"/>
      <c r="O82" s="35">
        <f t="shared" si="21"/>
        <v>0</v>
      </c>
      <c r="P82" s="35">
        <f t="shared" si="21"/>
        <v>0</v>
      </c>
      <c r="Q82" s="35">
        <f t="shared" si="21"/>
        <v>0</v>
      </c>
      <c r="R82" s="35">
        <f t="shared" si="21"/>
        <v>0</v>
      </c>
      <c r="S82" s="35">
        <f t="shared" si="21"/>
        <v>0</v>
      </c>
      <c r="T82" s="35">
        <f t="shared" si="21"/>
        <v>0</v>
      </c>
      <c r="U82" s="35">
        <f t="shared" si="21"/>
        <v>0</v>
      </c>
      <c r="V82" s="35">
        <f t="shared" si="21"/>
        <v>0</v>
      </c>
      <c r="W82" s="35">
        <f t="shared" si="21"/>
        <v>0</v>
      </c>
      <c r="X82" s="35">
        <f t="shared" si="21"/>
        <v>0</v>
      </c>
      <c r="Y82" s="1"/>
      <c r="Z82" s="14"/>
      <c r="AA82" s="13"/>
      <c r="AC82" s="1"/>
      <c r="AD82" s="171">
        <f t="shared" si="22"/>
        <v>0</v>
      </c>
      <c r="AE82" s="171">
        <f t="shared" si="22"/>
        <v>0</v>
      </c>
      <c r="AF82" s="171">
        <f t="shared" si="22"/>
        <v>0</v>
      </c>
      <c r="AG82" s="171">
        <f t="shared" si="22"/>
        <v>0</v>
      </c>
      <c r="AH82" s="171">
        <f t="shared" si="22"/>
        <v>0</v>
      </c>
      <c r="AI82" s="171">
        <f t="shared" si="22"/>
        <v>0</v>
      </c>
      <c r="AJ82" s="171">
        <f t="shared" si="22"/>
        <v>0</v>
      </c>
      <c r="AK82" s="171">
        <f t="shared" si="22"/>
        <v>0</v>
      </c>
      <c r="AL82" s="171">
        <f t="shared" si="22"/>
        <v>0</v>
      </c>
      <c r="AM82" s="171">
        <f t="shared" si="22"/>
        <v>0</v>
      </c>
      <c r="AN82" s="1"/>
      <c r="AO82" s="14"/>
    </row>
    <row r="83" spans="2:41" ht="12.75">
      <c r="B83" s="13"/>
      <c r="C83" s="1"/>
      <c r="D83" s="26"/>
      <c r="E83" s="26"/>
      <c r="F83" s="27"/>
      <c r="G83" s="176"/>
      <c r="H83" s="27"/>
      <c r="I83" s="1"/>
      <c r="J83" s="25">
        <f t="shared" si="17"/>
        <v>0</v>
      </c>
      <c r="K83" s="35">
        <f t="shared" si="18"/>
        <v>0</v>
      </c>
      <c r="L83" s="272" t="str">
        <f t="shared" si="19"/>
        <v>-</v>
      </c>
      <c r="M83" s="35">
        <f t="shared" si="20"/>
        <v>0</v>
      </c>
      <c r="N83" s="1"/>
      <c r="O83" s="35">
        <f t="shared" si="21"/>
        <v>0</v>
      </c>
      <c r="P83" s="35">
        <f t="shared" si="21"/>
        <v>0</v>
      </c>
      <c r="Q83" s="35">
        <f t="shared" si="21"/>
        <v>0</v>
      </c>
      <c r="R83" s="35">
        <f t="shared" si="21"/>
        <v>0</v>
      </c>
      <c r="S83" s="35">
        <f t="shared" si="21"/>
        <v>0</v>
      </c>
      <c r="T83" s="35">
        <f t="shared" si="21"/>
        <v>0</v>
      </c>
      <c r="U83" s="35">
        <f t="shared" si="21"/>
        <v>0</v>
      </c>
      <c r="V83" s="35">
        <f t="shared" si="21"/>
        <v>0</v>
      </c>
      <c r="W83" s="35">
        <f t="shared" si="21"/>
        <v>0</v>
      </c>
      <c r="X83" s="35">
        <f t="shared" si="21"/>
        <v>0</v>
      </c>
      <c r="Y83" s="1"/>
      <c r="Z83" s="14"/>
      <c r="AA83" s="13"/>
      <c r="AC83" s="1"/>
      <c r="AD83" s="171">
        <f t="shared" si="22"/>
        <v>0</v>
      </c>
      <c r="AE83" s="171">
        <f t="shared" si="22"/>
        <v>0</v>
      </c>
      <c r="AF83" s="171">
        <f t="shared" si="22"/>
        <v>0</v>
      </c>
      <c r="AG83" s="171">
        <f t="shared" si="22"/>
        <v>0</v>
      </c>
      <c r="AH83" s="171">
        <f t="shared" si="22"/>
        <v>0</v>
      </c>
      <c r="AI83" s="171">
        <f t="shared" si="22"/>
        <v>0</v>
      </c>
      <c r="AJ83" s="171">
        <f t="shared" si="22"/>
        <v>0</v>
      </c>
      <c r="AK83" s="171">
        <f t="shared" si="22"/>
        <v>0</v>
      </c>
      <c r="AL83" s="171">
        <f t="shared" si="22"/>
        <v>0</v>
      </c>
      <c r="AM83" s="171">
        <f t="shared" si="22"/>
        <v>0</v>
      </c>
      <c r="AN83" s="1"/>
      <c r="AO83" s="14"/>
    </row>
    <row r="84" spans="2:41" ht="12.75">
      <c r="B84" s="13"/>
      <c r="C84" s="1"/>
      <c r="D84" s="26"/>
      <c r="E84" s="26"/>
      <c r="F84" s="27"/>
      <c r="G84" s="176"/>
      <c r="H84" s="27"/>
      <c r="I84" s="1"/>
      <c r="J84" s="25">
        <f t="shared" si="17"/>
        <v>0</v>
      </c>
      <c r="K84" s="35">
        <f t="shared" si="18"/>
        <v>0</v>
      </c>
      <c r="L84" s="272" t="str">
        <f t="shared" si="19"/>
        <v>-</v>
      </c>
      <c r="M84" s="35">
        <f t="shared" si="20"/>
        <v>0</v>
      </c>
      <c r="N84" s="1"/>
      <c r="O84" s="35">
        <f t="shared" si="21"/>
        <v>0</v>
      </c>
      <c r="P84" s="35">
        <f t="shared" si="21"/>
        <v>0</v>
      </c>
      <c r="Q84" s="35">
        <f t="shared" si="21"/>
        <v>0</v>
      </c>
      <c r="R84" s="35">
        <f t="shared" si="21"/>
        <v>0</v>
      </c>
      <c r="S84" s="35">
        <f t="shared" si="21"/>
        <v>0</v>
      </c>
      <c r="T84" s="35">
        <f t="shared" si="21"/>
        <v>0</v>
      </c>
      <c r="U84" s="35">
        <f t="shared" si="21"/>
        <v>0</v>
      </c>
      <c r="V84" s="35">
        <f t="shared" si="21"/>
        <v>0</v>
      </c>
      <c r="W84" s="35">
        <f t="shared" si="21"/>
        <v>0</v>
      </c>
      <c r="X84" s="35">
        <f t="shared" si="21"/>
        <v>0</v>
      </c>
      <c r="Y84" s="1"/>
      <c r="Z84" s="14"/>
      <c r="AA84" s="13"/>
      <c r="AC84" s="1"/>
      <c r="AD84" s="171">
        <f t="shared" si="22"/>
        <v>0</v>
      </c>
      <c r="AE84" s="171">
        <f t="shared" si="22"/>
        <v>0</v>
      </c>
      <c r="AF84" s="171">
        <f t="shared" si="22"/>
        <v>0</v>
      </c>
      <c r="AG84" s="171">
        <f t="shared" si="22"/>
        <v>0</v>
      </c>
      <c r="AH84" s="171">
        <f t="shared" si="22"/>
        <v>0</v>
      </c>
      <c r="AI84" s="171">
        <f t="shared" si="22"/>
        <v>0</v>
      </c>
      <c r="AJ84" s="171">
        <f t="shared" si="22"/>
        <v>0</v>
      </c>
      <c r="AK84" s="171">
        <f t="shared" si="22"/>
        <v>0</v>
      </c>
      <c r="AL84" s="171">
        <f t="shared" si="22"/>
        <v>0</v>
      </c>
      <c r="AM84" s="171">
        <f t="shared" si="22"/>
        <v>0</v>
      </c>
      <c r="AN84" s="1"/>
      <c r="AO84" s="14"/>
    </row>
    <row r="85" spans="2:41" ht="12.75">
      <c r="B85" s="13"/>
      <c r="C85" s="1"/>
      <c r="D85" s="26"/>
      <c r="E85" s="26"/>
      <c r="F85" s="27"/>
      <c r="G85" s="176"/>
      <c r="H85" s="27"/>
      <c r="I85" s="1"/>
      <c r="J85" s="25">
        <f t="shared" si="17"/>
        <v>0</v>
      </c>
      <c r="K85" s="35">
        <f t="shared" si="18"/>
        <v>0</v>
      </c>
      <c r="L85" s="272" t="str">
        <f t="shared" si="19"/>
        <v>-</v>
      </c>
      <c r="M85" s="35">
        <f t="shared" si="20"/>
        <v>0</v>
      </c>
      <c r="N85" s="1"/>
      <c r="O85" s="35">
        <f t="shared" si="21"/>
        <v>0</v>
      </c>
      <c r="P85" s="35">
        <f t="shared" si="21"/>
        <v>0</v>
      </c>
      <c r="Q85" s="35">
        <f t="shared" si="21"/>
        <v>0</v>
      </c>
      <c r="R85" s="35">
        <f t="shared" si="21"/>
        <v>0</v>
      </c>
      <c r="S85" s="35">
        <f t="shared" si="21"/>
        <v>0</v>
      </c>
      <c r="T85" s="35">
        <f t="shared" si="21"/>
        <v>0</v>
      </c>
      <c r="U85" s="35">
        <f t="shared" si="21"/>
        <v>0</v>
      </c>
      <c r="V85" s="35">
        <f t="shared" si="21"/>
        <v>0</v>
      </c>
      <c r="W85" s="35">
        <f t="shared" si="21"/>
        <v>0</v>
      </c>
      <c r="X85" s="35">
        <f t="shared" si="21"/>
        <v>0</v>
      </c>
      <c r="Y85" s="1"/>
      <c r="Z85" s="14"/>
      <c r="AA85" s="13"/>
      <c r="AC85" s="1"/>
      <c r="AD85" s="171">
        <f t="shared" si="22"/>
        <v>0</v>
      </c>
      <c r="AE85" s="171">
        <f t="shared" si="22"/>
        <v>0</v>
      </c>
      <c r="AF85" s="171">
        <f t="shared" si="22"/>
        <v>0</v>
      </c>
      <c r="AG85" s="171">
        <f t="shared" si="22"/>
        <v>0</v>
      </c>
      <c r="AH85" s="171">
        <f t="shared" si="22"/>
        <v>0</v>
      </c>
      <c r="AI85" s="171">
        <f t="shared" si="22"/>
        <v>0</v>
      </c>
      <c r="AJ85" s="171">
        <f t="shared" si="22"/>
        <v>0</v>
      </c>
      <c r="AK85" s="171">
        <f t="shared" si="22"/>
        <v>0</v>
      </c>
      <c r="AL85" s="171">
        <f t="shared" si="22"/>
        <v>0</v>
      </c>
      <c r="AM85" s="171">
        <f t="shared" si="22"/>
        <v>0</v>
      </c>
      <c r="AN85" s="1"/>
      <c r="AO85" s="14"/>
    </row>
    <row r="86" spans="2:41" ht="12.75">
      <c r="B86" s="13"/>
      <c r="C86" s="1"/>
      <c r="D86" s="26"/>
      <c r="E86" s="26"/>
      <c r="F86" s="27"/>
      <c r="G86" s="176"/>
      <c r="H86" s="27"/>
      <c r="I86" s="1"/>
      <c r="J86" s="25">
        <f aca="true" t="shared" si="23" ref="J86:J94">IF(H86="geen",9999999999,H86)</f>
        <v>0</v>
      </c>
      <c r="K86" s="35">
        <f aca="true" t="shared" si="24" ref="K86:K94">IF(G86=0,0,(G86/J86))</f>
        <v>0</v>
      </c>
      <c r="L86" s="272" t="str">
        <f aca="true" t="shared" si="25" ref="L86:L94">IF(J86=0,"-",(IF(J86&gt;3000,"-",F86+J86-1)))</f>
        <v>-</v>
      </c>
      <c r="M86" s="35">
        <f aca="true" t="shared" si="26" ref="M86:M94">IF(H86="geen",IF(F86&lt;$O$9,G86,0),IF(F86&gt;=$O$9,0,IF((G86-($O$9-F86)*K86)&lt;0,0,G86-($O$9-F86)*K86)))</f>
        <v>0</v>
      </c>
      <c r="N86" s="1"/>
      <c r="O86" s="35">
        <f aca="true" t="shared" si="27" ref="O86:X89">(IF(O$9&lt;$F86,0,IF($L86&lt;=O$9-1,0,$K86)))</f>
        <v>0</v>
      </c>
      <c r="P86" s="35">
        <f t="shared" si="27"/>
        <v>0</v>
      </c>
      <c r="Q86" s="35">
        <f t="shared" si="27"/>
        <v>0</v>
      </c>
      <c r="R86" s="35">
        <f t="shared" si="27"/>
        <v>0</v>
      </c>
      <c r="S86" s="35">
        <f t="shared" si="27"/>
        <v>0</v>
      </c>
      <c r="T86" s="35">
        <f t="shared" si="27"/>
        <v>0</v>
      </c>
      <c r="U86" s="35">
        <f t="shared" si="27"/>
        <v>0</v>
      </c>
      <c r="V86" s="35">
        <f t="shared" si="27"/>
        <v>0</v>
      </c>
      <c r="W86" s="35">
        <f t="shared" si="27"/>
        <v>0</v>
      </c>
      <c r="X86" s="35">
        <f t="shared" si="27"/>
        <v>0</v>
      </c>
      <c r="Y86" s="1"/>
      <c r="Z86" s="14"/>
      <c r="AA86" s="13"/>
      <c r="AC86" s="1"/>
      <c r="AD86" s="171">
        <f aca="true" t="shared" si="28" ref="AD86:AM94">IF(AD$9=$F86,$G86,0)</f>
        <v>0</v>
      </c>
      <c r="AE86" s="171">
        <f t="shared" si="28"/>
        <v>0</v>
      </c>
      <c r="AF86" s="171">
        <f t="shared" si="28"/>
        <v>0</v>
      </c>
      <c r="AG86" s="171">
        <f t="shared" si="28"/>
        <v>0</v>
      </c>
      <c r="AH86" s="171">
        <f t="shared" si="28"/>
        <v>0</v>
      </c>
      <c r="AI86" s="171">
        <f t="shared" si="28"/>
        <v>0</v>
      </c>
      <c r="AJ86" s="171">
        <f t="shared" si="28"/>
        <v>0</v>
      </c>
      <c r="AK86" s="171">
        <f t="shared" si="28"/>
        <v>0</v>
      </c>
      <c r="AL86" s="171">
        <f t="shared" si="28"/>
        <v>0</v>
      </c>
      <c r="AM86" s="171">
        <f t="shared" si="28"/>
        <v>0</v>
      </c>
      <c r="AN86" s="1"/>
      <c r="AO86" s="14"/>
    </row>
    <row r="87" spans="2:41" ht="12.75">
      <c r="B87" s="13"/>
      <c r="C87" s="1"/>
      <c r="D87" s="26"/>
      <c r="E87" s="26"/>
      <c r="F87" s="27"/>
      <c r="G87" s="176"/>
      <c r="H87" s="27"/>
      <c r="I87" s="1"/>
      <c r="J87" s="25">
        <f t="shared" si="23"/>
        <v>0</v>
      </c>
      <c r="K87" s="35">
        <f t="shared" si="24"/>
        <v>0</v>
      </c>
      <c r="L87" s="272" t="str">
        <f t="shared" si="25"/>
        <v>-</v>
      </c>
      <c r="M87" s="35">
        <f t="shared" si="26"/>
        <v>0</v>
      </c>
      <c r="N87" s="1"/>
      <c r="O87" s="35">
        <f t="shared" si="27"/>
        <v>0</v>
      </c>
      <c r="P87" s="35">
        <f t="shared" si="27"/>
        <v>0</v>
      </c>
      <c r="Q87" s="35">
        <f t="shared" si="27"/>
        <v>0</v>
      </c>
      <c r="R87" s="35">
        <f t="shared" si="27"/>
        <v>0</v>
      </c>
      <c r="S87" s="35">
        <f t="shared" si="27"/>
        <v>0</v>
      </c>
      <c r="T87" s="35">
        <f t="shared" si="27"/>
        <v>0</v>
      </c>
      <c r="U87" s="35">
        <f t="shared" si="27"/>
        <v>0</v>
      </c>
      <c r="V87" s="35">
        <f t="shared" si="27"/>
        <v>0</v>
      </c>
      <c r="W87" s="35">
        <f t="shared" si="27"/>
        <v>0</v>
      </c>
      <c r="X87" s="35">
        <f t="shared" si="27"/>
        <v>0</v>
      </c>
      <c r="Y87" s="1"/>
      <c r="Z87" s="14"/>
      <c r="AA87" s="13"/>
      <c r="AC87" s="1"/>
      <c r="AD87" s="171">
        <f t="shared" si="28"/>
        <v>0</v>
      </c>
      <c r="AE87" s="171">
        <f t="shared" si="28"/>
        <v>0</v>
      </c>
      <c r="AF87" s="171">
        <f t="shared" si="28"/>
        <v>0</v>
      </c>
      <c r="AG87" s="171">
        <f t="shared" si="28"/>
        <v>0</v>
      </c>
      <c r="AH87" s="171">
        <f t="shared" si="28"/>
        <v>0</v>
      </c>
      <c r="AI87" s="171">
        <f t="shared" si="28"/>
        <v>0</v>
      </c>
      <c r="AJ87" s="171">
        <f t="shared" si="28"/>
        <v>0</v>
      </c>
      <c r="AK87" s="171">
        <f t="shared" si="28"/>
        <v>0</v>
      </c>
      <c r="AL87" s="171">
        <f t="shared" si="28"/>
        <v>0</v>
      </c>
      <c r="AM87" s="171">
        <f t="shared" si="28"/>
        <v>0</v>
      </c>
      <c r="AN87" s="1"/>
      <c r="AO87" s="14"/>
    </row>
    <row r="88" spans="2:41" ht="12.75">
      <c r="B88" s="13"/>
      <c r="C88" s="1"/>
      <c r="D88" s="26"/>
      <c r="E88" s="26"/>
      <c r="F88" s="27"/>
      <c r="G88" s="176"/>
      <c r="H88" s="27"/>
      <c r="I88" s="1"/>
      <c r="J88" s="25">
        <f t="shared" si="23"/>
        <v>0</v>
      </c>
      <c r="K88" s="35">
        <f t="shared" si="24"/>
        <v>0</v>
      </c>
      <c r="L88" s="272" t="str">
        <f t="shared" si="25"/>
        <v>-</v>
      </c>
      <c r="M88" s="35">
        <f t="shared" si="26"/>
        <v>0</v>
      </c>
      <c r="N88" s="1"/>
      <c r="O88" s="35">
        <f t="shared" si="27"/>
        <v>0</v>
      </c>
      <c r="P88" s="35">
        <f t="shared" si="27"/>
        <v>0</v>
      </c>
      <c r="Q88" s="35">
        <f t="shared" si="27"/>
        <v>0</v>
      </c>
      <c r="R88" s="35">
        <f t="shared" si="27"/>
        <v>0</v>
      </c>
      <c r="S88" s="35">
        <f t="shared" si="27"/>
        <v>0</v>
      </c>
      <c r="T88" s="35">
        <f t="shared" si="27"/>
        <v>0</v>
      </c>
      <c r="U88" s="35">
        <f t="shared" si="27"/>
        <v>0</v>
      </c>
      <c r="V88" s="35">
        <f t="shared" si="27"/>
        <v>0</v>
      </c>
      <c r="W88" s="35">
        <f t="shared" si="27"/>
        <v>0</v>
      </c>
      <c r="X88" s="35">
        <f t="shared" si="27"/>
        <v>0</v>
      </c>
      <c r="Y88" s="1"/>
      <c r="Z88" s="14"/>
      <c r="AA88" s="13"/>
      <c r="AC88" s="1"/>
      <c r="AD88" s="171">
        <f t="shared" si="28"/>
        <v>0</v>
      </c>
      <c r="AE88" s="171">
        <f t="shared" si="28"/>
        <v>0</v>
      </c>
      <c r="AF88" s="171">
        <f t="shared" si="28"/>
        <v>0</v>
      </c>
      <c r="AG88" s="171">
        <f t="shared" si="28"/>
        <v>0</v>
      </c>
      <c r="AH88" s="171">
        <f t="shared" si="28"/>
        <v>0</v>
      </c>
      <c r="AI88" s="171">
        <f t="shared" si="28"/>
        <v>0</v>
      </c>
      <c r="AJ88" s="171">
        <f t="shared" si="28"/>
        <v>0</v>
      </c>
      <c r="AK88" s="171">
        <f t="shared" si="28"/>
        <v>0</v>
      </c>
      <c r="AL88" s="171">
        <f t="shared" si="28"/>
        <v>0</v>
      </c>
      <c r="AM88" s="171">
        <f t="shared" si="28"/>
        <v>0</v>
      </c>
      <c r="AN88" s="1"/>
      <c r="AO88" s="14"/>
    </row>
    <row r="89" spans="2:41" ht="12.75">
      <c r="B89" s="13"/>
      <c r="C89" s="1"/>
      <c r="D89" s="26"/>
      <c r="E89" s="26"/>
      <c r="F89" s="27"/>
      <c r="G89" s="176"/>
      <c r="H89" s="27"/>
      <c r="I89" s="1"/>
      <c r="J89" s="25">
        <f t="shared" si="23"/>
        <v>0</v>
      </c>
      <c r="K89" s="35">
        <f t="shared" si="24"/>
        <v>0</v>
      </c>
      <c r="L89" s="272" t="str">
        <f t="shared" si="25"/>
        <v>-</v>
      </c>
      <c r="M89" s="35">
        <f t="shared" si="26"/>
        <v>0</v>
      </c>
      <c r="N89" s="1"/>
      <c r="O89" s="35">
        <f t="shared" si="27"/>
        <v>0</v>
      </c>
      <c r="P89" s="35">
        <f t="shared" si="27"/>
        <v>0</v>
      </c>
      <c r="Q89" s="35">
        <f t="shared" si="27"/>
        <v>0</v>
      </c>
      <c r="R89" s="35">
        <f t="shared" si="27"/>
        <v>0</v>
      </c>
      <c r="S89" s="35">
        <f t="shared" si="27"/>
        <v>0</v>
      </c>
      <c r="T89" s="35">
        <f t="shared" si="27"/>
        <v>0</v>
      </c>
      <c r="U89" s="35">
        <f t="shared" si="27"/>
        <v>0</v>
      </c>
      <c r="V89" s="35">
        <f t="shared" si="27"/>
        <v>0</v>
      </c>
      <c r="W89" s="35">
        <f t="shared" si="27"/>
        <v>0</v>
      </c>
      <c r="X89" s="35">
        <f t="shared" si="27"/>
        <v>0</v>
      </c>
      <c r="Y89" s="1"/>
      <c r="Z89" s="14"/>
      <c r="AA89" s="13"/>
      <c r="AC89" s="1"/>
      <c r="AD89" s="171">
        <f t="shared" si="28"/>
        <v>0</v>
      </c>
      <c r="AE89" s="171">
        <f t="shared" si="28"/>
        <v>0</v>
      </c>
      <c r="AF89" s="171">
        <f t="shared" si="28"/>
        <v>0</v>
      </c>
      <c r="AG89" s="171">
        <f t="shared" si="28"/>
        <v>0</v>
      </c>
      <c r="AH89" s="171">
        <f t="shared" si="28"/>
        <v>0</v>
      </c>
      <c r="AI89" s="171">
        <f t="shared" si="28"/>
        <v>0</v>
      </c>
      <c r="AJ89" s="171">
        <f t="shared" si="28"/>
        <v>0</v>
      </c>
      <c r="AK89" s="171">
        <f t="shared" si="28"/>
        <v>0</v>
      </c>
      <c r="AL89" s="171">
        <f t="shared" si="28"/>
        <v>0</v>
      </c>
      <c r="AM89" s="171">
        <f t="shared" si="28"/>
        <v>0</v>
      </c>
      <c r="AN89" s="1"/>
      <c r="AO89" s="14"/>
    </row>
    <row r="90" spans="2:41" ht="12.75">
      <c r="B90" s="13"/>
      <c r="C90" s="1"/>
      <c r="D90" s="26"/>
      <c r="E90" s="26"/>
      <c r="F90" s="27"/>
      <c r="G90" s="176"/>
      <c r="H90" s="27"/>
      <c r="I90" s="1"/>
      <c r="J90" s="25">
        <f t="shared" si="23"/>
        <v>0</v>
      </c>
      <c r="K90" s="35">
        <f t="shared" si="24"/>
        <v>0</v>
      </c>
      <c r="L90" s="272" t="str">
        <f t="shared" si="25"/>
        <v>-</v>
      </c>
      <c r="M90" s="35">
        <f t="shared" si="26"/>
        <v>0</v>
      </c>
      <c r="N90" s="1"/>
      <c r="O90" s="35">
        <f aca="true" t="shared" si="29" ref="O90:X93">(IF(O$9&lt;$F90,0,IF($L90&lt;=O$9-1,0,$K90)))</f>
        <v>0</v>
      </c>
      <c r="P90" s="35">
        <f t="shared" si="29"/>
        <v>0</v>
      </c>
      <c r="Q90" s="35">
        <f t="shared" si="29"/>
        <v>0</v>
      </c>
      <c r="R90" s="35">
        <f t="shared" si="29"/>
        <v>0</v>
      </c>
      <c r="S90" s="35">
        <f t="shared" si="29"/>
        <v>0</v>
      </c>
      <c r="T90" s="35">
        <f t="shared" si="29"/>
        <v>0</v>
      </c>
      <c r="U90" s="35">
        <f t="shared" si="29"/>
        <v>0</v>
      </c>
      <c r="V90" s="35">
        <f t="shared" si="29"/>
        <v>0</v>
      </c>
      <c r="W90" s="35">
        <f t="shared" si="29"/>
        <v>0</v>
      </c>
      <c r="X90" s="35">
        <f t="shared" si="29"/>
        <v>0</v>
      </c>
      <c r="Y90" s="1"/>
      <c r="Z90" s="14"/>
      <c r="AA90" s="13"/>
      <c r="AC90" s="1"/>
      <c r="AD90" s="171">
        <f t="shared" si="28"/>
        <v>0</v>
      </c>
      <c r="AE90" s="171">
        <f t="shared" si="28"/>
        <v>0</v>
      </c>
      <c r="AF90" s="171">
        <f t="shared" si="28"/>
        <v>0</v>
      </c>
      <c r="AG90" s="171">
        <f t="shared" si="28"/>
        <v>0</v>
      </c>
      <c r="AH90" s="171">
        <f t="shared" si="28"/>
        <v>0</v>
      </c>
      <c r="AI90" s="171">
        <f t="shared" si="28"/>
        <v>0</v>
      </c>
      <c r="AJ90" s="171">
        <f t="shared" si="28"/>
        <v>0</v>
      </c>
      <c r="AK90" s="171">
        <f t="shared" si="28"/>
        <v>0</v>
      </c>
      <c r="AL90" s="171">
        <f t="shared" si="28"/>
        <v>0</v>
      </c>
      <c r="AM90" s="171">
        <f t="shared" si="28"/>
        <v>0</v>
      </c>
      <c r="AN90" s="1"/>
      <c r="AO90" s="14"/>
    </row>
    <row r="91" spans="2:41" ht="12.75">
      <c r="B91" s="13"/>
      <c r="C91" s="1"/>
      <c r="D91" s="26"/>
      <c r="E91" s="26"/>
      <c r="F91" s="27"/>
      <c r="G91" s="176"/>
      <c r="H91" s="27"/>
      <c r="I91" s="1"/>
      <c r="J91" s="25">
        <f t="shared" si="23"/>
        <v>0</v>
      </c>
      <c r="K91" s="35">
        <f t="shared" si="24"/>
        <v>0</v>
      </c>
      <c r="L91" s="272" t="str">
        <f t="shared" si="25"/>
        <v>-</v>
      </c>
      <c r="M91" s="35">
        <f t="shared" si="26"/>
        <v>0</v>
      </c>
      <c r="N91" s="1"/>
      <c r="O91" s="35">
        <f t="shared" si="29"/>
        <v>0</v>
      </c>
      <c r="P91" s="35">
        <f t="shared" si="29"/>
        <v>0</v>
      </c>
      <c r="Q91" s="35">
        <f t="shared" si="29"/>
        <v>0</v>
      </c>
      <c r="R91" s="35">
        <f t="shared" si="29"/>
        <v>0</v>
      </c>
      <c r="S91" s="35">
        <f t="shared" si="29"/>
        <v>0</v>
      </c>
      <c r="T91" s="35">
        <f t="shared" si="29"/>
        <v>0</v>
      </c>
      <c r="U91" s="35">
        <f t="shared" si="29"/>
        <v>0</v>
      </c>
      <c r="V91" s="35">
        <f t="shared" si="29"/>
        <v>0</v>
      </c>
      <c r="W91" s="35">
        <f t="shared" si="29"/>
        <v>0</v>
      </c>
      <c r="X91" s="35">
        <f t="shared" si="29"/>
        <v>0</v>
      </c>
      <c r="Y91" s="1"/>
      <c r="Z91" s="14"/>
      <c r="AA91" s="13"/>
      <c r="AC91" s="1"/>
      <c r="AD91" s="171">
        <f t="shared" si="28"/>
        <v>0</v>
      </c>
      <c r="AE91" s="171">
        <f t="shared" si="28"/>
        <v>0</v>
      </c>
      <c r="AF91" s="171">
        <f t="shared" si="28"/>
        <v>0</v>
      </c>
      <c r="AG91" s="171">
        <f t="shared" si="28"/>
        <v>0</v>
      </c>
      <c r="AH91" s="171">
        <f t="shared" si="28"/>
        <v>0</v>
      </c>
      <c r="AI91" s="171">
        <f t="shared" si="28"/>
        <v>0</v>
      </c>
      <c r="AJ91" s="171">
        <f t="shared" si="28"/>
        <v>0</v>
      </c>
      <c r="AK91" s="171">
        <f t="shared" si="28"/>
        <v>0</v>
      </c>
      <c r="AL91" s="171">
        <f t="shared" si="28"/>
        <v>0</v>
      </c>
      <c r="AM91" s="171">
        <f t="shared" si="28"/>
        <v>0</v>
      </c>
      <c r="AN91" s="1"/>
      <c r="AO91" s="14"/>
    </row>
    <row r="92" spans="2:41" ht="12.75">
      <c r="B92" s="13"/>
      <c r="C92" s="1"/>
      <c r="D92" s="26"/>
      <c r="E92" s="26"/>
      <c r="F92" s="27"/>
      <c r="G92" s="176"/>
      <c r="H92" s="27"/>
      <c r="I92" s="1"/>
      <c r="J92" s="25">
        <f t="shared" si="23"/>
        <v>0</v>
      </c>
      <c r="K92" s="35">
        <f t="shared" si="24"/>
        <v>0</v>
      </c>
      <c r="L92" s="272" t="str">
        <f t="shared" si="25"/>
        <v>-</v>
      </c>
      <c r="M92" s="35">
        <f t="shared" si="26"/>
        <v>0</v>
      </c>
      <c r="N92" s="1"/>
      <c r="O92" s="35">
        <f t="shared" si="29"/>
        <v>0</v>
      </c>
      <c r="P92" s="35">
        <f t="shared" si="29"/>
        <v>0</v>
      </c>
      <c r="Q92" s="35">
        <f t="shared" si="29"/>
        <v>0</v>
      </c>
      <c r="R92" s="35">
        <f t="shared" si="29"/>
        <v>0</v>
      </c>
      <c r="S92" s="35">
        <f t="shared" si="29"/>
        <v>0</v>
      </c>
      <c r="T92" s="35">
        <f t="shared" si="29"/>
        <v>0</v>
      </c>
      <c r="U92" s="35">
        <f t="shared" si="29"/>
        <v>0</v>
      </c>
      <c r="V92" s="35">
        <f t="shared" si="29"/>
        <v>0</v>
      </c>
      <c r="W92" s="35">
        <f t="shared" si="29"/>
        <v>0</v>
      </c>
      <c r="X92" s="35">
        <f t="shared" si="29"/>
        <v>0</v>
      </c>
      <c r="Y92" s="1"/>
      <c r="Z92" s="14"/>
      <c r="AA92" s="13"/>
      <c r="AC92" s="1"/>
      <c r="AD92" s="171">
        <f t="shared" si="28"/>
        <v>0</v>
      </c>
      <c r="AE92" s="171">
        <f t="shared" si="28"/>
        <v>0</v>
      </c>
      <c r="AF92" s="171">
        <f t="shared" si="28"/>
        <v>0</v>
      </c>
      <c r="AG92" s="171">
        <f t="shared" si="28"/>
        <v>0</v>
      </c>
      <c r="AH92" s="171">
        <f t="shared" si="28"/>
        <v>0</v>
      </c>
      <c r="AI92" s="171">
        <f t="shared" si="28"/>
        <v>0</v>
      </c>
      <c r="AJ92" s="171">
        <f t="shared" si="28"/>
        <v>0</v>
      </c>
      <c r="AK92" s="171">
        <f t="shared" si="28"/>
        <v>0</v>
      </c>
      <c r="AL92" s="171">
        <f t="shared" si="28"/>
        <v>0</v>
      </c>
      <c r="AM92" s="171">
        <f t="shared" si="28"/>
        <v>0</v>
      </c>
      <c r="AN92" s="1"/>
      <c r="AO92" s="14"/>
    </row>
    <row r="93" spans="2:41" ht="12.75">
      <c r="B93" s="13"/>
      <c r="C93" s="1"/>
      <c r="D93" s="26"/>
      <c r="E93" s="26"/>
      <c r="F93" s="27"/>
      <c r="G93" s="176"/>
      <c r="H93" s="27"/>
      <c r="I93" s="1"/>
      <c r="J93" s="25">
        <f t="shared" si="23"/>
        <v>0</v>
      </c>
      <c r="K93" s="35">
        <f t="shared" si="24"/>
        <v>0</v>
      </c>
      <c r="L93" s="272" t="str">
        <f t="shared" si="25"/>
        <v>-</v>
      </c>
      <c r="M93" s="35">
        <f t="shared" si="26"/>
        <v>0</v>
      </c>
      <c r="N93" s="1"/>
      <c r="O93" s="35">
        <f t="shared" si="29"/>
        <v>0</v>
      </c>
      <c r="P93" s="35">
        <f t="shared" si="29"/>
        <v>0</v>
      </c>
      <c r="Q93" s="35">
        <f t="shared" si="29"/>
        <v>0</v>
      </c>
      <c r="R93" s="35">
        <f t="shared" si="29"/>
        <v>0</v>
      </c>
      <c r="S93" s="35">
        <f t="shared" si="29"/>
        <v>0</v>
      </c>
      <c r="T93" s="35">
        <f t="shared" si="29"/>
        <v>0</v>
      </c>
      <c r="U93" s="35">
        <f t="shared" si="29"/>
        <v>0</v>
      </c>
      <c r="V93" s="35">
        <f t="shared" si="29"/>
        <v>0</v>
      </c>
      <c r="W93" s="35">
        <f t="shared" si="29"/>
        <v>0</v>
      </c>
      <c r="X93" s="35">
        <f t="shared" si="29"/>
        <v>0</v>
      </c>
      <c r="Y93" s="1"/>
      <c r="Z93" s="14"/>
      <c r="AA93" s="13"/>
      <c r="AC93" s="1"/>
      <c r="AD93" s="171">
        <f t="shared" si="28"/>
        <v>0</v>
      </c>
      <c r="AE93" s="171">
        <f t="shared" si="28"/>
        <v>0</v>
      </c>
      <c r="AF93" s="171">
        <f t="shared" si="28"/>
        <v>0</v>
      </c>
      <c r="AG93" s="171">
        <f t="shared" si="28"/>
        <v>0</v>
      </c>
      <c r="AH93" s="171">
        <f t="shared" si="28"/>
        <v>0</v>
      </c>
      <c r="AI93" s="171">
        <f t="shared" si="28"/>
        <v>0</v>
      </c>
      <c r="AJ93" s="171">
        <f t="shared" si="28"/>
        <v>0</v>
      </c>
      <c r="AK93" s="171">
        <f t="shared" si="28"/>
        <v>0</v>
      </c>
      <c r="AL93" s="171">
        <f t="shared" si="28"/>
        <v>0</v>
      </c>
      <c r="AM93" s="171">
        <f t="shared" si="28"/>
        <v>0</v>
      </c>
      <c r="AN93" s="1"/>
      <c r="AO93" s="14"/>
    </row>
    <row r="94" spans="2:41" ht="12.75">
      <c r="B94" s="13"/>
      <c r="C94" s="1"/>
      <c r="D94" s="26"/>
      <c r="E94" s="26" t="s">
        <v>570</v>
      </c>
      <c r="F94" s="27"/>
      <c r="G94" s="176"/>
      <c r="H94" s="27"/>
      <c r="I94" s="1"/>
      <c r="J94" s="25">
        <f t="shared" si="23"/>
        <v>0</v>
      </c>
      <c r="K94" s="35">
        <f t="shared" si="24"/>
        <v>0</v>
      </c>
      <c r="L94" s="272" t="str">
        <f t="shared" si="25"/>
        <v>-</v>
      </c>
      <c r="M94" s="35">
        <f t="shared" si="26"/>
        <v>0</v>
      </c>
      <c r="N94" s="1"/>
      <c r="O94" s="35">
        <f aca="true" t="shared" si="30" ref="O94:X94">(IF(O$9&lt;$F94,0,IF($L94&lt;=O$9-1,0,$K94)))</f>
        <v>0</v>
      </c>
      <c r="P94" s="35">
        <f t="shared" si="30"/>
        <v>0</v>
      </c>
      <c r="Q94" s="35">
        <f t="shared" si="30"/>
        <v>0</v>
      </c>
      <c r="R94" s="35">
        <f t="shared" si="30"/>
        <v>0</v>
      </c>
      <c r="S94" s="35">
        <f t="shared" si="30"/>
        <v>0</v>
      </c>
      <c r="T94" s="35">
        <f t="shared" si="30"/>
        <v>0</v>
      </c>
      <c r="U94" s="35">
        <f t="shared" si="30"/>
        <v>0</v>
      </c>
      <c r="V94" s="35">
        <f t="shared" si="30"/>
        <v>0</v>
      </c>
      <c r="W94" s="35">
        <f t="shared" si="30"/>
        <v>0</v>
      </c>
      <c r="X94" s="35">
        <f t="shared" si="30"/>
        <v>0</v>
      </c>
      <c r="Y94" s="1"/>
      <c r="Z94" s="14"/>
      <c r="AA94" s="13"/>
      <c r="AC94" s="1"/>
      <c r="AD94" s="171">
        <f t="shared" si="28"/>
        <v>0</v>
      </c>
      <c r="AE94" s="171">
        <f t="shared" si="28"/>
        <v>0</v>
      </c>
      <c r="AF94" s="171">
        <f t="shared" si="28"/>
        <v>0</v>
      </c>
      <c r="AG94" s="171">
        <f t="shared" si="28"/>
        <v>0</v>
      </c>
      <c r="AH94" s="171">
        <f t="shared" si="28"/>
        <v>0</v>
      </c>
      <c r="AI94" s="171">
        <f t="shared" si="28"/>
        <v>0</v>
      </c>
      <c r="AJ94" s="171">
        <f t="shared" si="28"/>
        <v>0</v>
      </c>
      <c r="AK94" s="171">
        <f t="shared" si="28"/>
        <v>0</v>
      </c>
      <c r="AL94" s="171">
        <f t="shared" si="28"/>
        <v>0</v>
      </c>
      <c r="AM94" s="171">
        <f t="shared" si="28"/>
        <v>0</v>
      </c>
      <c r="AN94" s="1"/>
      <c r="AO94" s="14"/>
    </row>
    <row r="95" spans="2:41" ht="12.75" collapsed="1">
      <c r="B95" s="13"/>
      <c r="C95" s="1"/>
      <c r="D95" s="1"/>
      <c r="E95" s="1"/>
      <c r="F95" s="1"/>
      <c r="G95" s="1"/>
      <c r="H95" s="1"/>
      <c r="I95" s="1"/>
      <c r="J95" s="1"/>
      <c r="K95" s="1"/>
      <c r="L95" s="1"/>
      <c r="M95" s="177">
        <f>SUM(M12:M94)</f>
        <v>0</v>
      </c>
      <c r="N95" s="1"/>
      <c r="O95" s="177">
        <f aca="true" t="shared" si="31" ref="O95:X95">SUM(O12:O94)</f>
        <v>11111</v>
      </c>
      <c r="P95" s="177">
        <f t="shared" si="31"/>
        <v>11111</v>
      </c>
      <c r="Q95" s="177">
        <f t="shared" si="31"/>
        <v>11111</v>
      </c>
      <c r="R95" s="177">
        <f t="shared" si="31"/>
        <v>11111</v>
      </c>
      <c r="S95" s="177">
        <f t="shared" si="31"/>
        <v>11111</v>
      </c>
      <c r="T95" s="177">
        <f t="shared" si="31"/>
        <v>11111</v>
      </c>
      <c r="U95" s="177">
        <f t="shared" si="31"/>
        <v>11111</v>
      </c>
      <c r="V95" s="177">
        <f t="shared" si="31"/>
        <v>11111</v>
      </c>
      <c r="W95" s="177">
        <f t="shared" si="31"/>
        <v>11111</v>
      </c>
      <c r="X95" s="177">
        <f t="shared" si="31"/>
        <v>0</v>
      </c>
      <c r="Y95" s="1"/>
      <c r="Z95" s="14"/>
      <c r="AA95" s="13"/>
      <c r="AC95" s="1"/>
      <c r="AD95" s="177">
        <f aca="true" t="shared" si="32" ref="AD95:AM95">SUM(AD12:AD94)</f>
        <v>99999</v>
      </c>
      <c r="AE95" s="177">
        <f t="shared" si="32"/>
        <v>0</v>
      </c>
      <c r="AF95" s="177">
        <f t="shared" si="32"/>
        <v>0</v>
      </c>
      <c r="AG95" s="177">
        <f t="shared" si="32"/>
        <v>0</v>
      </c>
      <c r="AH95" s="177">
        <f t="shared" si="32"/>
        <v>0</v>
      </c>
      <c r="AI95" s="177">
        <f t="shared" si="32"/>
        <v>0</v>
      </c>
      <c r="AJ95" s="177">
        <f t="shared" si="32"/>
        <v>0</v>
      </c>
      <c r="AK95" s="177">
        <f t="shared" si="32"/>
        <v>0</v>
      </c>
      <c r="AL95" s="177">
        <f t="shared" si="32"/>
        <v>0</v>
      </c>
      <c r="AM95" s="177">
        <f t="shared" si="32"/>
        <v>0</v>
      </c>
      <c r="AN95" s="1"/>
      <c r="AO95" s="14"/>
    </row>
    <row r="96" spans="2:41" ht="12.75">
      <c r="B96" s="13"/>
      <c r="C96" s="1"/>
      <c r="D96" s="1"/>
      <c r="E96" s="1"/>
      <c r="F96" s="1"/>
      <c r="G96" s="1"/>
      <c r="H96" s="1"/>
      <c r="I96" s="1"/>
      <c r="J96" s="1"/>
      <c r="K96" s="1"/>
      <c r="L96" s="1"/>
      <c r="M96" s="1"/>
      <c r="N96" s="1"/>
      <c r="O96" s="1"/>
      <c r="P96" s="1"/>
      <c r="Q96" s="1"/>
      <c r="R96" s="1"/>
      <c r="S96" s="1"/>
      <c r="T96" s="1"/>
      <c r="U96" s="1"/>
      <c r="V96" s="1"/>
      <c r="W96" s="1"/>
      <c r="X96" s="1"/>
      <c r="Y96" s="1"/>
      <c r="Z96" s="14"/>
      <c r="AA96" s="13"/>
      <c r="AC96" s="1"/>
      <c r="AD96" s="94"/>
      <c r="AE96" s="1"/>
      <c r="AF96" s="1"/>
      <c r="AG96" s="1"/>
      <c r="AH96" s="1"/>
      <c r="AI96" s="1"/>
      <c r="AJ96" s="1"/>
      <c r="AK96" s="1"/>
      <c r="AL96" s="1"/>
      <c r="AM96" s="1"/>
      <c r="AN96" s="1"/>
      <c r="AO96" s="14"/>
    </row>
    <row r="97" spans="2:41" ht="13.5" thickBot="1">
      <c r="B97" s="48"/>
      <c r="C97" s="49"/>
      <c r="D97" s="49"/>
      <c r="E97" s="49"/>
      <c r="F97" s="49"/>
      <c r="G97" s="49"/>
      <c r="H97" s="49"/>
      <c r="I97" s="49"/>
      <c r="J97" s="49"/>
      <c r="K97" s="49"/>
      <c r="L97" s="49"/>
      <c r="M97" s="49"/>
      <c r="N97" s="49"/>
      <c r="O97" s="49"/>
      <c r="P97" s="49"/>
      <c r="Q97" s="49"/>
      <c r="R97" s="49"/>
      <c r="S97" s="49"/>
      <c r="T97" s="49"/>
      <c r="U97" s="49"/>
      <c r="V97" s="49"/>
      <c r="W97" s="49"/>
      <c r="X97" s="49"/>
      <c r="Y97" s="49"/>
      <c r="Z97" s="51"/>
      <c r="AA97" s="48"/>
      <c r="AB97" s="49"/>
      <c r="AC97" s="49"/>
      <c r="AD97" s="326"/>
      <c r="AE97" s="49"/>
      <c r="AF97" s="49"/>
      <c r="AG97" s="49"/>
      <c r="AH97" s="49"/>
      <c r="AI97" s="49"/>
      <c r="AJ97" s="49"/>
      <c r="AK97" s="49"/>
      <c r="AL97" s="49"/>
      <c r="AM97" s="49"/>
      <c r="AN97" s="49"/>
      <c r="AO97" s="51"/>
    </row>
  </sheetData>
  <sheetProtection password="DE55" sheet="1" objects="1" scenarios="1"/>
  <dataValidations count="2">
    <dataValidation type="list" allowBlank="1" showInputMessage="1" showErrorMessage="1" sqref="H12:H94">
      <formula1>"geen,1,2,3,4,5,6,7,8,9,10,11,12,13,14,15,16,17,18,19,20,21,22,23,24,25,26,27,28,29,30,31,32,33,34,35,36,37,38,39,40,41,42,43,44,45,46,47,48,49,50"</formula1>
    </dataValidation>
    <dataValidation type="list" allowBlank="1" showInputMessage="1" showErrorMessage="1" sqref="D12:D94">
      <formula1>"gebouwen en terreinen, inventaris en apparatuur, leermiddelen PO, overige materiële vaste activa,meubilair,ICT"</formula1>
    </dataValidation>
  </dataValidations>
  <printOptions/>
  <pageMargins left="0.75" right="0.75" top="1" bottom="1" header="0.5" footer="0.5"/>
  <pageSetup horizontalDpi="600" verticalDpi="600" orientation="landscape" paperSize="9" scale="38" r:id="rId2"/>
  <headerFooter alignWithMargins="0">
    <oddHeader>&amp;L&amp;"Arial,Vet"&amp;F&amp;R&amp;"Arial,Vet"&amp;A</oddHeader>
    <oddFooter>&amp;L&amp;"Arial,Vet"keizer / goedhart&amp;C&amp;"Arial,Vet"&amp;D&amp;R&amp;"Arial,Vet"pagina &amp;P</oddFooter>
  </headerFooter>
  <colBreaks count="1" manualBreakCount="1">
    <brk id="26" max="65535" man="1"/>
  </colBreaks>
  <drawing r:id="rId1"/>
</worksheet>
</file>

<file path=xl/worksheets/sheet12.xml><?xml version="1.0" encoding="utf-8"?>
<worksheet xmlns="http://schemas.openxmlformats.org/spreadsheetml/2006/main" xmlns:r="http://schemas.openxmlformats.org/officeDocument/2006/relationships">
  <dimension ref="B2:Q64"/>
  <sheetViews>
    <sheetView zoomScale="85" zoomScaleNormal="85" workbookViewId="0" topLeftCell="A1">
      <pane ySplit="8" topLeftCell="BM9" activePane="bottomLeft" state="frozen"/>
      <selection pane="topLeft" activeCell="A1" sqref="A1"/>
      <selection pane="bottomLeft" activeCell="B2" sqref="B2"/>
    </sheetView>
  </sheetViews>
  <sheetFormatPr defaultColWidth="9.140625" defaultRowHeight="12.75"/>
  <cols>
    <col min="1" max="1" width="5.7109375" style="7" customWidth="1"/>
    <col min="2" max="3" width="2.7109375" style="7" customWidth="1"/>
    <col min="4" max="4" width="45.7109375" style="7" customWidth="1"/>
    <col min="5" max="5" width="2.7109375" style="7" customWidth="1"/>
    <col min="6" max="8" width="16.8515625" style="7" customWidth="1"/>
    <col min="9" max="9" width="16.8515625" style="252" customWidth="1"/>
    <col min="10" max="15" width="16.8515625" style="7" customWidth="1"/>
    <col min="16" max="17" width="2.7109375" style="7" customWidth="1"/>
    <col min="18" max="16384" width="9.140625" style="7" customWidth="1"/>
  </cols>
  <sheetData>
    <row r="1" ht="12.75" customHeight="1" thickBot="1"/>
    <row r="2" spans="2:17" ht="12.75">
      <c r="B2" s="9"/>
      <c r="C2" s="10"/>
      <c r="D2" s="10"/>
      <c r="E2" s="10"/>
      <c r="F2" s="10"/>
      <c r="G2" s="10"/>
      <c r="H2" s="10"/>
      <c r="I2" s="253"/>
      <c r="J2" s="10"/>
      <c r="K2" s="10"/>
      <c r="L2" s="10"/>
      <c r="M2" s="10"/>
      <c r="N2" s="10"/>
      <c r="O2" s="10"/>
      <c r="P2" s="10"/>
      <c r="Q2" s="12"/>
    </row>
    <row r="3" spans="2:17" ht="12.75">
      <c r="B3" s="13"/>
      <c r="Q3" s="14"/>
    </row>
    <row r="4" spans="2:17" s="15" customFormat="1" ht="18">
      <c r="B4" s="221"/>
      <c r="C4" s="17" t="s">
        <v>330</v>
      </c>
      <c r="D4" s="17"/>
      <c r="H4" s="7"/>
      <c r="I4" s="7"/>
      <c r="J4" s="7"/>
      <c r="K4" s="7"/>
      <c r="L4" s="7"/>
      <c r="M4" s="7"/>
      <c r="N4" s="7"/>
      <c r="O4" s="7"/>
      <c r="Q4" s="20"/>
    </row>
    <row r="5" spans="2:17" ht="12" customHeight="1">
      <c r="B5" s="254"/>
      <c r="C5" s="128"/>
      <c r="D5" s="145"/>
      <c r="I5" s="7"/>
      <c r="Q5" s="14"/>
    </row>
    <row r="6" spans="2:17" ht="12" customHeight="1">
      <c r="B6" s="254"/>
      <c r="C6" s="128"/>
      <c r="D6" s="131"/>
      <c r="G6" s="88"/>
      <c r="I6" s="7"/>
      <c r="Q6" s="14"/>
    </row>
    <row r="7" spans="2:17" ht="12" customHeight="1">
      <c r="B7" s="37"/>
      <c r="C7" s="36"/>
      <c r="D7" s="255"/>
      <c r="F7" s="89">
        <f>mip!M10</f>
        <v>2009</v>
      </c>
      <c r="G7" s="89">
        <f aca="true" t="shared" si="0" ref="G7:O7">F7+1</f>
        <v>2010</v>
      </c>
      <c r="H7" s="89">
        <f t="shared" si="0"/>
        <v>2011</v>
      </c>
      <c r="I7" s="89">
        <f t="shared" si="0"/>
        <v>2012</v>
      </c>
      <c r="J7" s="89">
        <f t="shared" si="0"/>
        <v>2013</v>
      </c>
      <c r="K7" s="89">
        <f t="shared" si="0"/>
        <v>2014</v>
      </c>
      <c r="L7" s="89">
        <f t="shared" si="0"/>
        <v>2015</v>
      </c>
      <c r="M7" s="89">
        <f t="shared" si="0"/>
        <v>2016</v>
      </c>
      <c r="N7" s="89">
        <f t="shared" si="0"/>
        <v>2017</v>
      </c>
      <c r="O7" s="89">
        <f t="shared" si="0"/>
        <v>2018</v>
      </c>
      <c r="Q7" s="14"/>
    </row>
    <row r="8" spans="2:17" ht="12" customHeight="1">
      <c r="B8" s="254"/>
      <c r="C8" s="128"/>
      <c r="D8" s="131"/>
      <c r="I8" s="7"/>
      <c r="Q8" s="14"/>
    </row>
    <row r="9" spans="2:17" ht="12" customHeight="1">
      <c r="B9" s="254"/>
      <c r="C9" s="151"/>
      <c r="D9" s="153"/>
      <c r="E9" s="1"/>
      <c r="F9" s="1"/>
      <c r="G9" s="1"/>
      <c r="H9" s="1"/>
      <c r="I9" s="1"/>
      <c r="J9" s="1"/>
      <c r="K9" s="1"/>
      <c r="L9" s="1"/>
      <c r="M9" s="1"/>
      <c r="N9" s="1"/>
      <c r="O9" s="1"/>
      <c r="P9" s="1"/>
      <c r="Q9" s="14"/>
    </row>
    <row r="10" spans="2:17" ht="12" customHeight="1">
      <c r="B10" s="254"/>
      <c r="C10" s="151"/>
      <c r="D10" s="2" t="s">
        <v>328</v>
      </c>
      <c r="E10" s="1"/>
      <c r="F10" s="153"/>
      <c r="G10" s="153"/>
      <c r="H10" s="1"/>
      <c r="I10" s="1"/>
      <c r="J10" s="1"/>
      <c r="K10" s="1"/>
      <c r="L10" s="1"/>
      <c r="M10" s="1"/>
      <c r="N10" s="1"/>
      <c r="O10" s="1"/>
      <c r="P10" s="1"/>
      <c r="Q10" s="14"/>
    </row>
    <row r="11" spans="2:17" ht="12" customHeight="1">
      <c r="B11" s="254"/>
      <c r="C11" s="151"/>
      <c r="D11" s="91" t="s">
        <v>696</v>
      </c>
      <c r="E11" s="1"/>
      <c r="F11" s="176">
        <v>0</v>
      </c>
      <c r="G11" s="35">
        <f>F55</f>
        <v>0</v>
      </c>
      <c r="H11" s="35">
        <f aca="true" t="shared" si="1" ref="H11:O11">G55</f>
        <v>0</v>
      </c>
      <c r="I11" s="35">
        <f t="shared" si="1"/>
        <v>0</v>
      </c>
      <c r="J11" s="35">
        <f t="shared" si="1"/>
        <v>0</v>
      </c>
      <c r="K11" s="35">
        <f t="shared" si="1"/>
        <v>0</v>
      </c>
      <c r="L11" s="35">
        <f t="shared" si="1"/>
        <v>0</v>
      </c>
      <c r="M11" s="35">
        <f t="shared" si="1"/>
        <v>0</v>
      </c>
      <c r="N11" s="35">
        <f t="shared" si="1"/>
        <v>0</v>
      </c>
      <c r="O11" s="35">
        <f t="shared" si="1"/>
        <v>0</v>
      </c>
      <c r="P11" s="1"/>
      <c r="Q11" s="14"/>
    </row>
    <row r="12" spans="2:17" ht="12" customHeight="1">
      <c r="B12" s="254"/>
      <c r="C12" s="151"/>
      <c r="D12" s="91" t="s">
        <v>697</v>
      </c>
      <c r="E12" s="1"/>
      <c r="F12" s="259">
        <v>0</v>
      </c>
      <c r="G12" s="35">
        <f aca="true" t="shared" si="2" ref="G12:O16">F56</f>
        <v>88888</v>
      </c>
      <c r="H12" s="35">
        <f t="shared" si="2"/>
        <v>77777</v>
      </c>
      <c r="I12" s="35">
        <f t="shared" si="2"/>
        <v>66666</v>
      </c>
      <c r="J12" s="35">
        <f t="shared" si="2"/>
        <v>55555</v>
      </c>
      <c r="K12" s="35">
        <f t="shared" si="2"/>
        <v>44444</v>
      </c>
      <c r="L12" s="35">
        <f t="shared" si="2"/>
        <v>33333</v>
      </c>
      <c r="M12" s="35">
        <f t="shared" si="2"/>
        <v>22222</v>
      </c>
      <c r="N12" s="35">
        <f t="shared" si="2"/>
        <v>11111</v>
      </c>
      <c r="O12" s="35">
        <f t="shared" si="2"/>
        <v>0</v>
      </c>
      <c r="P12" s="1"/>
      <c r="Q12" s="14"/>
    </row>
    <row r="13" spans="2:17" ht="12" customHeight="1">
      <c r="B13" s="254"/>
      <c r="C13" s="151"/>
      <c r="D13" s="273" t="s">
        <v>454</v>
      </c>
      <c r="E13" s="1"/>
      <c r="F13" s="259">
        <v>0</v>
      </c>
      <c r="G13" s="35">
        <f t="shared" si="2"/>
        <v>0</v>
      </c>
      <c r="H13" s="35">
        <f t="shared" si="2"/>
        <v>0</v>
      </c>
      <c r="I13" s="35">
        <f t="shared" si="2"/>
        <v>0</v>
      </c>
      <c r="J13" s="35">
        <f t="shared" si="2"/>
        <v>0</v>
      </c>
      <c r="K13" s="35">
        <f t="shared" si="2"/>
        <v>0</v>
      </c>
      <c r="L13" s="35">
        <f t="shared" si="2"/>
        <v>0</v>
      </c>
      <c r="M13" s="35">
        <f t="shared" si="2"/>
        <v>0</v>
      </c>
      <c r="N13" s="35">
        <f t="shared" si="2"/>
        <v>0</v>
      </c>
      <c r="O13" s="35">
        <f t="shared" si="2"/>
        <v>0</v>
      </c>
      <c r="P13" s="1"/>
      <c r="Q13" s="14"/>
    </row>
    <row r="14" spans="2:17" ht="12" customHeight="1">
      <c r="B14" s="254"/>
      <c r="C14" s="151"/>
      <c r="D14" s="273" t="s">
        <v>455</v>
      </c>
      <c r="E14" s="1"/>
      <c r="F14" s="259">
        <v>0</v>
      </c>
      <c r="G14" s="35">
        <f t="shared" si="2"/>
        <v>0</v>
      </c>
      <c r="H14" s="35">
        <f t="shared" si="2"/>
        <v>0</v>
      </c>
      <c r="I14" s="35">
        <f t="shared" si="2"/>
        <v>0</v>
      </c>
      <c r="J14" s="35">
        <f t="shared" si="2"/>
        <v>0</v>
      </c>
      <c r="K14" s="35">
        <f t="shared" si="2"/>
        <v>0</v>
      </c>
      <c r="L14" s="35">
        <f t="shared" si="2"/>
        <v>0</v>
      </c>
      <c r="M14" s="35">
        <f t="shared" si="2"/>
        <v>0</v>
      </c>
      <c r="N14" s="35">
        <f t="shared" si="2"/>
        <v>0</v>
      </c>
      <c r="O14" s="35">
        <f t="shared" si="2"/>
        <v>0</v>
      </c>
      <c r="P14" s="1"/>
      <c r="Q14" s="14"/>
    </row>
    <row r="15" spans="2:17" ht="12" customHeight="1">
      <c r="B15" s="254"/>
      <c r="C15" s="151"/>
      <c r="D15" s="91" t="s">
        <v>698</v>
      </c>
      <c r="E15" s="1"/>
      <c r="F15" s="259">
        <v>0</v>
      </c>
      <c r="G15" s="35">
        <f t="shared" si="2"/>
        <v>0</v>
      </c>
      <c r="H15" s="35">
        <f t="shared" si="2"/>
        <v>0</v>
      </c>
      <c r="I15" s="35">
        <f t="shared" si="2"/>
        <v>0</v>
      </c>
      <c r="J15" s="35">
        <f t="shared" si="2"/>
        <v>0</v>
      </c>
      <c r="K15" s="35">
        <f t="shared" si="2"/>
        <v>0</v>
      </c>
      <c r="L15" s="35">
        <f t="shared" si="2"/>
        <v>0</v>
      </c>
      <c r="M15" s="35">
        <f t="shared" si="2"/>
        <v>0</v>
      </c>
      <c r="N15" s="35">
        <f t="shared" si="2"/>
        <v>0</v>
      </c>
      <c r="O15" s="35">
        <f t="shared" si="2"/>
        <v>0</v>
      </c>
      <c r="P15" s="1"/>
      <c r="Q15" s="14"/>
    </row>
    <row r="16" spans="2:17" ht="12" customHeight="1">
      <c r="B16" s="254"/>
      <c r="C16" s="151"/>
      <c r="D16" s="91" t="s">
        <v>699</v>
      </c>
      <c r="E16" s="1"/>
      <c r="F16" s="259">
        <v>0</v>
      </c>
      <c r="G16" s="35">
        <f t="shared" si="2"/>
        <v>0</v>
      </c>
      <c r="H16" s="35">
        <f t="shared" si="2"/>
        <v>0</v>
      </c>
      <c r="I16" s="35">
        <f t="shared" si="2"/>
        <v>0</v>
      </c>
      <c r="J16" s="35">
        <f t="shared" si="2"/>
        <v>0</v>
      </c>
      <c r="K16" s="35">
        <f t="shared" si="2"/>
        <v>0</v>
      </c>
      <c r="L16" s="35">
        <f t="shared" si="2"/>
        <v>0</v>
      </c>
      <c r="M16" s="35">
        <f t="shared" si="2"/>
        <v>0</v>
      </c>
      <c r="N16" s="35">
        <f t="shared" si="2"/>
        <v>0</v>
      </c>
      <c r="O16" s="35">
        <f t="shared" si="2"/>
        <v>0</v>
      </c>
      <c r="P16" s="1"/>
      <c r="Q16" s="14"/>
    </row>
    <row r="17" spans="2:17" ht="12" customHeight="1">
      <c r="B17" s="254"/>
      <c r="C17" s="151"/>
      <c r="D17" s="153" t="s">
        <v>700</v>
      </c>
      <c r="E17" s="1"/>
      <c r="F17" s="174">
        <f aca="true" t="shared" si="3" ref="F17:O17">SUM(F11:F16)</f>
        <v>0</v>
      </c>
      <c r="G17" s="174">
        <f t="shared" si="3"/>
        <v>88888</v>
      </c>
      <c r="H17" s="174">
        <f t="shared" si="3"/>
        <v>77777</v>
      </c>
      <c r="I17" s="174">
        <f t="shared" si="3"/>
        <v>66666</v>
      </c>
      <c r="J17" s="174">
        <f t="shared" si="3"/>
        <v>55555</v>
      </c>
      <c r="K17" s="174">
        <f t="shared" si="3"/>
        <v>44444</v>
      </c>
      <c r="L17" s="174">
        <f t="shared" si="3"/>
        <v>33333</v>
      </c>
      <c r="M17" s="174">
        <f t="shared" si="3"/>
        <v>22222</v>
      </c>
      <c r="N17" s="174">
        <f t="shared" si="3"/>
        <v>11111</v>
      </c>
      <c r="O17" s="174">
        <f t="shared" si="3"/>
        <v>0</v>
      </c>
      <c r="P17" s="1"/>
      <c r="Q17" s="14"/>
    </row>
    <row r="18" spans="2:17" ht="12" customHeight="1">
      <c r="B18" s="254"/>
      <c r="C18" s="151"/>
      <c r="D18" s="91"/>
      <c r="E18" s="1"/>
      <c r="F18" s="1"/>
      <c r="G18" s="1"/>
      <c r="H18" s="1"/>
      <c r="I18" s="1"/>
      <c r="J18" s="1"/>
      <c r="K18" s="158"/>
      <c r="L18" s="158"/>
      <c r="M18" s="158"/>
      <c r="N18" s="158"/>
      <c r="O18" s="158"/>
      <c r="P18" s="1"/>
      <c r="Q18" s="14"/>
    </row>
    <row r="19" spans="2:17" ht="12" customHeight="1">
      <c r="B19" s="254"/>
      <c r="C19" s="128"/>
      <c r="D19" s="131"/>
      <c r="I19" s="7"/>
      <c r="Q19" s="14"/>
    </row>
    <row r="20" spans="2:17" ht="12" customHeight="1">
      <c r="B20" s="254"/>
      <c r="C20" s="151"/>
      <c r="D20" s="153"/>
      <c r="E20" s="1"/>
      <c r="F20" s="1"/>
      <c r="G20" s="1"/>
      <c r="H20" s="1"/>
      <c r="I20" s="1"/>
      <c r="J20" s="1"/>
      <c r="K20" s="1"/>
      <c r="L20" s="1"/>
      <c r="M20" s="1"/>
      <c r="N20" s="1"/>
      <c r="O20" s="1"/>
      <c r="P20" s="1"/>
      <c r="Q20" s="14"/>
    </row>
    <row r="21" spans="2:17" ht="12" customHeight="1">
      <c r="B21" s="254"/>
      <c r="C21" s="151"/>
      <c r="D21" s="2" t="s">
        <v>342</v>
      </c>
      <c r="E21" s="1"/>
      <c r="F21" s="153"/>
      <c r="G21" s="153"/>
      <c r="H21" s="1"/>
      <c r="I21" s="1"/>
      <c r="J21" s="1"/>
      <c r="K21" s="1"/>
      <c r="L21" s="1"/>
      <c r="M21" s="1"/>
      <c r="N21" s="1"/>
      <c r="O21" s="1"/>
      <c r="P21" s="1"/>
      <c r="Q21" s="14"/>
    </row>
    <row r="22" spans="2:17" ht="12" customHeight="1">
      <c r="B22" s="254"/>
      <c r="C22" s="151"/>
      <c r="D22" s="91" t="s">
        <v>696</v>
      </c>
      <c r="E22" s="1"/>
      <c r="F22" s="35">
        <f>(SUMIF(mip!$D12:$D94,"gebouwen en terreinen",mip!AD12:AD94))</f>
        <v>0</v>
      </c>
      <c r="G22" s="35">
        <f>(SUMIF(mip!$D12:$D94,"gebouwen en terreinen",mip!AE12:AE94))</f>
        <v>0</v>
      </c>
      <c r="H22" s="35">
        <f>(SUMIF(mip!$D12:$D94,"gebouwen en terreinen",mip!AF12:AF94))</f>
        <v>0</v>
      </c>
      <c r="I22" s="35">
        <f>(SUMIF(mip!$D12:$D94,"gebouwen en terreinen",mip!AG12:AG94))</f>
        <v>0</v>
      </c>
      <c r="J22" s="35">
        <f>(SUMIF(mip!$D12:$D94,"gebouwen en terreinen",mip!AH12:AH94))</f>
        <v>0</v>
      </c>
      <c r="K22" s="35">
        <f>(SUMIF(mip!$D12:$D94,"gebouwen en terreinen",mip!AI12:AI94))</f>
        <v>0</v>
      </c>
      <c r="L22" s="35">
        <f>(SUMIF(mip!$D12:$D94,"gebouwen en terreinen",mip!AJ12:AJ94))</f>
        <v>0</v>
      </c>
      <c r="M22" s="35">
        <f>(SUMIF(mip!$D12:$D94,"gebouwen en terreinen",mip!AK12:AK94))</f>
        <v>0</v>
      </c>
      <c r="N22" s="35">
        <f>(SUMIF(mip!$D12:$D94,"gebouwen en terreinen",mip!AL12:AL94))</f>
        <v>0</v>
      </c>
      <c r="O22" s="35">
        <f>(SUMIF(mip!$D12:$D94,"gebouwen en terreinen",mip!AM12:AM94))</f>
        <v>0</v>
      </c>
      <c r="P22" s="1"/>
      <c r="Q22" s="14"/>
    </row>
    <row r="23" spans="2:17" ht="12" customHeight="1">
      <c r="B23" s="254"/>
      <c r="C23" s="151"/>
      <c r="D23" s="91" t="s">
        <v>697</v>
      </c>
      <c r="E23" s="1"/>
      <c r="F23" s="258">
        <f>(SUMIF(mip!$D12:$D94,"inventaris en apparatuur",mip!AD12:AD94))</f>
        <v>99999</v>
      </c>
      <c r="G23" s="258">
        <f>(SUMIF(mip!$D12:$D94,"inventaris en apparatuur",mip!AE12:AE94))</f>
        <v>0</v>
      </c>
      <c r="H23" s="258">
        <f>(SUMIF(mip!$D12:$D94,"inventaris en apparatuur",mip!AF12:AF94))</f>
        <v>0</v>
      </c>
      <c r="I23" s="258">
        <f>(SUMIF(mip!$D12:$D94,"inventaris en apparatuur",mip!AG12:AG94))</f>
        <v>0</v>
      </c>
      <c r="J23" s="258">
        <f>(SUMIF(mip!$D12:$D94,"inventaris en apparatuur",mip!AH12:AH94))</f>
        <v>0</v>
      </c>
      <c r="K23" s="258">
        <f>(SUMIF(mip!$D12:$D94,"inventaris en apparatuur",mip!AI12:AI94))</f>
        <v>0</v>
      </c>
      <c r="L23" s="258">
        <f>(SUMIF(mip!$D12:$D94,"inventaris en apparatuur",mip!AJ12:AJ94))</f>
        <v>0</v>
      </c>
      <c r="M23" s="258">
        <f>(SUMIF(mip!$D12:$D94,"inventaris en apparatuur",mip!AK12:AK94))</f>
        <v>0</v>
      </c>
      <c r="N23" s="258">
        <f>(SUMIF(mip!$D12:$D94,"inventaris en apparatuur",mip!AL12:AL94))</f>
        <v>0</v>
      </c>
      <c r="O23" s="258">
        <f>(SUMIF(mip!$D12:$D94,"inventaris en apparatuur",mip!AM12:AM94))</f>
        <v>0</v>
      </c>
      <c r="P23" s="1"/>
      <c r="Q23" s="14"/>
    </row>
    <row r="24" spans="2:17" ht="12" customHeight="1">
      <c r="B24" s="254"/>
      <c r="C24" s="151"/>
      <c r="D24" s="273" t="s">
        <v>454</v>
      </c>
      <c r="E24" s="1"/>
      <c r="F24" s="258">
        <f>(SUMIF(mip!$D12:$D94,"meubilair",mip!AD12:AD94))</f>
        <v>0</v>
      </c>
      <c r="G24" s="258">
        <f>(SUMIF(mip!$D12:$D94,"meubilair",mip!AE12:AE94))</f>
        <v>0</v>
      </c>
      <c r="H24" s="258">
        <f>(SUMIF(mip!$D12:$D94,"meubilair",mip!AF12:AF94))</f>
        <v>0</v>
      </c>
      <c r="I24" s="258">
        <f>(SUMIF(mip!$D12:$D94,"meubilair",mip!AG12:AG94))</f>
        <v>0</v>
      </c>
      <c r="J24" s="258">
        <f>(SUMIF(mip!$D12:$D94,"meubilair",mip!AH12:AH94))</f>
        <v>0</v>
      </c>
      <c r="K24" s="258">
        <f>(SUMIF(mip!$D12:$D94,"meubilair",mip!AI12:AI94))</f>
        <v>0</v>
      </c>
      <c r="L24" s="258">
        <f>(SUMIF(mip!$D12:$D94,"meubilair",mip!AJ12:AJ94))</f>
        <v>0</v>
      </c>
      <c r="M24" s="258">
        <f>(SUMIF(mip!$D12:$D94,"meubilair",mip!AK12:AK94))</f>
        <v>0</v>
      </c>
      <c r="N24" s="258">
        <f>(SUMIF(mip!$D12:$D94,"meubilair",mip!AL12:AL94))</f>
        <v>0</v>
      </c>
      <c r="O24" s="258">
        <f>(SUMIF(mip!$D12:$D94,"meubilair",mip!AM12:AM94))</f>
        <v>0</v>
      </c>
      <c r="P24" s="1"/>
      <c r="Q24" s="14"/>
    </row>
    <row r="25" spans="2:17" ht="12" customHeight="1">
      <c r="B25" s="254"/>
      <c r="C25" s="151"/>
      <c r="D25" s="273" t="s">
        <v>455</v>
      </c>
      <c r="E25" s="1"/>
      <c r="F25" s="258">
        <f>(SUMIF(mip!$D12:$D94,"ict",mip!AD12:AD94))</f>
        <v>0</v>
      </c>
      <c r="G25" s="258">
        <f>(SUMIF(mip!$D12:$D94,"ict",mip!AE12:AE94))</f>
        <v>0</v>
      </c>
      <c r="H25" s="258">
        <f>(SUMIF(mip!$D12:$D94,"ict",mip!AF12:AF94))</f>
        <v>0</v>
      </c>
      <c r="I25" s="258">
        <f>(SUMIF(mip!$D12:$D94,"ict",mip!AG12:AG94))</f>
        <v>0</v>
      </c>
      <c r="J25" s="258">
        <f>(SUMIF(mip!$D12:$D94,"ict",mip!AH12:AH94))</f>
        <v>0</v>
      </c>
      <c r="K25" s="258">
        <f>(SUMIF(mip!$D12:$D94,"ict",mip!AI12:AI94))</f>
        <v>0</v>
      </c>
      <c r="L25" s="258">
        <f>(SUMIF(mip!$D12:$D94,"ict",mip!AJ12:AJ94))</f>
        <v>0</v>
      </c>
      <c r="M25" s="258">
        <f>(SUMIF(mip!$D12:$D94,"ict",mip!AK12:AK94))</f>
        <v>0</v>
      </c>
      <c r="N25" s="258">
        <f>(SUMIF(mip!$D12:$D94,"ict",mip!AL12:AL94))</f>
        <v>0</v>
      </c>
      <c r="O25" s="258">
        <f>(SUMIF(mip!$D12:$D94,"ict",mip!AM12:AM94))</f>
        <v>0</v>
      </c>
      <c r="P25" s="1"/>
      <c r="Q25" s="14"/>
    </row>
    <row r="26" spans="2:17" ht="12" customHeight="1">
      <c r="B26" s="254"/>
      <c r="C26" s="151"/>
      <c r="D26" s="91" t="s">
        <v>698</v>
      </c>
      <c r="E26" s="1"/>
      <c r="F26" s="258">
        <f>(SUMIF(mip!$D12:$D94,"leermiddelen po",mip!AD12:AD94))</f>
        <v>0</v>
      </c>
      <c r="G26" s="258">
        <f>(SUMIF(mip!$D12:$D94,"leermiddelen po",mip!AE12:AE94))</f>
        <v>0</v>
      </c>
      <c r="H26" s="258">
        <f>(SUMIF(mip!$D12:$D94,"leermiddelen po",mip!AF12:AF94))</f>
        <v>0</v>
      </c>
      <c r="I26" s="258">
        <f>(SUMIF(mip!$D12:$D94,"leermiddelen po",mip!AG12:AG94))</f>
        <v>0</v>
      </c>
      <c r="J26" s="258">
        <f>(SUMIF(mip!$D12:$D94,"leermiddelen po",mip!AH12:AH94))</f>
        <v>0</v>
      </c>
      <c r="K26" s="258">
        <f>(SUMIF(mip!$D12:$D94,"leermiddelen po",mip!AI12:AI94))</f>
        <v>0</v>
      </c>
      <c r="L26" s="258">
        <f>(SUMIF(mip!$D12:$D94,"leermiddelen po",mip!AJ12:AJ94))</f>
        <v>0</v>
      </c>
      <c r="M26" s="258">
        <f>(SUMIF(mip!$D12:$D94,"leermiddelen po",mip!AK12:AK94))</f>
        <v>0</v>
      </c>
      <c r="N26" s="258">
        <f>(SUMIF(mip!$D12:$D94,"leermiddelen po",mip!AL12:AL94))</f>
        <v>0</v>
      </c>
      <c r="O26" s="258">
        <f>(SUMIF(mip!$D12:$D94,"leermiddelen po",mip!AM12:AM94))</f>
        <v>0</v>
      </c>
      <c r="P26" s="1"/>
      <c r="Q26" s="14"/>
    </row>
    <row r="27" spans="2:17" ht="12" customHeight="1">
      <c r="B27" s="254"/>
      <c r="C27" s="151"/>
      <c r="D27" s="91" t="s">
        <v>699</v>
      </c>
      <c r="E27" s="1"/>
      <c r="F27" s="258">
        <f>(SUMIF(mip!$D12:$D94,"overige materiële vaste activa",mip!AD12:AD94))</f>
        <v>0</v>
      </c>
      <c r="G27" s="258">
        <f>(SUMIF(mip!$D12:$D94,"overige materiële vaste activa",mip!AE12:AE94))</f>
        <v>0</v>
      </c>
      <c r="H27" s="258">
        <f>(SUMIF(mip!$D12:$D94,"overige materiële vaste activa",mip!AF12:AF94))</f>
        <v>0</v>
      </c>
      <c r="I27" s="258">
        <f>(SUMIF(mip!$D12:$D94,"overige materiële vaste activa",mip!AG12:AG94))</f>
        <v>0</v>
      </c>
      <c r="J27" s="258">
        <f>(SUMIF(mip!$D12:$D94,"overige materiële vaste activa",mip!AH12:AH94))</f>
        <v>0</v>
      </c>
      <c r="K27" s="258">
        <f>(SUMIF(mip!$D12:$D94,"overige materiële vaste activa",mip!AI12:AI94))</f>
        <v>0</v>
      </c>
      <c r="L27" s="258">
        <f>(SUMIF(mip!$D12:$D94,"overige materiële vaste activa",mip!AJ12:AJ94))</f>
        <v>0</v>
      </c>
      <c r="M27" s="258">
        <f>(SUMIF(mip!$D12:$D94,"overige materiële vaste activa",mip!AK12:AK94))</f>
        <v>0</v>
      </c>
      <c r="N27" s="258">
        <f>(SUMIF(mip!$D12:$D94,"overige materiële vaste activa",mip!AL12:AL94))</f>
        <v>0</v>
      </c>
      <c r="O27" s="258">
        <f>(SUMIF(mip!$D12:$D94,"overige materiële vaste activa",mip!AM12:AM94))</f>
        <v>0</v>
      </c>
      <c r="P27" s="1"/>
      <c r="Q27" s="14"/>
    </row>
    <row r="28" spans="2:17" ht="12" customHeight="1">
      <c r="B28" s="254"/>
      <c r="C28" s="151"/>
      <c r="D28" s="153" t="s">
        <v>700</v>
      </c>
      <c r="E28" s="1"/>
      <c r="F28" s="174">
        <f aca="true" t="shared" si="4" ref="F28:O28">SUM(F22:F27)</f>
        <v>99999</v>
      </c>
      <c r="G28" s="174">
        <f t="shared" si="4"/>
        <v>0</v>
      </c>
      <c r="H28" s="174">
        <f t="shared" si="4"/>
        <v>0</v>
      </c>
      <c r="I28" s="174">
        <f t="shared" si="4"/>
        <v>0</v>
      </c>
      <c r="J28" s="174">
        <f t="shared" si="4"/>
        <v>0</v>
      </c>
      <c r="K28" s="174">
        <f t="shared" si="4"/>
        <v>0</v>
      </c>
      <c r="L28" s="174">
        <f t="shared" si="4"/>
        <v>0</v>
      </c>
      <c r="M28" s="174">
        <f t="shared" si="4"/>
        <v>0</v>
      </c>
      <c r="N28" s="174">
        <f t="shared" si="4"/>
        <v>0</v>
      </c>
      <c r="O28" s="174">
        <f t="shared" si="4"/>
        <v>0</v>
      </c>
      <c r="P28" s="1"/>
      <c r="Q28" s="14"/>
    </row>
    <row r="29" spans="2:17" ht="12" customHeight="1">
      <c r="B29" s="254"/>
      <c r="C29" s="151"/>
      <c r="D29" s="91"/>
      <c r="E29" s="1"/>
      <c r="F29" s="1"/>
      <c r="G29" s="1"/>
      <c r="H29" s="1"/>
      <c r="I29" s="1"/>
      <c r="J29" s="1"/>
      <c r="K29" s="1"/>
      <c r="L29" s="1"/>
      <c r="M29" s="1"/>
      <c r="N29" s="1"/>
      <c r="O29" s="1"/>
      <c r="P29" s="1"/>
      <c r="Q29" s="14"/>
    </row>
    <row r="30" spans="2:17" ht="12" customHeight="1">
      <c r="B30" s="254"/>
      <c r="C30" s="128"/>
      <c r="D30" s="99"/>
      <c r="I30" s="7"/>
      <c r="Q30" s="14"/>
    </row>
    <row r="31" spans="2:17" ht="12" customHeight="1">
      <c r="B31" s="254"/>
      <c r="C31" s="151"/>
      <c r="D31" s="91"/>
      <c r="E31" s="1"/>
      <c r="F31" s="1"/>
      <c r="G31" s="1"/>
      <c r="H31" s="1"/>
      <c r="I31" s="1"/>
      <c r="J31" s="1"/>
      <c r="K31" s="1"/>
      <c r="L31" s="1"/>
      <c r="M31" s="1"/>
      <c r="N31" s="1"/>
      <c r="O31" s="1"/>
      <c r="P31" s="1"/>
      <c r="Q31" s="14"/>
    </row>
    <row r="32" spans="2:17" ht="12" customHeight="1">
      <c r="B32" s="254"/>
      <c r="C32" s="151"/>
      <c r="D32" s="2" t="s">
        <v>616</v>
      </c>
      <c r="E32" s="1"/>
      <c r="F32" s="1"/>
      <c r="G32" s="1"/>
      <c r="H32" s="1"/>
      <c r="I32" s="1"/>
      <c r="J32" s="1"/>
      <c r="K32" s="1"/>
      <c r="L32" s="1"/>
      <c r="M32" s="1"/>
      <c r="N32" s="1"/>
      <c r="O32" s="1"/>
      <c r="P32" s="1"/>
      <c r="Q32" s="14"/>
    </row>
    <row r="33" spans="2:17" ht="12" customHeight="1">
      <c r="B33" s="254"/>
      <c r="C33" s="151"/>
      <c r="D33" s="91" t="s">
        <v>696</v>
      </c>
      <c r="E33" s="1"/>
      <c r="F33" s="35">
        <f>(SUMIF(mip!$D12:$D94,"gebouwen en terreinen",mip!O12:O94))</f>
        <v>0</v>
      </c>
      <c r="G33" s="35">
        <f>(SUMIF(mip!$D12:$D94,"gebouwen en terreinen",mip!P12:P94))</f>
        <v>0</v>
      </c>
      <c r="H33" s="35">
        <f>(SUMIF(mip!$D12:$D94,"gebouwen en terreinen",mip!Q12:Q94))</f>
        <v>0</v>
      </c>
      <c r="I33" s="35">
        <f>(SUMIF(mip!$D12:$D94,"gebouwen en terreinen",mip!R12:R94))</f>
        <v>0</v>
      </c>
      <c r="J33" s="35">
        <f>(SUMIF(mip!$D12:$D94,"gebouwen en terreinen",mip!S12:S94))</f>
        <v>0</v>
      </c>
      <c r="K33" s="35">
        <f>(SUMIF(mip!$D12:$D94,"gebouwen en terreinen",mip!T12:T94))</f>
        <v>0</v>
      </c>
      <c r="L33" s="35">
        <f>(SUMIF(mip!$D12:$D94,"gebouwen en terreinen",mip!U12:U94))</f>
        <v>0</v>
      </c>
      <c r="M33" s="35">
        <f>(SUMIF(mip!$D12:$D94,"gebouwen en terreinen",mip!V12:V94))</f>
        <v>0</v>
      </c>
      <c r="N33" s="35">
        <f>(SUMIF(mip!$D12:$D94,"gebouwen en terreinen",mip!W12:W94))</f>
        <v>0</v>
      </c>
      <c r="O33" s="35">
        <f>(SUMIF(mip!$D12:$D94,"gebouwen en terreinen",mip!X12:X94))</f>
        <v>0</v>
      </c>
      <c r="P33" s="1"/>
      <c r="Q33" s="14"/>
    </row>
    <row r="34" spans="2:17" ht="12" customHeight="1">
      <c r="B34" s="254"/>
      <c r="C34" s="151"/>
      <c r="D34" s="91" t="s">
        <v>697</v>
      </c>
      <c r="E34" s="1"/>
      <c r="F34" s="35">
        <f>(SUMIF(mip!$D12:$D94,"inventaris en apparatuur",mip!O12:O94))</f>
        <v>11111</v>
      </c>
      <c r="G34" s="35">
        <f>(SUMIF(mip!$D12:$D94,"inventaris en apparatuur",mip!P12:P94))</f>
        <v>11111</v>
      </c>
      <c r="H34" s="35">
        <f>(SUMIF(mip!$D12:$D94,"inventaris en apparatuur",mip!Q12:Q94))</f>
        <v>11111</v>
      </c>
      <c r="I34" s="35">
        <f>(SUMIF(mip!$D12:$D94,"inventaris en apparatuur",mip!R12:R94))</f>
        <v>11111</v>
      </c>
      <c r="J34" s="35">
        <f>(SUMIF(mip!$D12:$D94,"inventaris en apparatuur",mip!S12:S94))</f>
        <v>11111</v>
      </c>
      <c r="K34" s="35">
        <f>(SUMIF(mip!$D12:$D94,"inventaris en apparatuur",mip!T12:T94))</f>
        <v>11111</v>
      </c>
      <c r="L34" s="35">
        <f>(SUMIF(mip!$D12:$D94,"inventaris en apparatuur",mip!U12:U94))</f>
        <v>11111</v>
      </c>
      <c r="M34" s="35">
        <f>(SUMIF(mip!$D12:$D94,"inventaris en apparatuur",mip!V12:V94))</f>
        <v>11111</v>
      </c>
      <c r="N34" s="35">
        <f>(SUMIF(mip!$D12:$D94,"inventaris en apparatuur",mip!W12:W94))</f>
        <v>11111</v>
      </c>
      <c r="O34" s="35">
        <f>(SUMIF(mip!$D12:$D94,"inventaris en apparatuur",mip!X12:X94))</f>
        <v>0</v>
      </c>
      <c r="P34" s="1"/>
      <c r="Q34" s="14"/>
    </row>
    <row r="35" spans="2:17" ht="12" customHeight="1">
      <c r="B35" s="254"/>
      <c r="C35" s="151"/>
      <c r="D35" s="273" t="s">
        <v>454</v>
      </c>
      <c r="E35" s="1"/>
      <c r="F35" s="35">
        <f>(SUMIF(mip!$D12:$D94,"meubilair",mip!O12:O94))</f>
        <v>0</v>
      </c>
      <c r="G35" s="35">
        <f>(SUMIF(mip!$D12:$D94,"meubilair",mip!P12:P94))</f>
        <v>0</v>
      </c>
      <c r="H35" s="35">
        <f>(SUMIF(mip!$D12:$D94,"meubilair",mip!Q12:Q94))</f>
        <v>0</v>
      </c>
      <c r="I35" s="35">
        <f>(SUMIF(mip!$D12:$D94,"meubilair",mip!R12:R94))</f>
        <v>0</v>
      </c>
      <c r="J35" s="35">
        <f>(SUMIF(mip!$D12:$D94,"meubilair",mip!S12:S94))</f>
        <v>0</v>
      </c>
      <c r="K35" s="35">
        <f>(SUMIF(mip!$D12:$D94,"meubilair",mip!T12:T94))</f>
        <v>0</v>
      </c>
      <c r="L35" s="35">
        <f>(SUMIF(mip!$D12:$D94,"meubilair",mip!U12:U94))</f>
        <v>0</v>
      </c>
      <c r="M35" s="35">
        <f>(SUMIF(mip!$D12:$D94,"meubilair",mip!V12:V94))</f>
        <v>0</v>
      </c>
      <c r="N35" s="35">
        <f>(SUMIF(mip!$D12:$D94,"meubilair",mip!W12:W94))</f>
        <v>0</v>
      </c>
      <c r="O35" s="35">
        <f>(SUMIF(mip!$D12:$D94,"meubilair",mip!X12:X94))</f>
        <v>0</v>
      </c>
      <c r="P35" s="1"/>
      <c r="Q35" s="14"/>
    </row>
    <row r="36" spans="2:17" ht="12" customHeight="1">
      <c r="B36" s="254"/>
      <c r="C36" s="151"/>
      <c r="D36" s="273" t="s">
        <v>455</v>
      </c>
      <c r="E36" s="1"/>
      <c r="F36" s="35">
        <f>(SUMIF(mip!$D12:$D94,"ict",mip!O12:O94))</f>
        <v>0</v>
      </c>
      <c r="G36" s="35">
        <f>(SUMIF(mip!$D12:$D94,"ict",mip!P12:P94))</f>
        <v>0</v>
      </c>
      <c r="H36" s="35">
        <f>(SUMIF(mip!$D12:$D94,"ict",mip!Q12:Q94))</f>
        <v>0</v>
      </c>
      <c r="I36" s="35">
        <f>(SUMIF(mip!$D12:$D94,"ict",mip!R12:R94))</f>
        <v>0</v>
      </c>
      <c r="J36" s="35">
        <f>(SUMIF(mip!$D12:$D94,"ict",mip!S12:S94))</f>
        <v>0</v>
      </c>
      <c r="K36" s="35">
        <f>(SUMIF(mip!$D12:$D94,"ict",mip!T12:T94))</f>
        <v>0</v>
      </c>
      <c r="L36" s="35">
        <f>(SUMIF(mip!$D12:$D94,"ict",mip!U12:U94))</f>
        <v>0</v>
      </c>
      <c r="M36" s="35">
        <f>(SUMIF(mip!$D12:$D94,"ict",mip!V12:V94))</f>
        <v>0</v>
      </c>
      <c r="N36" s="35">
        <f>(SUMIF(mip!$D12:$D94,"ict",mip!W12:W94))</f>
        <v>0</v>
      </c>
      <c r="O36" s="35">
        <f>(SUMIF(mip!$D12:$D94,"ict",mip!X12:X94))</f>
        <v>0</v>
      </c>
      <c r="P36" s="1"/>
      <c r="Q36" s="14"/>
    </row>
    <row r="37" spans="2:17" ht="12" customHeight="1">
      <c r="B37" s="254"/>
      <c r="C37" s="151"/>
      <c r="D37" s="91" t="s">
        <v>698</v>
      </c>
      <c r="E37" s="1"/>
      <c r="F37" s="35">
        <f>(SUMIF(mip!$D12:$D94,"leermiddelen po",mip!O12:O94))</f>
        <v>0</v>
      </c>
      <c r="G37" s="35">
        <f>(SUMIF(mip!$D12:$D94,"leermiddelen po",mip!P12:P94))</f>
        <v>0</v>
      </c>
      <c r="H37" s="35">
        <f>(SUMIF(mip!$D12:$D94,"leermiddelen po",mip!Q12:Q94))</f>
        <v>0</v>
      </c>
      <c r="I37" s="35">
        <f>(SUMIF(mip!$D12:$D94,"leermiddelen po",mip!R12:R94))</f>
        <v>0</v>
      </c>
      <c r="J37" s="35">
        <f>(SUMIF(mip!$D12:$D94,"leermiddelen po",mip!S12:S94))</f>
        <v>0</v>
      </c>
      <c r="K37" s="35">
        <f>(SUMIF(mip!$D12:$D94,"leermiddelen po",mip!T12:T94))</f>
        <v>0</v>
      </c>
      <c r="L37" s="35">
        <f>(SUMIF(mip!$D12:$D94,"leermiddelen po",mip!U12:U94))</f>
        <v>0</v>
      </c>
      <c r="M37" s="35">
        <f>(SUMIF(mip!$D12:$D94,"leermiddelen po",mip!V12:V94))</f>
        <v>0</v>
      </c>
      <c r="N37" s="35">
        <f>(SUMIF(mip!$D12:$D94,"leermiddelen po",mip!W12:W94))</f>
        <v>0</v>
      </c>
      <c r="O37" s="35">
        <f>(SUMIF(mip!$D12:$D94,"leermiddelen po",mip!X12:X94))</f>
        <v>0</v>
      </c>
      <c r="P37" s="1"/>
      <c r="Q37" s="14"/>
    </row>
    <row r="38" spans="2:17" ht="12" customHeight="1">
      <c r="B38" s="254"/>
      <c r="C38" s="151"/>
      <c r="D38" s="91" t="s">
        <v>699</v>
      </c>
      <c r="E38" s="1"/>
      <c r="F38" s="35">
        <f>(SUMIF(mip!$D12:$D94,"overige materiële vaste activa",mip!O12:O94))</f>
        <v>0</v>
      </c>
      <c r="G38" s="35">
        <f>(SUMIF(mip!$D12:$D94,"overige materiële vaste activa",mip!P12:P94))</f>
        <v>0</v>
      </c>
      <c r="H38" s="35">
        <f>(SUMIF(mip!$D12:$D94,"overige materiële vaste activa",mip!Q12:Q94))</f>
        <v>0</v>
      </c>
      <c r="I38" s="35">
        <f>(SUMIF(mip!$D12:$D94,"overige materiële vaste activa",mip!R12:R94))</f>
        <v>0</v>
      </c>
      <c r="J38" s="35">
        <f>(SUMIF(mip!$D12:$D94,"overige materiële vaste activa",mip!S12:S94))</f>
        <v>0</v>
      </c>
      <c r="K38" s="35">
        <f>(SUMIF(mip!$D12:$D94,"overige materiële vaste activa",mip!T12:T94))</f>
        <v>0</v>
      </c>
      <c r="L38" s="35">
        <f>(SUMIF(mip!$D12:$D94,"overige materiële vaste activa",mip!U12:U94))</f>
        <v>0</v>
      </c>
      <c r="M38" s="35">
        <f>(SUMIF(mip!$D12:$D94,"overige materiële vaste activa",mip!V12:V94))</f>
        <v>0</v>
      </c>
      <c r="N38" s="35">
        <f>(SUMIF(mip!$D12:$D94,"overige materiële vaste activa",mip!W12:W94))</f>
        <v>0</v>
      </c>
      <c r="O38" s="35">
        <f>(SUMIF(mip!$D12:$D94,"overige materiële vaste activa",mip!X12:X94))</f>
        <v>0</v>
      </c>
      <c r="P38" s="1"/>
      <c r="Q38" s="14"/>
    </row>
    <row r="39" spans="2:17" ht="12" customHeight="1">
      <c r="B39" s="254"/>
      <c r="C39" s="151"/>
      <c r="D39" s="153" t="s">
        <v>700</v>
      </c>
      <c r="E39" s="1"/>
      <c r="F39" s="174">
        <f aca="true" t="shared" si="5" ref="F39:O39">SUM(F33:F38)</f>
        <v>11111</v>
      </c>
      <c r="G39" s="174">
        <f t="shared" si="5"/>
        <v>11111</v>
      </c>
      <c r="H39" s="174">
        <f t="shared" si="5"/>
        <v>11111</v>
      </c>
      <c r="I39" s="174">
        <f t="shared" si="5"/>
        <v>11111</v>
      </c>
      <c r="J39" s="174">
        <f t="shared" si="5"/>
        <v>11111</v>
      </c>
      <c r="K39" s="174">
        <f t="shared" si="5"/>
        <v>11111</v>
      </c>
      <c r="L39" s="174">
        <f t="shared" si="5"/>
        <v>11111</v>
      </c>
      <c r="M39" s="174">
        <f t="shared" si="5"/>
        <v>11111</v>
      </c>
      <c r="N39" s="174">
        <f t="shared" si="5"/>
        <v>11111</v>
      </c>
      <c r="O39" s="174">
        <f t="shared" si="5"/>
        <v>0</v>
      </c>
      <c r="P39" s="1"/>
      <c r="Q39" s="14"/>
    </row>
    <row r="40" spans="2:17" ht="12" customHeight="1">
      <c r="B40" s="254"/>
      <c r="C40" s="151"/>
      <c r="D40" s="153"/>
      <c r="E40" s="1"/>
      <c r="F40" s="179"/>
      <c r="G40" s="179"/>
      <c r="H40" s="179"/>
      <c r="I40" s="179"/>
      <c r="J40" s="179"/>
      <c r="K40" s="179"/>
      <c r="L40" s="179"/>
      <c r="M40" s="179"/>
      <c r="N40" s="179"/>
      <c r="O40" s="179"/>
      <c r="P40" s="1"/>
      <c r="Q40" s="14"/>
    </row>
    <row r="41" spans="2:17" ht="12" customHeight="1">
      <c r="B41" s="254"/>
      <c r="C41" s="151"/>
      <c r="D41" s="2" t="s">
        <v>458</v>
      </c>
      <c r="E41" s="1"/>
      <c r="F41" s="1"/>
      <c r="G41" s="1"/>
      <c r="H41" s="1"/>
      <c r="I41" s="1"/>
      <c r="J41" s="1"/>
      <c r="K41" s="1"/>
      <c r="L41" s="1"/>
      <c r="M41" s="1"/>
      <c r="N41" s="1"/>
      <c r="O41" s="1"/>
      <c r="P41" s="1"/>
      <c r="Q41" s="14"/>
    </row>
    <row r="42" spans="2:17" ht="12" customHeight="1">
      <c r="B42" s="254"/>
      <c r="C42" s="151"/>
      <c r="D42" s="91" t="s">
        <v>696</v>
      </c>
      <c r="E42" s="1"/>
      <c r="F42" s="175">
        <v>0</v>
      </c>
      <c r="G42" s="175">
        <v>0</v>
      </c>
      <c r="H42" s="175">
        <v>0</v>
      </c>
      <c r="I42" s="175">
        <v>0</v>
      </c>
      <c r="J42" s="175">
        <v>0</v>
      </c>
      <c r="K42" s="175">
        <v>0</v>
      </c>
      <c r="L42" s="175">
        <v>0</v>
      </c>
      <c r="M42" s="175">
        <v>0</v>
      </c>
      <c r="N42" s="175">
        <v>0</v>
      </c>
      <c r="O42" s="175">
        <v>0</v>
      </c>
      <c r="P42" s="1"/>
      <c r="Q42" s="14"/>
    </row>
    <row r="43" spans="2:17" ht="12" customHeight="1">
      <c r="B43" s="254"/>
      <c r="C43" s="151"/>
      <c r="D43" s="91" t="s">
        <v>697</v>
      </c>
      <c r="E43" s="1"/>
      <c r="F43" s="175">
        <v>0</v>
      </c>
      <c r="G43" s="175">
        <v>0</v>
      </c>
      <c r="H43" s="175">
        <v>0</v>
      </c>
      <c r="I43" s="175">
        <v>0</v>
      </c>
      <c r="J43" s="175">
        <v>0</v>
      </c>
      <c r="K43" s="175">
        <v>0</v>
      </c>
      <c r="L43" s="175">
        <v>0</v>
      </c>
      <c r="M43" s="175">
        <v>0</v>
      </c>
      <c r="N43" s="175">
        <v>0</v>
      </c>
      <c r="O43" s="175">
        <v>0</v>
      </c>
      <c r="P43" s="1"/>
      <c r="Q43" s="14"/>
    </row>
    <row r="44" spans="2:17" ht="12" customHeight="1">
      <c r="B44" s="254"/>
      <c r="C44" s="151"/>
      <c r="D44" s="273" t="s">
        <v>454</v>
      </c>
      <c r="E44" s="1"/>
      <c r="F44" s="175">
        <v>0</v>
      </c>
      <c r="G44" s="175">
        <v>0</v>
      </c>
      <c r="H44" s="175">
        <v>0</v>
      </c>
      <c r="I44" s="175">
        <v>0</v>
      </c>
      <c r="J44" s="175">
        <v>0</v>
      </c>
      <c r="K44" s="175">
        <v>0</v>
      </c>
      <c r="L44" s="175">
        <v>0</v>
      </c>
      <c r="M44" s="175">
        <v>0</v>
      </c>
      <c r="N44" s="175">
        <v>0</v>
      </c>
      <c r="O44" s="175">
        <v>0</v>
      </c>
      <c r="P44" s="1"/>
      <c r="Q44" s="14"/>
    </row>
    <row r="45" spans="2:17" ht="12" customHeight="1">
      <c r="B45" s="254"/>
      <c r="C45" s="151"/>
      <c r="D45" s="273" t="s">
        <v>455</v>
      </c>
      <c r="E45" s="1"/>
      <c r="F45" s="175">
        <v>0</v>
      </c>
      <c r="G45" s="175">
        <v>0</v>
      </c>
      <c r="H45" s="175">
        <v>0</v>
      </c>
      <c r="I45" s="175">
        <v>0</v>
      </c>
      <c r="J45" s="175">
        <v>0</v>
      </c>
      <c r="K45" s="175">
        <v>0</v>
      </c>
      <c r="L45" s="175">
        <v>0</v>
      </c>
      <c r="M45" s="175">
        <v>0</v>
      </c>
      <c r="N45" s="175">
        <v>0</v>
      </c>
      <c r="O45" s="175">
        <v>0</v>
      </c>
      <c r="P45" s="1"/>
      <c r="Q45" s="14"/>
    </row>
    <row r="46" spans="2:17" ht="12" customHeight="1">
      <c r="B46" s="254"/>
      <c r="C46" s="151"/>
      <c r="D46" s="91" t="s">
        <v>698</v>
      </c>
      <c r="E46" s="1"/>
      <c r="F46" s="175">
        <v>0</v>
      </c>
      <c r="G46" s="175">
        <v>0</v>
      </c>
      <c r="H46" s="175">
        <v>0</v>
      </c>
      <c r="I46" s="175">
        <v>0</v>
      </c>
      <c r="J46" s="175">
        <v>0</v>
      </c>
      <c r="K46" s="175">
        <v>0</v>
      </c>
      <c r="L46" s="175">
        <v>0</v>
      </c>
      <c r="M46" s="175">
        <v>0</v>
      </c>
      <c r="N46" s="175">
        <v>0</v>
      </c>
      <c r="O46" s="175">
        <v>0</v>
      </c>
      <c r="P46" s="1"/>
      <c r="Q46" s="14"/>
    </row>
    <row r="47" spans="2:17" ht="12" customHeight="1">
      <c r="B47" s="254"/>
      <c r="C47" s="151"/>
      <c r="D47" s="91" t="s">
        <v>699</v>
      </c>
      <c r="E47" s="1"/>
      <c r="F47" s="175">
        <v>0</v>
      </c>
      <c r="G47" s="175">
        <v>0</v>
      </c>
      <c r="H47" s="175">
        <v>0</v>
      </c>
      <c r="I47" s="175">
        <v>0</v>
      </c>
      <c r="J47" s="175">
        <v>0</v>
      </c>
      <c r="K47" s="175">
        <v>0</v>
      </c>
      <c r="L47" s="175">
        <v>0</v>
      </c>
      <c r="M47" s="175">
        <v>0</v>
      </c>
      <c r="N47" s="175">
        <v>0</v>
      </c>
      <c r="O47" s="175">
        <v>0</v>
      </c>
      <c r="P47" s="1"/>
      <c r="Q47" s="14"/>
    </row>
    <row r="48" spans="2:17" ht="12" customHeight="1">
      <c r="B48" s="254"/>
      <c r="C48" s="151"/>
      <c r="D48" s="153" t="s">
        <v>700</v>
      </c>
      <c r="E48" s="1"/>
      <c r="F48" s="174">
        <f aca="true" t="shared" si="6" ref="F48:O48">SUM(F42:F47)</f>
        <v>0</v>
      </c>
      <c r="G48" s="174">
        <f t="shared" si="6"/>
        <v>0</v>
      </c>
      <c r="H48" s="174">
        <f t="shared" si="6"/>
        <v>0</v>
      </c>
      <c r="I48" s="174">
        <f t="shared" si="6"/>
        <v>0</v>
      </c>
      <c r="J48" s="174">
        <f t="shared" si="6"/>
        <v>0</v>
      </c>
      <c r="K48" s="174">
        <f t="shared" si="6"/>
        <v>0</v>
      </c>
      <c r="L48" s="174">
        <f t="shared" si="6"/>
        <v>0</v>
      </c>
      <c r="M48" s="174">
        <f t="shared" si="6"/>
        <v>0</v>
      </c>
      <c r="N48" s="174">
        <f t="shared" si="6"/>
        <v>0</v>
      </c>
      <c r="O48" s="174">
        <f t="shared" si="6"/>
        <v>0</v>
      </c>
      <c r="P48" s="1"/>
      <c r="Q48" s="14"/>
    </row>
    <row r="49" spans="2:17" ht="12" customHeight="1">
      <c r="B49" s="13"/>
      <c r="C49" s="1"/>
      <c r="D49" s="1"/>
      <c r="E49" s="1"/>
      <c r="F49" s="1"/>
      <c r="G49" s="1"/>
      <c r="H49" s="1"/>
      <c r="I49" s="262"/>
      <c r="J49" s="1"/>
      <c r="K49" s="1"/>
      <c r="L49" s="1"/>
      <c r="M49" s="1"/>
      <c r="N49" s="1"/>
      <c r="O49" s="1"/>
      <c r="P49" s="1"/>
      <c r="Q49" s="14"/>
    </row>
    <row r="50" spans="2:17" s="109" customFormat="1" ht="12" customHeight="1">
      <c r="B50" s="197"/>
      <c r="C50" s="159"/>
      <c r="D50" s="159" t="s">
        <v>334</v>
      </c>
      <c r="E50" s="159"/>
      <c r="F50" s="178">
        <f aca="true" t="shared" si="7" ref="F50:O50">F39+F48</f>
        <v>11111</v>
      </c>
      <c r="G50" s="178">
        <f t="shared" si="7"/>
        <v>11111</v>
      </c>
      <c r="H50" s="178">
        <f t="shared" si="7"/>
        <v>11111</v>
      </c>
      <c r="I50" s="178">
        <f t="shared" si="7"/>
        <v>11111</v>
      </c>
      <c r="J50" s="178">
        <f t="shared" si="7"/>
        <v>11111</v>
      </c>
      <c r="K50" s="178">
        <f t="shared" si="7"/>
        <v>11111</v>
      </c>
      <c r="L50" s="178">
        <f t="shared" si="7"/>
        <v>11111</v>
      </c>
      <c r="M50" s="178">
        <f t="shared" si="7"/>
        <v>11111</v>
      </c>
      <c r="N50" s="178">
        <f t="shared" si="7"/>
        <v>11111</v>
      </c>
      <c r="O50" s="178">
        <f t="shared" si="7"/>
        <v>0</v>
      </c>
      <c r="P50" s="159"/>
      <c r="Q50" s="198"/>
    </row>
    <row r="51" spans="2:17" ht="12" customHeight="1">
      <c r="B51" s="13"/>
      <c r="C51" s="1"/>
      <c r="D51" s="1"/>
      <c r="E51" s="1"/>
      <c r="F51" s="1"/>
      <c r="G51" s="1"/>
      <c r="H51" s="1"/>
      <c r="I51" s="262"/>
      <c r="J51" s="1"/>
      <c r="K51" s="1"/>
      <c r="L51" s="1"/>
      <c r="M51" s="1"/>
      <c r="N51" s="1"/>
      <c r="O51" s="1"/>
      <c r="P51" s="1"/>
      <c r="Q51" s="14"/>
    </row>
    <row r="52" spans="2:17" ht="12" customHeight="1">
      <c r="B52" s="13"/>
      <c r="C52" s="128"/>
      <c r="D52" s="131"/>
      <c r="I52" s="7"/>
      <c r="Q52" s="14"/>
    </row>
    <row r="53" spans="2:17" ht="12" customHeight="1">
      <c r="B53" s="13"/>
      <c r="C53" s="151"/>
      <c r="D53" s="153"/>
      <c r="E53" s="1"/>
      <c r="F53" s="1"/>
      <c r="G53" s="1"/>
      <c r="H53" s="1"/>
      <c r="I53" s="1"/>
      <c r="J53" s="1"/>
      <c r="K53" s="1"/>
      <c r="L53" s="1"/>
      <c r="M53" s="1"/>
      <c r="N53" s="1"/>
      <c r="O53" s="1"/>
      <c r="P53" s="1"/>
      <c r="Q53" s="14"/>
    </row>
    <row r="54" spans="2:17" ht="12" customHeight="1">
      <c r="B54" s="13"/>
      <c r="C54" s="151"/>
      <c r="D54" s="2" t="s">
        <v>329</v>
      </c>
      <c r="E54" s="1"/>
      <c r="F54" s="153"/>
      <c r="G54" s="153"/>
      <c r="H54" s="1"/>
      <c r="I54" s="1"/>
      <c r="J54" s="1"/>
      <c r="K54" s="1"/>
      <c r="L54" s="1"/>
      <c r="M54" s="1"/>
      <c r="N54" s="1"/>
      <c r="O54" s="1"/>
      <c r="P54" s="1"/>
      <c r="Q54" s="14"/>
    </row>
    <row r="55" spans="2:17" ht="12" customHeight="1">
      <c r="B55" s="13"/>
      <c r="C55" s="151"/>
      <c r="D55" s="91" t="s">
        <v>696</v>
      </c>
      <c r="E55" s="1"/>
      <c r="F55" s="35">
        <f>F11+F22-F33-F42</f>
        <v>0</v>
      </c>
      <c r="G55" s="35">
        <f aca="true" t="shared" si="8" ref="G55:N55">G11+G22-G33-G42</f>
        <v>0</v>
      </c>
      <c r="H55" s="35">
        <f t="shared" si="8"/>
        <v>0</v>
      </c>
      <c r="I55" s="35">
        <f t="shared" si="8"/>
        <v>0</v>
      </c>
      <c r="J55" s="35">
        <f t="shared" si="8"/>
        <v>0</v>
      </c>
      <c r="K55" s="35">
        <f t="shared" si="8"/>
        <v>0</v>
      </c>
      <c r="L55" s="35">
        <f t="shared" si="8"/>
        <v>0</v>
      </c>
      <c r="M55" s="35">
        <f t="shared" si="8"/>
        <v>0</v>
      </c>
      <c r="N55" s="35">
        <f t="shared" si="8"/>
        <v>0</v>
      </c>
      <c r="O55" s="35">
        <f aca="true" t="shared" si="9" ref="O55:O60">O11+O22-O33-O42</f>
        <v>0</v>
      </c>
      <c r="P55" s="1"/>
      <c r="Q55" s="14"/>
    </row>
    <row r="56" spans="2:17" ht="12" customHeight="1">
      <c r="B56" s="13"/>
      <c r="C56" s="151"/>
      <c r="D56" s="91" t="s">
        <v>697</v>
      </c>
      <c r="E56" s="1"/>
      <c r="F56" s="35">
        <f aca="true" t="shared" si="10" ref="F56:N60">F12+F23-F34-F43</f>
        <v>88888</v>
      </c>
      <c r="G56" s="35">
        <f t="shared" si="10"/>
        <v>77777</v>
      </c>
      <c r="H56" s="35">
        <f t="shared" si="10"/>
        <v>66666</v>
      </c>
      <c r="I56" s="35">
        <f t="shared" si="10"/>
        <v>55555</v>
      </c>
      <c r="J56" s="35">
        <f t="shared" si="10"/>
        <v>44444</v>
      </c>
      <c r="K56" s="35">
        <f t="shared" si="10"/>
        <v>33333</v>
      </c>
      <c r="L56" s="35">
        <f t="shared" si="10"/>
        <v>22222</v>
      </c>
      <c r="M56" s="35">
        <f t="shared" si="10"/>
        <v>11111</v>
      </c>
      <c r="N56" s="35">
        <f t="shared" si="10"/>
        <v>0</v>
      </c>
      <c r="O56" s="35">
        <f t="shared" si="9"/>
        <v>0</v>
      </c>
      <c r="P56" s="1"/>
      <c r="Q56" s="14"/>
    </row>
    <row r="57" spans="2:17" ht="12" customHeight="1">
      <c r="B57" s="13"/>
      <c r="C57" s="151"/>
      <c r="D57" s="273" t="s">
        <v>454</v>
      </c>
      <c r="E57" s="1"/>
      <c r="F57" s="35">
        <f t="shared" si="10"/>
        <v>0</v>
      </c>
      <c r="G57" s="35">
        <f t="shared" si="10"/>
        <v>0</v>
      </c>
      <c r="H57" s="35">
        <f t="shared" si="10"/>
        <v>0</v>
      </c>
      <c r="I57" s="35">
        <f t="shared" si="10"/>
        <v>0</v>
      </c>
      <c r="J57" s="35">
        <f t="shared" si="10"/>
        <v>0</v>
      </c>
      <c r="K57" s="35">
        <f t="shared" si="10"/>
        <v>0</v>
      </c>
      <c r="L57" s="35">
        <f t="shared" si="10"/>
        <v>0</v>
      </c>
      <c r="M57" s="35">
        <f t="shared" si="10"/>
        <v>0</v>
      </c>
      <c r="N57" s="35">
        <f t="shared" si="10"/>
        <v>0</v>
      </c>
      <c r="O57" s="35">
        <f t="shared" si="9"/>
        <v>0</v>
      </c>
      <c r="P57" s="1"/>
      <c r="Q57" s="14"/>
    </row>
    <row r="58" spans="2:17" ht="12" customHeight="1">
      <c r="B58" s="13"/>
      <c r="C58" s="151"/>
      <c r="D58" s="273" t="s">
        <v>455</v>
      </c>
      <c r="E58" s="1"/>
      <c r="F58" s="35">
        <f t="shared" si="10"/>
        <v>0</v>
      </c>
      <c r="G58" s="35">
        <f t="shared" si="10"/>
        <v>0</v>
      </c>
      <c r="H58" s="35">
        <f t="shared" si="10"/>
        <v>0</v>
      </c>
      <c r="I58" s="35">
        <f t="shared" si="10"/>
        <v>0</v>
      </c>
      <c r="J58" s="35">
        <f t="shared" si="10"/>
        <v>0</v>
      </c>
      <c r="K58" s="35">
        <f t="shared" si="10"/>
        <v>0</v>
      </c>
      <c r="L58" s="35">
        <f t="shared" si="10"/>
        <v>0</v>
      </c>
      <c r="M58" s="35">
        <f t="shared" si="10"/>
        <v>0</v>
      </c>
      <c r="N58" s="35">
        <f t="shared" si="10"/>
        <v>0</v>
      </c>
      <c r="O58" s="35">
        <f t="shared" si="9"/>
        <v>0</v>
      </c>
      <c r="P58" s="1"/>
      <c r="Q58" s="14"/>
    </row>
    <row r="59" spans="2:17" ht="12" customHeight="1">
      <c r="B59" s="13"/>
      <c r="C59" s="151"/>
      <c r="D59" s="91" t="s">
        <v>698</v>
      </c>
      <c r="E59" s="1"/>
      <c r="F59" s="35">
        <f t="shared" si="10"/>
        <v>0</v>
      </c>
      <c r="G59" s="35">
        <f t="shared" si="10"/>
        <v>0</v>
      </c>
      <c r="H59" s="35">
        <f t="shared" si="10"/>
        <v>0</v>
      </c>
      <c r="I59" s="35">
        <f t="shared" si="10"/>
        <v>0</v>
      </c>
      <c r="J59" s="35">
        <f t="shared" si="10"/>
        <v>0</v>
      </c>
      <c r="K59" s="35">
        <f t="shared" si="10"/>
        <v>0</v>
      </c>
      <c r="L59" s="35">
        <f t="shared" si="10"/>
        <v>0</v>
      </c>
      <c r="M59" s="35">
        <f t="shared" si="10"/>
        <v>0</v>
      </c>
      <c r="N59" s="35">
        <f t="shared" si="10"/>
        <v>0</v>
      </c>
      <c r="O59" s="35">
        <f t="shared" si="9"/>
        <v>0</v>
      </c>
      <c r="P59" s="1"/>
      <c r="Q59" s="14"/>
    </row>
    <row r="60" spans="2:17" ht="12" customHeight="1">
      <c r="B60" s="13"/>
      <c r="C60" s="151"/>
      <c r="D60" s="91" t="s">
        <v>699</v>
      </c>
      <c r="E60" s="1"/>
      <c r="F60" s="35">
        <f t="shared" si="10"/>
        <v>0</v>
      </c>
      <c r="G60" s="35">
        <f t="shared" si="10"/>
        <v>0</v>
      </c>
      <c r="H60" s="35">
        <f t="shared" si="10"/>
        <v>0</v>
      </c>
      <c r="I60" s="35">
        <f t="shared" si="10"/>
        <v>0</v>
      </c>
      <c r="J60" s="35">
        <f t="shared" si="10"/>
        <v>0</v>
      </c>
      <c r="K60" s="35">
        <f t="shared" si="10"/>
        <v>0</v>
      </c>
      <c r="L60" s="35">
        <f t="shared" si="10"/>
        <v>0</v>
      </c>
      <c r="M60" s="35">
        <f t="shared" si="10"/>
        <v>0</v>
      </c>
      <c r="N60" s="35">
        <f t="shared" si="10"/>
        <v>0</v>
      </c>
      <c r="O60" s="35">
        <f t="shared" si="9"/>
        <v>0</v>
      </c>
      <c r="P60" s="1"/>
      <c r="Q60" s="14"/>
    </row>
    <row r="61" spans="2:17" ht="12" customHeight="1">
      <c r="B61" s="13"/>
      <c r="C61" s="151"/>
      <c r="D61" s="153" t="s">
        <v>700</v>
      </c>
      <c r="E61" s="1"/>
      <c r="F61" s="174">
        <f>SUM(F55:F60)</f>
        <v>88888</v>
      </c>
      <c r="G61" s="174">
        <f aca="true" t="shared" si="11" ref="G61:O61">SUM(G55:G60)</f>
        <v>77777</v>
      </c>
      <c r="H61" s="174">
        <f t="shared" si="11"/>
        <v>66666</v>
      </c>
      <c r="I61" s="174">
        <f t="shared" si="11"/>
        <v>55555</v>
      </c>
      <c r="J61" s="174">
        <f t="shared" si="11"/>
        <v>44444</v>
      </c>
      <c r="K61" s="174">
        <f t="shared" si="11"/>
        <v>33333</v>
      </c>
      <c r="L61" s="174">
        <f t="shared" si="11"/>
        <v>22222</v>
      </c>
      <c r="M61" s="174">
        <f t="shared" si="11"/>
        <v>11111</v>
      </c>
      <c r="N61" s="174">
        <f t="shared" si="11"/>
        <v>0</v>
      </c>
      <c r="O61" s="174">
        <f t="shared" si="11"/>
        <v>0</v>
      </c>
      <c r="P61" s="1"/>
      <c r="Q61" s="14"/>
    </row>
    <row r="62" spans="2:17" ht="12" customHeight="1">
      <c r="B62" s="13"/>
      <c r="C62" s="151"/>
      <c r="D62" s="91"/>
      <c r="E62" s="1"/>
      <c r="F62" s="1"/>
      <c r="G62" s="1"/>
      <c r="H62" s="1"/>
      <c r="I62" s="1"/>
      <c r="J62" s="1"/>
      <c r="K62" s="158"/>
      <c r="L62" s="158"/>
      <c r="M62" s="158"/>
      <c r="N62" s="158"/>
      <c r="O62" s="158"/>
      <c r="P62" s="1"/>
      <c r="Q62" s="14"/>
    </row>
    <row r="63" spans="2:17" ht="12" customHeight="1">
      <c r="B63" s="13"/>
      <c r="C63" s="128"/>
      <c r="D63" s="131"/>
      <c r="I63" s="7"/>
      <c r="Q63" s="14"/>
    </row>
    <row r="64" spans="2:17" s="15" customFormat="1" ht="12" customHeight="1" thickBot="1">
      <c r="B64" s="263"/>
      <c r="C64" s="264"/>
      <c r="D64" s="264"/>
      <c r="E64" s="264"/>
      <c r="F64" s="264"/>
      <c r="G64" s="264"/>
      <c r="H64" s="264"/>
      <c r="I64" s="264"/>
      <c r="J64" s="264"/>
      <c r="K64" s="264"/>
      <c r="L64" s="264"/>
      <c r="M64" s="264"/>
      <c r="N64" s="264"/>
      <c r="O64" s="264"/>
      <c r="P64" s="264"/>
      <c r="Q64" s="265"/>
    </row>
  </sheetData>
  <sheetProtection password="DE55" sheet="1" objects="1" scenarios="1"/>
  <printOptions/>
  <pageMargins left="0.75" right="0.75" top="1" bottom="1" header="0.5" footer="0.5"/>
  <pageSetup horizontalDpi="600" verticalDpi="600" orientation="landscape" paperSize="9" scale="54" r:id="rId4"/>
  <headerFooter alignWithMargins="0">
    <oddHeader>&amp;L&amp;"Arial,Vet"&amp;F&amp;R&amp;"Arial,Vet"&amp;A</oddHeader>
    <oddFooter>&amp;L&amp;"Arial,Vet"keizer / goedhart&amp;C&amp;"Arial,Vet"&amp;D&amp;R&amp;"Arial,Vet"pagina &amp;P</oddFooter>
  </headerFooter>
  <drawing r:id="rId3"/>
  <legacyDrawing r:id="rId2"/>
</worksheet>
</file>

<file path=xl/worksheets/sheet13.xml><?xml version="1.0" encoding="utf-8"?>
<worksheet xmlns="http://schemas.openxmlformats.org/spreadsheetml/2006/main" xmlns:r="http://schemas.openxmlformats.org/officeDocument/2006/relationships">
  <dimension ref="B2:M180"/>
  <sheetViews>
    <sheetView zoomScale="85" zoomScaleNormal="85" workbookViewId="0" topLeftCell="A1">
      <pane ySplit="8" topLeftCell="BM9" activePane="bottomLeft" state="frozen"/>
      <selection pane="topLeft" activeCell="A1" sqref="A1"/>
      <selection pane="bottomLeft" activeCell="B2" sqref="B2"/>
    </sheetView>
  </sheetViews>
  <sheetFormatPr defaultColWidth="9.140625" defaultRowHeight="12.75"/>
  <cols>
    <col min="1" max="1" width="5.7109375" style="7" customWidth="1"/>
    <col min="2" max="3" width="2.7109375" style="7" customWidth="1"/>
    <col min="4" max="4" width="45.7109375" style="7" customWidth="1"/>
    <col min="5" max="5" width="2.7109375" style="7" customWidth="1"/>
    <col min="6" max="10" width="16.8515625" style="7" customWidth="1"/>
    <col min="11" max="12" width="2.57421875" style="7" customWidth="1"/>
    <col min="13" max="13" width="15.421875" style="7" customWidth="1"/>
    <col min="14" max="15" width="5.7109375" style="7" customWidth="1"/>
    <col min="16" max="16384" width="9.140625" style="7" customWidth="1"/>
  </cols>
  <sheetData>
    <row r="1" ht="12.75" customHeight="1" thickBot="1"/>
    <row r="2" spans="2:12" ht="12.75">
      <c r="B2" s="9"/>
      <c r="C2" s="10"/>
      <c r="D2" s="10"/>
      <c r="E2" s="10"/>
      <c r="F2" s="10"/>
      <c r="G2" s="10"/>
      <c r="H2" s="10"/>
      <c r="I2" s="10"/>
      <c r="J2" s="10"/>
      <c r="K2" s="10"/>
      <c r="L2" s="12"/>
    </row>
    <row r="3" spans="2:12" ht="12.75">
      <c r="B3" s="13"/>
      <c r="L3" s="14"/>
    </row>
    <row r="4" spans="2:12" ht="18">
      <c r="B4" s="221"/>
      <c r="C4" s="17" t="s">
        <v>288</v>
      </c>
      <c r="D4" s="17"/>
      <c r="G4" s="67"/>
      <c r="L4" s="14"/>
    </row>
    <row r="5" spans="2:12" ht="12.75">
      <c r="B5" s="13"/>
      <c r="L5" s="14"/>
    </row>
    <row r="6" spans="2:12" ht="12.75">
      <c r="B6" s="13"/>
      <c r="G6" s="128"/>
      <c r="H6" s="128"/>
      <c r="I6" s="128"/>
      <c r="J6" s="274"/>
      <c r="L6" s="14"/>
    </row>
    <row r="7" spans="2:13" ht="12.75">
      <c r="B7" s="13"/>
      <c r="D7" s="255"/>
      <c r="E7" s="145"/>
      <c r="F7" s="145"/>
      <c r="G7" s="89">
        <f>tabel!D4</f>
        <v>2010</v>
      </c>
      <c r="H7" s="89">
        <f>tabel!E4</f>
        <v>2011</v>
      </c>
      <c r="I7" s="89">
        <f>tabel!F4</f>
        <v>2012</v>
      </c>
      <c r="J7" s="89">
        <f>tabel!G4</f>
        <v>2013</v>
      </c>
      <c r="K7" s="275"/>
      <c r="L7" s="276"/>
      <c r="M7" s="275"/>
    </row>
    <row r="8" spans="2:13" ht="12.75">
      <c r="B8" s="13"/>
      <c r="E8" s="145"/>
      <c r="F8" s="145"/>
      <c r="K8" s="275"/>
      <c r="L8" s="276"/>
      <c r="M8" s="275"/>
    </row>
    <row r="9" spans="2:13" ht="12.75">
      <c r="B9" s="13"/>
      <c r="C9" s="1"/>
      <c r="D9" s="1"/>
      <c r="E9" s="239"/>
      <c r="F9" s="239"/>
      <c r="G9" s="1"/>
      <c r="H9" s="1"/>
      <c r="I9" s="1"/>
      <c r="J9" s="1"/>
      <c r="K9" s="277"/>
      <c r="L9" s="276"/>
      <c r="M9" s="275"/>
    </row>
    <row r="10" spans="2:13" ht="12.75">
      <c r="B10" s="13"/>
      <c r="C10" s="1"/>
      <c r="D10" s="3" t="s">
        <v>178</v>
      </c>
      <c r="E10" s="239"/>
      <c r="F10" s="239"/>
      <c r="G10" s="1"/>
      <c r="H10" s="1"/>
      <c r="I10" s="1"/>
      <c r="J10" s="1"/>
      <c r="K10" s="277"/>
      <c r="L10" s="276"/>
      <c r="M10" s="275"/>
    </row>
    <row r="11" spans="2:13" ht="12.75">
      <c r="B11" s="13"/>
      <c r="C11" s="1"/>
      <c r="D11" s="3"/>
      <c r="E11" s="239"/>
      <c r="F11" s="239"/>
      <c r="G11" s="1"/>
      <c r="H11" s="1"/>
      <c r="I11" s="1"/>
      <c r="J11" s="1"/>
      <c r="K11" s="277"/>
      <c r="L11" s="276"/>
      <c r="M11" s="275"/>
    </row>
    <row r="12" spans="2:12" ht="12.75">
      <c r="B12" s="13"/>
      <c r="C12" s="1"/>
      <c r="D12" s="91" t="s">
        <v>611</v>
      </c>
      <c r="E12" s="1"/>
      <c r="F12" s="1"/>
      <c r="G12" s="258">
        <f>pers!J218+persbel!K116+mat!K120</f>
        <v>2652966.792345974</v>
      </c>
      <c r="H12" s="258">
        <f>pers!K218+persbel!L116+mat!L120</f>
        <v>2659671.9357920005</v>
      </c>
      <c r="I12" s="258">
        <f>pers!L218+persbel!M116+mat!M120</f>
        <v>2659671.9357920005</v>
      </c>
      <c r="J12" s="258">
        <f>pers!M218+persbel!N116+mat!N120</f>
        <v>2659671.9357920005</v>
      </c>
      <c r="K12" s="1"/>
      <c r="L12" s="14"/>
    </row>
    <row r="13" spans="2:12" ht="12" customHeight="1">
      <c r="B13" s="13"/>
      <c r="C13" s="1"/>
      <c r="D13" s="91" t="s">
        <v>249</v>
      </c>
      <c r="E13" s="1"/>
      <c r="F13" s="1"/>
      <c r="G13" s="457">
        <f>pers!J219+persbel!K117+mat!K132</f>
        <v>0</v>
      </c>
      <c r="H13" s="457">
        <f>pers!K219+persbel!L117+mat!L132</f>
        <v>0</v>
      </c>
      <c r="I13" s="457">
        <f>pers!L219+persbel!M117+mat!M132</f>
        <v>0</v>
      </c>
      <c r="J13" s="457">
        <f>pers!M219+persbel!N117+mat!N132</f>
        <v>0</v>
      </c>
      <c r="K13" s="1"/>
      <c r="L13" s="14"/>
    </row>
    <row r="14" spans="2:12" ht="12" customHeight="1" hidden="1">
      <c r="B14" s="13"/>
      <c r="C14" s="1"/>
      <c r="D14" s="91" t="s">
        <v>177</v>
      </c>
      <c r="E14" s="1"/>
      <c r="F14" s="1"/>
      <c r="G14" s="259">
        <v>0</v>
      </c>
      <c r="H14" s="259">
        <v>0</v>
      </c>
      <c r="I14" s="259">
        <v>0</v>
      </c>
      <c r="J14" s="259">
        <v>0</v>
      </c>
      <c r="K14" s="1"/>
      <c r="L14" s="14"/>
    </row>
    <row r="15" spans="2:12" ht="12" customHeight="1">
      <c r="B15" s="13"/>
      <c r="C15" s="1"/>
      <c r="D15" s="91" t="s">
        <v>248</v>
      </c>
      <c r="E15" s="1"/>
      <c r="F15" s="1"/>
      <c r="G15" s="457">
        <f>pers!J220+persbel!K118+mat!K138</f>
        <v>0</v>
      </c>
      <c r="H15" s="457">
        <f>pers!K220+persbel!L118+mat!L138</f>
        <v>0</v>
      </c>
      <c r="I15" s="457">
        <f>pers!L220+persbel!M118+mat!M138</f>
        <v>0</v>
      </c>
      <c r="J15" s="457">
        <f>pers!M220+persbel!N118+mat!N138</f>
        <v>0</v>
      </c>
      <c r="K15" s="1"/>
      <c r="L15" s="14"/>
    </row>
    <row r="16" spans="2:12" ht="12" customHeight="1">
      <c r="B16" s="13"/>
      <c r="C16" s="1"/>
      <c r="D16" s="91" t="s">
        <v>612</v>
      </c>
      <c r="E16" s="1"/>
      <c r="F16" s="1"/>
      <c r="G16" s="258">
        <f>pers!J223+persbel!K121+(mat!K148-mat!K138)</f>
        <v>0</v>
      </c>
      <c r="H16" s="258">
        <f>pers!K223+persbel!L121+(mat!L148-mat!L138)</f>
        <v>0</v>
      </c>
      <c r="I16" s="258">
        <f>pers!L223+persbel!M121+(mat!M148-mat!M138)</f>
        <v>0</v>
      </c>
      <c r="J16" s="258">
        <f>pers!M223+persbel!N121+(mat!N148-mat!N138)</f>
        <v>0</v>
      </c>
      <c r="K16" s="1"/>
      <c r="L16" s="14"/>
    </row>
    <row r="17" spans="2:12" ht="12" customHeight="1">
      <c r="B17" s="13"/>
      <c r="C17" s="1"/>
      <c r="D17" s="91"/>
      <c r="E17" s="1"/>
      <c r="F17" s="1"/>
      <c r="G17" s="458"/>
      <c r="H17" s="458"/>
      <c r="I17" s="458"/>
      <c r="J17" s="458"/>
      <c r="K17" s="1"/>
      <c r="L17" s="14"/>
    </row>
    <row r="18" spans="2:12" ht="12.75">
      <c r="B18" s="13"/>
      <c r="C18" s="1"/>
      <c r="D18" s="2" t="s">
        <v>700</v>
      </c>
      <c r="E18" s="3"/>
      <c r="F18" s="3"/>
      <c r="G18" s="261">
        <f>G12+G13+G16</f>
        <v>2652966.792345974</v>
      </c>
      <c r="H18" s="261">
        <f>H12+H13+H16</f>
        <v>2659671.9357920005</v>
      </c>
      <c r="I18" s="261">
        <f>I12+I13+I16</f>
        <v>2659671.9357920005</v>
      </c>
      <c r="J18" s="261">
        <f>J12+J13+J16</f>
        <v>2659671.9357920005</v>
      </c>
      <c r="K18" s="1"/>
      <c r="L18" s="14"/>
    </row>
    <row r="19" spans="2:12" ht="12.75">
      <c r="B19" s="13"/>
      <c r="C19" s="1"/>
      <c r="D19" s="151"/>
      <c r="E19" s="3"/>
      <c r="F19" s="3"/>
      <c r="G19" s="460"/>
      <c r="H19" s="460"/>
      <c r="I19" s="460"/>
      <c r="J19" s="460"/>
      <c r="K19" s="1"/>
      <c r="L19" s="14"/>
    </row>
    <row r="20" spans="2:12" ht="12.75">
      <c r="B20" s="13"/>
      <c r="D20" s="128"/>
      <c r="E20" s="36"/>
      <c r="F20" s="36"/>
      <c r="G20" s="461"/>
      <c r="H20" s="461"/>
      <c r="I20" s="461"/>
      <c r="J20" s="461"/>
      <c r="L20" s="14"/>
    </row>
    <row r="21" spans="2:12" ht="12.75">
      <c r="B21" s="13"/>
      <c r="C21" s="1"/>
      <c r="D21" s="151"/>
      <c r="E21" s="3"/>
      <c r="F21" s="3"/>
      <c r="G21" s="460"/>
      <c r="H21" s="460"/>
      <c r="I21" s="460"/>
      <c r="J21" s="460"/>
      <c r="K21" s="1"/>
      <c r="L21" s="14"/>
    </row>
    <row r="22" spans="2:12" ht="12.75">
      <c r="B22" s="278"/>
      <c r="C22" s="2"/>
      <c r="D22" s="2" t="s">
        <v>9</v>
      </c>
      <c r="E22" s="3"/>
      <c r="F22" s="3"/>
      <c r="G22" s="462"/>
      <c r="H22" s="462"/>
      <c r="I22" s="462"/>
      <c r="J22" s="462"/>
      <c r="K22" s="1"/>
      <c r="L22" s="14"/>
    </row>
    <row r="23" spans="2:12" ht="12.75">
      <c r="B23" s="278"/>
      <c r="C23" s="2"/>
      <c r="D23" s="94"/>
      <c r="E23" s="3"/>
      <c r="F23" s="3"/>
      <c r="G23" s="462"/>
      <c r="H23" s="462"/>
      <c r="I23" s="462"/>
      <c r="J23" s="462"/>
      <c r="K23" s="1"/>
      <c r="L23" s="14"/>
    </row>
    <row r="24" spans="2:12" ht="12.75">
      <c r="B24" s="13"/>
      <c r="C24" s="1"/>
      <c r="D24" s="91" t="s">
        <v>353</v>
      </c>
      <c r="E24" s="94"/>
      <c r="F24" s="94"/>
      <c r="G24" s="457">
        <f>pers!J225</f>
        <v>1990340.7216000003</v>
      </c>
      <c r="H24" s="457">
        <f>pers!K225</f>
        <v>1990340.7216000003</v>
      </c>
      <c r="I24" s="457">
        <f>pers!L225</f>
        <v>1990340.7216000003</v>
      </c>
      <c r="J24" s="457">
        <f>pers!M225</f>
        <v>1990340.7216000003</v>
      </c>
      <c r="K24" s="1"/>
      <c r="L24" s="14"/>
    </row>
    <row r="25" spans="2:12" ht="12.75">
      <c r="B25" s="13"/>
      <c r="C25" s="1"/>
      <c r="D25" s="280" t="s">
        <v>713</v>
      </c>
      <c r="E25" s="94"/>
      <c r="F25" s="94"/>
      <c r="G25" s="457">
        <f>persbel!K122</f>
        <v>0</v>
      </c>
      <c r="H25" s="457">
        <f>persbel!L122</f>
        <v>0</v>
      </c>
      <c r="I25" s="457">
        <f>persbel!M122</f>
        <v>0</v>
      </c>
      <c r="J25" s="457">
        <f>persbel!N122</f>
        <v>0</v>
      </c>
      <c r="K25" s="1"/>
      <c r="L25" s="14"/>
    </row>
    <row r="26" spans="2:12" ht="12.75">
      <c r="B26" s="13"/>
      <c r="C26" s="1"/>
      <c r="D26" s="1" t="s">
        <v>616</v>
      </c>
      <c r="E26" s="1"/>
      <c r="F26" s="1"/>
      <c r="G26" s="457">
        <f>act!G50</f>
        <v>11111</v>
      </c>
      <c r="H26" s="457">
        <f>act!H50</f>
        <v>11111</v>
      </c>
      <c r="I26" s="457">
        <f>act!I50</f>
        <v>11111</v>
      </c>
      <c r="J26" s="457">
        <f>act!J50</f>
        <v>11111</v>
      </c>
      <c r="K26" s="1"/>
      <c r="L26" s="14"/>
    </row>
    <row r="27" spans="2:12" ht="12.75">
      <c r="B27" s="13"/>
      <c r="C27" s="1"/>
      <c r="D27" s="1" t="s">
        <v>617</v>
      </c>
      <c r="E27" s="1"/>
      <c r="F27" s="1"/>
      <c r="G27" s="457">
        <f>mat!K203</f>
        <v>10000</v>
      </c>
      <c r="H27" s="457">
        <f>mat!L203</f>
        <v>10000</v>
      </c>
      <c r="I27" s="457">
        <f>mat!M203</f>
        <v>10000</v>
      </c>
      <c r="J27" s="457">
        <f>mat!N203</f>
        <v>10000</v>
      </c>
      <c r="K27" s="1"/>
      <c r="L27" s="14"/>
    </row>
    <row r="28" spans="2:12" ht="12.75">
      <c r="B28" s="13"/>
      <c r="C28" s="1"/>
      <c r="D28" s="1" t="s">
        <v>285</v>
      </c>
      <c r="E28" s="1"/>
      <c r="F28" s="1"/>
      <c r="G28" s="457">
        <f>mat!K252</f>
        <v>0</v>
      </c>
      <c r="H28" s="457">
        <f>mat!L252</f>
        <v>0</v>
      </c>
      <c r="I28" s="457">
        <f>mat!M252</f>
        <v>0</v>
      </c>
      <c r="J28" s="457">
        <f>mat!N252</f>
        <v>0</v>
      </c>
      <c r="K28" s="1"/>
      <c r="L28" s="14"/>
    </row>
    <row r="29" spans="2:12" ht="12.75">
      <c r="B29" s="13"/>
      <c r="C29" s="1"/>
      <c r="D29" s="1"/>
      <c r="E29" s="1"/>
      <c r="F29" s="1"/>
      <c r="G29" s="459"/>
      <c r="H29" s="459"/>
      <c r="I29" s="459"/>
      <c r="J29" s="459"/>
      <c r="K29" s="1"/>
      <c r="L29" s="14"/>
    </row>
    <row r="30" spans="2:12" ht="12.75">
      <c r="B30" s="13"/>
      <c r="C30" s="1"/>
      <c r="D30" s="2" t="s">
        <v>700</v>
      </c>
      <c r="E30" s="1"/>
      <c r="F30" s="1"/>
      <c r="G30" s="261">
        <f>SUM(G24:G28)</f>
        <v>2011451.7216000003</v>
      </c>
      <c r="H30" s="261">
        <f>SUM(H24:H28)</f>
        <v>2011451.7216000003</v>
      </c>
      <c r="I30" s="261">
        <f>SUM(I24:I28)</f>
        <v>2011451.7216000003</v>
      </c>
      <c r="J30" s="261">
        <f>SUM(J24:J28)</f>
        <v>2011451.7216000003</v>
      </c>
      <c r="K30" s="1"/>
      <c r="L30" s="14"/>
    </row>
    <row r="31" spans="2:12" ht="12.75">
      <c r="B31" s="13"/>
      <c r="C31" s="1"/>
      <c r="D31" s="151"/>
      <c r="E31" s="94"/>
      <c r="F31" s="94"/>
      <c r="G31" s="460"/>
      <c r="H31" s="460"/>
      <c r="I31" s="460"/>
      <c r="J31" s="460"/>
      <c r="K31" s="1"/>
      <c r="L31" s="14"/>
    </row>
    <row r="32" spans="2:12" ht="12.75">
      <c r="B32" s="13"/>
      <c r="D32" s="128"/>
      <c r="E32" s="127"/>
      <c r="F32" s="127"/>
      <c r="G32" s="461"/>
      <c r="H32" s="461"/>
      <c r="I32" s="461"/>
      <c r="J32" s="461"/>
      <c r="L32" s="14"/>
    </row>
    <row r="33" spans="2:12" ht="12.75">
      <c r="B33" s="13"/>
      <c r="C33" s="1"/>
      <c r="D33" s="151"/>
      <c r="E33" s="94"/>
      <c r="F33" s="94"/>
      <c r="G33" s="460"/>
      <c r="H33" s="460"/>
      <c r="I33" s="460"/>
      <c r="J33" s="460"/>
      <c r="K33" s="1"/>
      <c r="L33" s="14"/>
    </row>
    <row r="34" spans="2:12" ht="12.75">
      <c r="B34" s="37"/>
      <c r="C34" s="3"/>
      <c r="D34" s="2" t="s">
        <v>179</v>
      </c>
      <c r="E34" s="94"/>
      <c r="F34" s="94"/>
      <c r="G34" s="261">
        <f>G18-G30</f>
        <v>641515.0707459738</v>
      </c>
      <c r="H34" s="261">
        <f>H18-H30</f>
        <v>648220.2141920002</v>
      </c>
      <c r="I34" s="261">
        <f>I18-I30</f>
        <v>648220.2141920002</v>
      </c>
      <c r="J34" s="261">
        <f>J18-J30</f>
        <v>648220.2141920002</v>
      </c>
      <c r="K34" s="1"/>
      <c r="L34" s="14"/>
    </row>
    <row r="35" spans="2:12" ht="12.75">
      <c r="B35" s="13"/>
      <c r="C35" s="1"/>
      <c r="D35" s="150"/>
      <c r="E35" s="94"/>
      <c r="F35" s="94"/>
      <c r="G35" s="460"/>
      <c r="H35" s="460"/>
      <c r="I35" s="460"/>
      <c r="J35" s="460"/>
      <c r="K35" s="1"/>
      <c r="L35" s="14"/>
    </row>
    <row r="36" spans="2:12" ht="12.75">
      <c r="B36" s="13"/>
      <c r="D36" s="125"/>
      <c r="E36" s="127"/>
      <c r="F36" s="127"/>
      <c r="G36" s="463"/>
      <c r="H36" s="463"/>
      <c r="I36" s="463"/>
      <c r="J36" s="463"/>
      <c r="L36" s="14"/>
    </row>
    <row r="37" spans="2:12" ht="12.75">
      <c r="B37" s="13"/>
      <c r="D37" s="125"/>
      <c r="E37" s="127"/>
      <c r="F37" s="127"/>
      <c r="G37" s="463"/>
      <c r="H37" s="463"/>
      <c r="I37" s="463"/>
      <c r="J37" s="463"/>
      <c r="L37" s="14"/>
    </row>
    <row r="38" spans="2:12" ht="12.75">
      <c r="B38" s="13"/>
      <c r="C38" s="1"/>
      <c r="D38" s="91"/>
      <c r="E38" s="94"/>
      <c r="F38" s="94"/>
      <c r="G38" s="458"/>
      <c r="H38" s="458"/>
      <c r="I38" s="458"/>
      <c r="J38" s="458"/>
      <c r="K38" s="1"/>
      <c r="L38" s="14"/>
    </row>
    <row r="39" spans="2:12" ht="12.75">
      <c r="B39" s="13"/>
      <c r="C39" s="1"/>
      <c r="D39" s="2" t="s">
        <v>180</v>
      </c>
      <c r="E39" s="94"/>
      <c r="F39" s="94"/>
      <c r="G39" s="458"/>
      <c r="H39" s="458"/>
      <c r="I39" s="458"/>
      <c r="J39" s="458"/>
      <c r="K39" s="1"/>
      <c r="L39" s="14"/>
    </row>
    <row r="40" spans="2:12" ht="12.75">
      <c r="B40" s="13"/>
      <c r="C40" s="1"/>
      <c r="D40" s="150"/>
      <c r="E40" s="94"/>
      <c r="F40" s="94"/>
      <c r="G40" s="458"/>
      <c r="H40" s="458"/>
      <c r="I40" s="458"/>
      <c r="J40" s="458"/>
      <c r="K40" s="1"/>
      <c r="L40" s="14"/>
    </row>
    <row r="41" spans="2:12" ht="12.75">
      <c r="B41" s="13"/>
      <c r="C41" s="1"/>
      <c r="D41" s="91" t="s">
        <v>371</v>
      </c>
      <c r="E41" s="94"/>
      <c r="F41" s="94"/>
      <c r="G41" s="259">
        <v>0</v>
      </c>
      <c r="H41" s="257">
        <f aca="true" t="shared" si="0" ref="H41:J42">G41</f>
        <v>0</v>
      </c>
      <c r="I41" s="257">
        <f t="shared" si="0"/>
        <v>0</v>
      </c>
      <c r="J41" s="257">
        <f t="shared" si="0"/>
        <v>0</v>
      </c>
      <c r="K41" s="1"/>
      <c r="L41" s="14"/>
    </row>
    <row r="42" spans="2:12" ht="12.75">
      <c r="B42" s="13"/>
      <c r="C42" s="1"/>
      <c r="D42" s="91" t="s">
        <v>372</v>
      </c>
      <c r="E42" s="94"/>
      <c r="F42" s="94"/>
      <c r="G42" s="259">
        <v>0</v>
      </c>
      <c r="H42" s="257">
        <f t="shared" si="0"/>
        <v>0</v>
      </c>
      <c r="I42" s="257">
        <f t="shared" si="0"/>
        <v>0</v>
      </c>
      <c r="J42" s="257">
        <f t="shared" si="0"/>
        <v>0</v>
      </c>
      <c r="K42" s="1"/>
      <c r="L42" s="14"/>
    </row>
    <row r="43" spans="2:12" ht="12.75">
      <c r="B43" s="13"/>
      <c r="C43" s="1"/>
      <c r="D43" s="151"/>
      <c r="E43" s="94"/>
      <c r="F43" s="94"/>
      <c r="G43" s="460"/>
      <c r="H43" s="460"/>
      <c r="I43" s="460"/>
      <c r="J43" s="460"/>
      <c r="K43" s="1"/>
      <c r="L43" s="14"/>
    </row>
    <row r="44" spans="2:12" s="36" customFormat="1" ht="12.75">
      <c r="B44" s="37"/>
      <c r="C44" s="3"/>
      <c r="D44" s="2" t="s">
        <v>181</v>
      </c>
      <c r="E44" s="3"/>
      <c r="F44" s="3"/>
      <c r="G44" s="261">
        <f>G34+G41-G42</f>
        <v>641515.0707459738</v>
      </c>
      <c r="H44" s="261">
        <f>H34+H41-H42</f>
        <v>648220.2141920002</v>
      </c>
      <c r="I44" s="261">
        <f>I34+I41-I42</f>
        <v>648220.2141920002</v>
      </c>
      <c r="J44" s="261">
        <f>J34+J41-J42</f>
        <v>648220.2141920002</v>
      </c>
      <c r="K44" s="3"/>
      <c r="L44" s="44"/>
    </row>
    <row r="45" spans="2:12" ht="12.75">
      <c r="B45" s="13"/>
      <c r="C45" s="1"/>
      <c r="D45" s="91"/>
      <c r="E45" s="94"/>
      <c r="F45" s="94"/>
      <c r="G45" s="458"/>
      <c r="H45" s="458"/>
      <c r="I45" s="458"/>
      <c r="J45" s="458"/>
      <c r="K45" s="1"/>
      <c r="L45" s="14"/>
    </row>
    <row r="46" spans="2:12" ht="12.75">
      <c r="B46" s="13"/>
      <c r="D46" s="99"/>
      <c r="E46" s="127"/>
      <c r="F46" s="127"/>
      <c r="G46" s="463"/>
      <c r="H46" s="463"/>
      <c r="I46" s="463"/>
      <c r="J46" s="463"/>
      <c r="L46" s="14"/>
    </row>
    <row r="47" spans="2:12" ht="12.75">
      <c r="B47" s="13"/>
      <c r="D47" s="99"/>
      <c r="E47" s="127"/>
      <c r="F47" s="127"/>
      <c r="G47" s="463"/>
      <c r="H47" s="463"/>
      <c r="I47" s="463"/>
      <c r="J47" s="463"/>
      <c r="L47" s="14"/>
    </row>
    <row r="48" spans="2:12" ht="12.75">
      <c r="B48" s="13"/>
      <c r="C48" s="1"/>
      <c r="D48" s="151"/>
      <c r="E48" s="94"/>
      <c r="F48" s="94"/>
      <c r="G48" s="158"/>
      <c r="H48" s="158"/>
      <c r="I48" s="158"/>
      <c r="J48" s="158"/>
      <c r="K48" s="1"/>
      <c r="L48" s="14"/>
    </row>
    <row r="49" spans="2:12" ht="12.75">
      <c r="B49" s="13"/>
      <c r="C49" s="3"/>
      <c r="D49" s="2" t="s">
        <v>203</v>
      </c>
      <c r="E49" s="3"/>
      <c r="F49" s="3"/>
      <c r="G49" s="177">
        <f>G34-G44</f>
        <v>0</v>
      </c>
      <c r="H49" s="177">
        <f>H34-H44</f>
        <v>0</v>
      </c>
      <c r="I49" s="177">
        <f>I34-I44</f>
        <v>0</v>
      </c>
      <c r="J49" s="177">
        <f>J34-J44</f>
        <v>0</v>
      </c>
      <c r="K49" s="3"/>
      <c r="L49" s="14"/>
    </row>
    <row r="50" spans="2:12" ht="12.75">
      <c r="B50" s="13"/>
      <c r="C50" s="94"/>
      <c r="D50" s="94"/>
      <c r="E50" s="94"/>
      <c r="F50" s="94"/>
      <c r="G50" s="236"/>
      <c r="H50" s="236"/>
      <c r="I50" s="236"/>
      <c r="J50" s="236"/>
      <c r="K50" s="94"/>
      <c r="L50" s="14"/>
    </row>
    <row r="51" spans="2:12" ht="12.75">
      <c r="B51" s="13"/>
      <c r="D51" s="122"/>
      <c r="G51" s="464"/>
      <c r="H51" s="464"/>
      <c r="I51" s="464"/>
      <c r="J51" s="464"/>
      <c r="L51" s="14"/>
    </row>
    <row r="52" spans="2:12" ht="12.75">
      <c r="B52" s="13"/>
      <c r="D52" s="122"/>
      <c r="G52" s="464"/>
      <c r="H52" s="464"/>
      <c r="I52" s="464"/>
      <c r="J52" s="464"/>
      <c r="L52" s="14"/>
    </row>
    <row r="53" spans="2:12" ht="12.75">
      <c r="B53" s="13"/>
      <c r="D53" s="122"/>
      <c r="G53" s="464"/>
      <c r="H53" s="464"/>
      <c r="I53" s="464"/>
      <c r="J53" s="464"/>
      <c r="L53" s="14"/>
    </row>
    <row r="54" spans="2:12" ht="12.75">
      <c r="B54" s="13"/>
      <c r="C54" s="1"/>
      <c r="D54" s="1"/>
      <c r="E54" s="1"/>
      <c r="F54" s="1"/>
      <c r="G54" s="458"/>
      <c r="H54" s="458"/>
      <c r="I54" s="458"/>
      <c r="J54" s="458"/>
      <c r="K54" s="1"/>
      <c r="L54" s="14"/>
    </row>
    <row r="55" spans="2:12" ht="12.75">
      <c r="B55" s="13"/>
      <c r="C55" s="1"/>
      <c r="D55" s="3" t="s">
        <v>331</v>
      </c>
      <c r="E55" s="1"/>
      <c r="F55" s="1"/>
      <c r="G55" s="458"/>
      <c r="H55" s="458"/>
      <c r="I55" s="458"/>
      <c r="J55" s="458"/>
      <c r="K55" s="1"/>
      <c r="L55" s="14"/>
    </row>
    <row r="56" spans="2:12" ht="12.75">
      <c r="B56" s="13"/>
      <c r="C56" s="1"/>
      <c r="D56" s="1"/>
      <c r="E56" s="1"/>
      <c r="F56" s="1"/>
      <c r="G56" s="458"/>
      <c r="H56" s="458"/>
      <c r="I56" s="458"/>
      <c r="J56" s="458"/>
      <c r="K56" s="1"/>
      <c r="L56" s="14"/>
    </row>
    <row r="57" spans="2:12" ht="12.75">
      <c r="B57" s="13"/>
      <c r="C57" s="1"/>
      <c r="D57" s="1" t="s">
        <v>393</v>
      </c>
      <c r="E57" s="1"/>
      <c r="F57" s="1"/>
      <c r="G57" s="258">
        <f>pers!J224</f>
        <v>41586.160987359995</v>
      </c>
      <c r="H57" s="258">
        <f>pers!K224</f>
        <v>41800.704207999996</v>
      </c>
      <c r="I57" s="258">
        <f>pers!L224</f>
        <v>41800.704207999996</v>
      </c>
      <c r="J57" s="258">
        <f>pers!M224</f>
        <v>41800.704207999996</v>
      </c>
      <c r="K57" s="1"/>
      <c r="L57" s="14"/>
    </row>
    <row r="58" spans="2:12" ht="12.75">
      <c r="B58" s="13"/>
      <c r="C58" s="1"/>
      <c r="D58" s="1" t="s">
        <v>394</v>
      </c>
      <c r="E58" s="1"/>
      <c r="F58" s="1"/>
      <c r="G58" s="258">
        <f>persbel!K123</f>
        <v>0</v>
      </c>
      <c r="H58" s="258">
        <f>persbel!L123</f>
        <v>0</v>
      </c>
      <c r="I58" s="258">
        <f>persbel!M123</f>
        <v>0</v>
      </c>
      <c r="J58" s="258">
        <f>persbel!N123</f>
        <v>0</v>
      </c>
      <c r="K58" s="1"/>
      <c r="L58" s="14"/>
    </row>
    <row r="59" spans="2:12" ht="12.75">
      <c r="B59" s="13"/>
      <c r="C59" s="1"/>
      <c r="D59" s="1" t="s">
        <v>395</v>
      </c>
      <c r="E59" s="1"/>
      <c r="F59" s="1"/>
      <c r="G59" s="258">
        <f>mat!K117</f>
        <v>0</v>
      </c>
      <c r="H59" s="258">
        <f>mat!L117</f>
        <v>0</v>
      </c>
      <c r="I59" s="258">
        <f>mat!M117</f>
        <v>0</v>
      </c>
      <c r="J59" s="258">
        <f>mat!N117</f>
        <v>0</v>
      </c>
      <c r="K59" s="1"/>
      <c r="L59" s="14"/>
    </row>
    <row r="60" spans="2:12" ht="12.75">
      <c r="B60" s="13"/>
      <c r="C60" s="1"/>
      <c r="D60" s="3" t="s">
        <v>700</v>
      </c>
      <c r="E60" s="1"/>
      <c r="F60" s="1"/>
      <c r="G60" s="261">
        <f>SUM(G57:G59)</f>
        <v>41586.160987359995</v>
      </c>
      <c r="H60" s="261">
        <f>SUM(H57:H59)</f>
        <v>41800.704207999996</v>
      </c>
      <c r="I60" s="261">
        <f>SUM(I57:I59)</f>
        <v>41800.704207999996</v>
      </c>
      <c r="J60" s="261">
        <f>SUM(J57:J59)</f>
        <v>41800.704207999996</v>
      </c>
      <c r="K60" s="1"/>
      <c r="L60" s="14"/>
    </row>
    <row r="61" spans="2:12" ht="12.75">
      <c r="B61" s="13"/>
      <c r="C61" s="1"/>
      <c r="D61" s="1"/>
      <c r="E61" s="1"/>
      <c r="F61" s="1"/>
      <c r="G61" s="1"/>
      <c r="H61" s="1"/>
      <c r="I61" s="283"/>
      <c r="J61" s="1"/>
      <c r="K61" s="1"/>
      <c r="L61" s="14"/>
    </row>
    <row r="62" spans="2:12" ht="12.75">
      <c r="B62" s="13"/>
      <c r="I62" s="282"/>
      <c r="L62" s="14"/>
    </row>
    <row r="63" spans="2:12" ht="13.5" thickBot="1">
      <c r="B63" s="48"/>
      <c r="C63" s="49"/>
      <c r="D63" s="49"/>
      <c r="E63" s="49"/>
      <c r="F63" s="49"/>
      <c r="G63" s="49"/>
      <c r="H63" s="49"/>
      <c r="I63" s="284"/>
      <c r="J63" s="49"/>
      <c r="K63" s="49"/>
      <c r="L63" s="51"/>
    </row>
    <row r="64" ht="13.5" thickBot="1">
      <c r="I64" s="282"/>
    </row>
    <row r="65" spans="2:12" ht="12.75">
      <c r="B65" s="9"/>
      <c r="C65" s="10"/>
      <c r="D65" s="10"/>
      <c r="E65" s="10"/>
      <c r="F65" s="10"/>
      <c r="G65" s="10"/>
      <c r="H65" s="10"/>
      <c r="I65" s="10"/>
      <c r="J65" s="10"/>
      <c r="K65" s="10"/>
      <c r="L65" s="12"/>
    </row>
    <row r="66" spans="2:12" ht="12.75">
      <c r="B66" s="13"/>
      <c r="L66" s="14"/>
    </row>
    <row r="67" spans="2:12" ht="18">
      <c r="B67" s="221"/>
      <c r="C67" s="17" t="s">
        <v>288</v>
      </c>
      <c r="D67" s="17"/>
      <c r="F67" s="17" t="s">
        <v>526</v>
      </c>
      <c r="L67" s="14"/>
    </row>
    <row r="68" spans="2:12" ht="12.75">
      <c r="B68" s="13"/>
      <c r="L68" s="14"/>
    </row>
    <row r="69" spans="2:12" ht="12.75">
      <c r="B69" s="13"/>
      <c r="G69" s="128"/>
      <c r="H69" s="128"/>
      <c r="I69" s="274"/>
      <c r="J69" s="274"/>
      <c r="L69" s="14"/>
    </row>
    <row r="70" spans="2:12" ht="12.75">
      <c r="B70" s="13"/>
      <c r="D70" s="255"/>
      <c r="E70" s="145"/>
      <c r="F70" s="329" t="str">
        <f>+tabel!C2</f>
        <v>2009/10</v>
      </c>
      <c r="G70" s="329" t="str">
        <f>+tabel!D2</f>
        <v>2010/11</v>
      </c>
      <c r="H70" s="329" t="str">
        <f>+tabel!E2</f>
        <v>2011/12</v>
      </c>
      <c r="I70" s="329" t="str">
        <f>+tabel!F2</f>
        <v>2012/13</v>
      </c>
      <c r="J70" s="329" t="str">
        <f>+tabel!G2</f>
        <v>2013/14</v>
      </c>
      <c r="K70" s="275"/>
      <c r="L70" s="276"/>
    </row>
    <row r="71" spans="2:12" ht="12.75">
      <c r="B71" s="13"/>
      <c r="E71" s="145"/>
      <c r="F71" s="145"/>
      <c r="K71" s="275"/>
      <c r="L71" s="276"/>
    </row>
    <row r="72" spans="2:12" ht="12.75">
      <c r="B72" s="13"/>
      <c r="C72" s="1"/>
      <c r="D72" s="1"/>
      <c r="E72" s="239"/>
      <c r="F72" s="239"/>
      <c r="G72" s="239"/>
      <c r="H72" s="239"/>
      <c r="I72" s="239"/>
      <c r="J72" s="239"/>
      <c r="K72" s="239"/>
      <c r="L72" s="276"/>
    </row>
    <row r="73" spans="2:12" ht="12.75">
      <c r="B73" s="278"/>
      <c r="C73" s="2"/>
      <c r="D73" s="3" t="s">
        <v>178</v>
      </c>
      <c r="E73" s="1"/>
      <c r="F73" s="1"/>
      <c r="G73" s="1"/>
      <c r="H73" s="1"/>
      <c r="I73" s="1"/>
      <c r="J73" s="1"/>
      <c r="K73" s="239"/>
      <c r="L73" s="276"/>
    </row>
    <row r="74" spans="2:12" ht="12.75">
      <c r="B74" s="278"/>
      <c r="C74" s="2"/>
      <c r="D74" s="94"/>
      <c r="E74" s="1"/>
      <c r="F74" s="1"/>
      <c r="G74" s="1"/>
      <c r="H74" s="1"/>
      <c r="I74" s="1"/>
      <c r="J74" s="1"/>
      <c r="K74" s="239"/>
      <c r="L74" s="276"/>
    </row>
    <row r="75" spans="2:12" ht="12.75">
      <c r="B75" s="13"/>
      <c r="C75" s="1"/>
      <c r="D75" s="91" t="s">
        <v>611</v>
      </c>
      <c r="E75" s="1"/>
      <c r="F75" s="516">
        <f>+pers!I143+persbel!J49+mat!J277</f>
        <v>2648514.6987364194</v>
      </c>
      <c r="G75" s="516">
        <f>+pers!J143+persbel!K49+mat!K277</f>
        <v>2659671.935792</v>
      </c>
      <c r="H75" s="516">
        <f>+pers!K143+persbel!L49+mat!L277</f>
        <v>2659671.935792</v>
      </c>
      <c r="I75" s="516">
        <f>+pers!L143+persbel!M49+mat!M277</f>
        <v>2659671.935792</v>
      </c>
      <c r="J75" s="516">
        <f>+pers!M143+persbel!N49+mat!N277</f>
        <v>2659671.935792</v>
      </c>
      <c r="K75" s="239"/>
      <c r="L75" s="276"/>
    </row>
    <row r="76" spans="2:12" ht="12.75">
      <c r="B76" s="13"/>
      <c r="C76" s="1"/>
      <c r="D76" s="91" t="s">
        <v>249</v>
      </c>
      <c r="E76" s="1"/>
      <c r="F76" s="516">
        <f>+pers!I164+persbel!J59+mat!J278</f>
        <v>0</v>
      </c>
      <c r="G76" s="516">
        <f>+pers!J164+persbel!K59+mat!K278</f>
        <v>0</v>
      </c>
      <c r="H76" s="516">
        <f>+pers!K164+persbel!L59+mat!L278</f>
        <v>0</v>
      </c>
      <c r="I76" s="516">
        <f>+pers!L164+persbel!M59+mat!M278</f>
        <v>0</v>
      </c>
      <c r="J76" s="516">
        <f>+pers!M164+persbel!N59+mat!N278</f>
        <v>0</v>
      </c>
      <c r="K76" s="239"/>
      <c r="L76" s="276"/>
    </row>
    <row r="77" spans="2:12" ht="12.75" hidden="1">
      <c r="B77" s="13"/>
      <c r="C77" s="1"/>
      <c r="D77" s="91" t="s">
        <v>177</v>
      </c>
      <c r="E77" s="1"/>
      <c r="K77" s="239"/>
      <c r="L77" s="276"/>
    </row>
    <row r="78" spans="2:12" ht="12.75">
      <c r="B78" s="13"/>
      <c r="C78" s="1"/>
      <c r="D78" s="91" t="s">
        <v>248</v>
      </c>
      <c r="E78" s="1"/>
      <c r="F78" s="516">
        <f>+pers!I170+persbel!J65+mat!J280</f>
        <v>0</v>
      </c>
      <c r="G78" s="516">
        <f>+pers!J170+persbel!K65+mat!K280</f>
        <v>0</v>
      </c>
      <c r="H78" s="516">
        <f>+pers!K170+persbel!L65+mat!L280</f>
        <v>0</v>
      </c>
      <c r="I78" s="516">
        <f>+pers!L170+persbel!M65+mat!M280</f>
        <v>0</v>
      </c>
      <c r="J78" s="516">
        <f>+pers!M170+persbel!N65+mat!N280</f>
        <v>0</v>
      </c>
      <c r="K78" s="239"/>
      <c r="L78" s="276"/>
    </row>
    <row r="79" spans="2:12" ht="12.75">
      <c r="B79" s="13"/>
      <c r="C79" s="1"/>
      <c r="D79" s="91" t="s">
        <v>612</v>
      </c>
      <c r="E79" s="1"/>
      <c r="F79" s="516">
        <f>+pers!I186+persbel!J72+mat!J281-F78</f>
        <v>0</v>
      </c>
      <c r="G79" s="516">
        <f>+pers!J186+persbel!K72+mat!K281-G78</f>
        <v>0</v>
      </c>
      <c r="H79" s="516">
        <f>+pers!K186+persbel!L72+mat!L281-H78</f>
        <v>0</v>
      </c>
      <c r="I79" s="516">
        <f>+pers!L186+persbel!M72+mat!M281-I78</f>
        <v>0</v>
      </c>
      <c r="J79" s="516">
        <f>+pers!M186+persbel!N72+mat!N281-J78</f>
        <v>0</v>
      </c>
      <c r="K79" s="239"/>
      <c r="L79" s="276"/>
    </row>
    <row r="80" spans="2:12" ht="12.75">
      <c r="B80" s="13"/>
      <c r="C80" s="1"/>
      <c r="D80" s="91"/>
      <c r="E80" s="1"/>
      <c r="F80" s="1"/>
      <c r="G80" s="1"/>
      <c r="H80" s="1"/>
      <c r="I80" s="1"/>
      <c r="J80" s="1"/>
      <c r="K80" s="239"/>
      <c r="L80" s="276"/>
    </row>
    <row r="81" spans="2:12" ht="12.75">
      <c r="B81" s="13"/>
      <c r="C81" s="1"/>
      <c r="D81" s="2" t="s">
        <v>667</v>
      </c>
      <c r="E81" s="3"/>
      <c r="F81" s="523">
        <f>SUM(F75:F79)</f>
        <v>2648514.6987364194</v>
      </c>
      <c r="G81" s="523">
        <f>SUM(G75:G79)</f>
        <v>2659671.935792</v>
      </c>
      <c r="H81" s="523">
        <f>SUM(H75:H79)</f>
        <v>2659671.935792</v>
      </c>
      <c r="I81" s="523">
        <f>SUM(I75:I79)</f>
        <v>2659671.935792</v>
      </c>
      <c r="J81" s="523">
        <f>SUM(J75:J79)</f>
        <v>2659671.935792</v>
      </c>
      <c r="K81" s="239"/>
      <c r="L81" s="276"/>
    </row>
    <row r="82" spans="2:12" ht="12.75">
      <c r="B82" s="13"/>
      <c r="C82" s="1"/>
      <c r="D82" s="151"/>
      <c r="E82" s="3"/>
      <c r="F82" s="3"/>
      <c r="G82" s="3"/>
      <c r="H82" s="3"/>
      <c r="I82" s="3"/>
      <c r="J82" s="3"/>
      <c r="K82" s="239"/>
      <c r="L82" s="276"/>
    </row>
    <row r="83" spans="2:12" ht="12.75">
      <c r="B83" s="13"/>
      <c r="D83" s="128"/>
      <c r="E83" s="36"/>
      <c r="H83" s="282"/>
      <c r="K83" s="145"/>
      <c r="L83" s="276"/>
    </row>
    <row r="84" spans="2:12" ht="12.75">
      <c r="B84" s="13"/>
      <c r="C84" s="1"/>
      <c r="D84" s="151"/>
      <c r="E84" s="3"/>
      <c r="F84" s="3"/>
      <c r="G84" s="3"/>
      <c r="H84" s="3"/>
      <c r="I84" s="3"/>
      <c r="J84" s="3"/>
      <c r="K84" s="239"/>
      <c r="L84" s="276"/>
    </row>
    <row r="85" spans="2:12" ht="12.75">
      <c r="B85" s="278"/>
      <c r="C85" s="2"/>
      <c r="D85" s="3" t="s">
        <v>9</v>
      </c>
      <c r="E85" s="3"/>
      <c r="F85" s="3"/>
      <c r="G85" s="3"/>
      <c r="H85" s="3"/>
      <c r="I85" s="3"/>
      <c r="J85" s="3"/>
      <c r="K85" s="239"/>
      <c r="L85" s="276"/>
    </row>
    <row r="86" spans="2:12" ht="12.75">
      <c r="B86" s="278"/>
      <c r="C86" s="2"/>
      <c r="D86" s="94"/>
      <c r="E86" s="3"/>
      <c r="F86" s="3"/>
      <c r="G86" s="3"/>
      <c r="H86" s="3"/>
      <c r="I86" s="3"/>
      <c r="J86" s="3"/>
      <c r="K86" s="239"/>
      <c r="L86" s="276"/>
    </row>
    <row r="87" spans="2:12" ht="12.75">
      <c r="B87" s="13"/>
      <c r="C87" s="1"/>
      <c r="D87" s="91" t="s">
        <v>353</v>
      </c>
      <c r="E87" s="94"/>
      <c r="F87" s="516">
        <f>+pers!I202</f>
        <v>1990340.7216</v>
      </c>
      <c r="G87" s="516">
        <f>+pers!J202</f>
        <v>1990340.7216</v>
      </c>
      <c r="H87" s="516">
        <f>+pers!K202</f>
        <v>1990340.7216</v>
      </c>
      <c r="I87" s="516">
        <f>+pers!L202</f>
        <v>1990340.7216</v>
      </c>
      <c r="J87" s="516">
        <f>+pers!M202</f>
        <v>1990340.7216</v>
      </c>
      <c r="K87" s="239"/>
      <c r="L87" s="276"/>
    </row>
    <row r="88" spans="2:12" ht="12.75">
      <c r="B88" s="13"/>
      <c r="C88" s="1"/>
      <c r="D88" s="280" t="s">
        <v>713</v>
      </c>
      <c r="E88" s="94"/>
      <c r="F88" s="516">
        <f>+persbel!J100</f>
        <v>0</v>
      </c>
      <c r="G88" s="516">
        <f>+persbel!K100</f>
        <v>0</v>
      </c>
      <c r="H88" s="516">
        <f>+persbel!L100</f>
        <v>0</v>
      </c>
      <c r="I88" s="516">
        <f>+persbel!M100</f>
        <v>0</v>
      </c>
      <c r="J88" s="516">
        <f>+persbel!N100</f>
        <v>0</v>
      </c>
      <c r="K88" s="239"/>
      <c r="L88" s="276"/>
    </row>
    <row r="89" spans="2:12" ht="12.75">
      <c r="B89" s="13"/>
      <c r="C89" s="1"/>
      <c r="D89" s="1" t="s">
        <v>616</v>
      </c>
      <c r="E89" s="1"/>
      <c r="F89" s="516">
        <f>+mat!J289</f>
        <v>11111</v>
      </c>
      <c r="G89" s="516">
        <f>+mat!K289</f>
        <v>11111</v>
      </c>
      <c r="H89" s="516">
        <f>+mat!L289</f>
        <v>11111</v>
      </c>
      <c r="I89" s="516">
        <f>+mat!M289</f>
        <v>11111</v>
      </c>
      <c r="J89" s="516">
        <f>+mat!N289</f>
        <v>11111</v>
      </c>
      <c r="K89" s="239"/>
      <c r="L89" s="276"/>
    </row>
    <row r="90" spans="2:12" ht="12.75">
      <c r="B90" s="13"/>
      <c r="C90" s="1"/>
      <c r="D90" s="1" t="s">
        <v>617</v>
      </c>
      <c r="E90" s="1"/>
      <c r="F90" s="516">
        <f>+mat!J290</f>
        <v>10000</v>
      </c>
      <c r="G90" s="516">
        <f>+mat!K290</f>
        <v>10000</v>
      </c>
      <c r="H90" s="516">
        <f>+mat!L290</f>
        <v>10000</v>
      </c>
      <c r="I90" s="516">
        <f>+mat!M290</f>
        <v>10000</v>
      </c>
      <c r="J90" s="516">
        <f>+mat!N290</f>
        <v>10000</v>
      </c>
      <c r="K90" s="239"/>
      <c r="L90" s="276"/>
    </row>
    <row r="91" spans="2:12" ht="12.75">
      <c r="B91" s="13"/>
      <c r="C91" s="1"/>
      <c r="D91" s="1" t="s">
        <v>285</v>
      </c>
      <c r="E91" s="1"/>
      <c r="F91" s="516">
        <f>+mat!J291</f>
        <v>0</v>
      </c>
      <c r="G91" s="516">
        <f>+mat!K291</f>
        <v>0</v>
      </c>
      <c r="H91" s="516">
        <f>+mat!L291</f>
        <v>0</v>
      </c>
      <c r="I91" s="516">
        <f>+mat!M291</f>
        <v>0</v>
      </c>
      <c r="J91" s="516">
        <f>+mat!N291</f>
        <v>0</v>
      </c>
      <c r="K91" s="239"/>
      <c r="L91" s="276"/>
    </row>
    <row r="92" spans="2:12" ht="12.75">
      <c r="B92" s="13"/>
      <c r="C92" s="1"/>
      <c r="D92" s="1"/>
      <c r="E92" s="1"/>
      <c r="F92" s="1"/>
      <c r="G92" s="1"/>
      <c r="H92" s="1"/>
      <c r="I92" s="1"/>
      <c r="J92" s="1"/>
      <c r="K92" s="239"/>
      <c r="L92" s="276"/>
    </row>
    <row r="93" spans="2:12" ht="12.75">
      <c r="B93" s="13"/>
      <c r="C93" s="1"/>
      <c r="D93" s="2" t="s">
        <v>700</v>
      </c>
      <c r="E93" s="1"/>
      <c r="F93" s="523">
        <f>SUM(F87:F91)</f>
        <v>2011451.7216</v>
      </c>
      <c r="G93" s="523"/>
      <c r="H93" s="523"/>
      <c r="I93" s="523"/>
      <c r="J93" s="523"/>
      <c r="K93" s="239"/>
      <c r="L93" s="276"/>
    </row>
    <row r="94" spans="2:12" ht="12.75">
      <c r="B94" s="13"/>
      <c r="C94" s="1"/>
      <c r="D94" s="151"/>
      <c r="E94" s="94"/>
      <c r="F94" s="94"/>
      <c r="G94" s="94"/>
      <c r="H94" s="94"/>
      <c r="I94" s="94"/>
      <c r="J94" s="94"/>
      <c r="K94" s="239"/>
      <c r="L94" s="276"/>
    </row>
    <row r="95" spans="2:12" ht="12.75">
      <c r="B95" s="13"/>
      <c r="D95" s="125"/>
      <c r="E95" s="127"/>
      <c r="K95" s="145"/>
      <c r="L95" s="276"/>
    </row>
    <row r="96" spans="2:12" ht="12.75">
      <c r="B96" s="13"/>
      <c r="C96" s="1"/>
      <c r="D96" s="151"/>
      <c r="E96" s="94"/>
      <c r="F96" s="94"/>
      <c r="G96" s="94"/>
      <c r="H96" s="94"/>
      <c r="I96" s="94"/>
      <c r="J96" s="94"/>
      <c r="K96" s="239"/>
      <c r="L96" s="276"/>
    </row>
    <row r="97" spans="2:12" ht="12.75">
      <c r="B97" s="13"/>
      <c r="C97" s="3"/>
      <c r="D97" s="2" t="s">
        <v>402</v>
      </c>
      <c r="E97" s="3"/>
      <c r="F97" s="523">
        <f>+F81-F93</f>
        <v>637062.9771364194</v>
      </c>
      <c r="G97" s="523">
        <f>+G81-G93</f>
        <v>2659671.935792</v>
      </c>
      <c r="H97" s="523">
        <f>+H81-H93</f>
        <v>2659671.935792</v>
      </c>
      <c r="I97" s="523">
        <f>+I81-I93</f>
        <v>2659671.935792</v>
      </c>
      <c r="J97" s="523">
        <f>+J81-J93</f>
        <v>2659671.935792</v>
      </c>
      <c r="K97" s="239"/>
      <c r="L97" s="276"/>
    </row>
    <row r="98" spans="2:12" ht="12.75">
      <c r="B98" s="13"/>
      <c r="C98" s="94"/>
      <c r="D98" s="94"/>
      <c r="E98" s="94"/>
      <c r="F98" s="94"/>
      <c r="G98" s="94"/>
      <c r="H98" s="94"/>
      <c r="I98" s="94"/>
      <c r="J98" s="94"/>
      <c r="K98" s="239"/>
      <c r="L98" s="276"/>
    </row>
    <row r="99" spans="2:12" ht="12.75">
      <c r="B99" s="13"/>
      <c r="D99" s="125"/>
      <c r="E99" s="127"/>
      <c r="H99" s="282"/>
      <c r="K99" s="145"/>
      <c r="L99" s="276"/>
    </row>
    <row r="100" spans="2:12" ht="12.75">
      <c r="B100" s="13"/>
      <c r="D100" s="125"/>
      <c r="E100" s="127"/>
      <c r="H100" s="282"/>
      <c r="K100" s="145"/>
      <c r="L100" s="276"/>
    </row>
    <row r="101" spans="2:12" ht="12.75">
      <c r="B101" s="13"/>
      <c r="C101" s="1"/>
      <c r="D101" s="91"/>
      <c r="E101" s="94"/>
      <c r="F101" s="94"/>
      <c r="G101" s="94"/>
      <c r="H101" s="94"/>
      <c r="I101" s="94"/>
      <c r="J101" s="94"/>
      <c r="K101" s="239"/>
      <c r="L101" s="276"/>
    </row>
    <row r="102" spans="2:12" ht="12.75">
      <c r="B102" s="13"/>
      <c r="C102" s="1"/>
      <c r="D102" s="2" t="s">
        <v>180</v>
      </c>
      <c r="E102" s="94"/>
      <c r="F102" s="94"/>
      <c r="G102" s="94"/>
      <c r="H102" s="94"/>
      <c r="I102" s="94"/>
      <c r="J102" s="94"/>
      <c r="K102" s="239"/>
      <c r="L102" s="276"/>
    </row>
    <row r="103" spans="2:12" ht="12.75">
      <c r="B103" s="13"/>
      <c r="C103" s="1"/>
      <c r="D103" s="150"/>
      <c r="E103" s="94"/>
      <c r="F103" s="94"/>
      <c r="G103" s="94"/>
      <c r="H103" s="94"/>
      <c r="I103" s="94"/>
      <c r="J103" s="94"/>
      <c r="K103" s="239"/>
      <c r="L103" s="276"/>
    </row>
    <row r="104" spans="2:12" ht="12.75">
      <c r="B104" s="13"/>
      <c r="C104" s="1"/>
      <c r="D104" s="91" t="s">
        <v>371</v>
      </c>
      <c r="E104" s="94"/>
      <c r="F104" s="524"/>
      <c r="G104" s="516">
        <f aca="true" t="shared" si="1" ref="G104:I105">0.416666666666667*G41+0.583333333333333*H41</f>
        <v>0</v>
      </c>
      <c r="H104" s="516">
        <f t="shared" si="1"/>
        <v>0</v>
      </c>
      <c r="I104" s="516">
        <f t="shared" si="1"/>
        <v>0</v>
      </c>
      <c r="J104" s="516">
        <f>J41</f>
        <v>0</v>
      </c>
      <c r="K104" s="239"/>
      <c r="L104" s="276"/>
    </row>
    <row r="105" spans="2:12" ht="12.75">
      <c r="B105" s="13"/>
      <c r="C105" s="1"/>
      <c r="D105" s="91" t="s">
        <v>372</v>
      </c>
      <c r="E105" s="94"/>
      <c r="F105" s="524"/>
      <c r="G105" s="516">
        <f t="shared" si="1"/>
        <v>0</v>
      </c>
      <c r="H105" s="516">
        <f t="shared" si="1"/>
        <v>0</v>
      </c>
      <c r="I105" s="516">
        <f t="shared" si="1"/>
        <v>0</v>
      </c>
      <c r="J105" s="516">
        <f>J42</f>
        <v>0</v>
      </c>
      <c r="K105" s="239"/>
      <c r="L105" s="276"/>
    </row>
    <row r="106" spans="2:12" ht="12.75">
      <c r="B106" s="13"/>
      <c r="C106" s="1"/>
      <c r="D106" s="151"/>
      <c r="E106" s="94"/>
      <c r="F106" s="94"/>
      <c r="G106" s="94"/>
      <c r="H106" s="94"/>
      <c r="I106" s="94"/>
      <c r="J106" s="94"/>
      <c r="K106" s="239"/>
      <c r="L106" s="276"/>
    </row>
    <row r="107" spans="2:12" ht="12.75">
      <c r="B107" s="13"/>
      <c r="C107" s="1"/>
      <c r="D107" s="2" t="s">
        <v>403</v>
      </c>
      <c r="E107" s="1"/>
      <c r="F107" s="523">
        <f>+F104-F105</f>
        <v>0</v>
      </c>
      <c r="G107" s="523">
        <f>+G104-G105</f>
        <v>0</v>
      </c>
      <c r="H107" s="523">
        <f>+H104-H105</f>
        <v>0</v>
      </c>
      <c r="I107" s="523">
        <f>+I104-I105</f>
        <v>0</v>
      </c>
      <c r="J107" s="523">
        <f>+J104-J105</f>
        <v>0</v>
      </c>
      <c r="K107" s="239"/>
      <c r="L107" s="276"/>
    </row>
    <row r="108" spans="2:12" ht="12.75">
      <c r="B108" s="13"/>
      <c r="C108" s="1"/>
      <c r="D108" s="151"/>
      <c r="E108" s="94"/>
      <c r="F108" s="94"/>
      <c r="G108" s="94"/>
      <c r="H108" s="94"/>
      <c r="I108" s="94"/>
      <c r="J108" s="94"/>
      <c r="K108" s="239"/>
      <c r="L108" s="276"/>
    </row>
    <row r="109" spans="2:12" ht="12.75">
      <c r="B109" s="13"/>
      <c r="D109" s="128"/>
      <c r="E109" s="127"/>
      <c r="H109" s="282"/>
      <c r="K109" s="145"/>
      <c r="L109" s="276"/>
    </row>
    <row r="110" spans="2:12" ht="12.75">
      <c r="B110" s="13"/>
      <c r="D110" s="128"/>
      <c r="E110" s="127"/>
      <c r="H110" s="282"/>
      <c r="K110" s="145"/>
      <c r="L110" s="276"/>
    </row>
    <row r="111" spans="2:12" ht="12.75">
      <c r="B111" s="13"/>
      <c r="C111" s="1"/>
      <c r="D111" s="151"/>
      <c r="E111" s="94"/>
      <c r="F111" s="94"/>
      <c r="G111" s="94"/>
      <c r="H111" s="94"/>
      <c r="I111" s="94"/>
      <c r="J111" s="94"/>
      <c r="K111" s="239"/>
      <c r="L111" s="276"/>
    </row>
    <row r="112" spans="2:12" ht="12.75">
      <c r="B112" s="37"/>
      <c r="C112" s="3"/>
      <c r="D112" s="2" t="s">
        <v>203</v>
      </c>
      <c r="E112" s="3"/>
      <c r="F112" s="523">
        <f>+F97+F107</f>
        <v>637062.9771364194</v>
      </c>
      <c r="G112" s="523">
        <f>+G97+G107</f>
        <v>2659671.935792</v>
      </c>
      <c r="H112" s="523">
        <f>+H97+H107</f>
        <v>2659671.935792</v>
      </c>
      <c r="I112" s="523">
        <f>+I97+I107</f>
        <v>2659671.935792</v>
      </c>
      <c r="J112" s="523">
        <f>+J97+J107</f>
        <v>2659671.935792</v>
      </c>
      <c r="K112" s="239"/>
      <c r="L112" s="276"/>
    </row>
    <row r="113" spans="2:12" ht="12.75">
      <c r="B113" s="13"/>
      <c r="C113" s="94"/>
      <c r="D113" s="94"/>
      <c r="E113" s="94"/>
      <c r="F113" s="94"/>
      <c r="G113" s="94"/>
      <c r="H113" s="94"/>
      <c r="I113" s="94"/>
      <c r="J113" s="94"/>
      <c r="K113" s="239"/>
      <c r="L113" s="276"/>
    </row>
    <row r="114" spans="2:12" ht="12.75">
      <c r="B114" s="13"/>
      <c r="H114" s="282"/>
      <c r="K114" s="145"/>
      <c r="L114" s="276"/>
    </row>
    <row r="115" spans="2:12" ht="12.75">
      <c r="B115" s="13"/>
      <c r="H115" s="282"/>
      <c r="K115" s="145"/>
      <c r="L115" s="276"/>
    </row>
    <row r="116" spans="2:12" ht="12.75">
      <c r="B116" s="13"/>
      <c r="H116" s="282"/>
      <c r="K116" s="145"/>
      <c r="L116" s="276"/>
    </row>
    <row r="117" spans="2:12" ht="12.75">
      <c r="B117" s="13"/>
      <c r="C117" s="1"/>
      <c r="D117" s="1"/>
      <c r="E117" s="1"/>
      <c r="F117" s="1"/>
      <c r="G117" s="1"/>
      <c r="H117" s="1"/>
      <c r="I117" s="1"/>
      <c r="J117" s="1"/>
      <c r="K117" s="239"/>
      <c r="L117" s="276"/>
    </row>
    <row r="118" spans="2:12" ht="12.75">
      <c r="B118" s="13"/>
      <c r="C118" s="1"/>
      <c r="D118" s="3" t="s">
        <v>404</v>
      </c>
      <c r="E118" s="1"/>
      <c r="F118" s="1"/>
      <c r="G118" s="1"/>
      <c r="H118" s="1"/>
      <c r="I118" s="1"/>
      <c r="J118" s="1"/>
      <c r="K118" s="239"/>
      <c r="L118" s="276"/>
    </row>
    <row r="119" spans="2:12" ht="12.75">
      <c r="B119" s="13"/>
      <c r="C119" s="1"/>
      <c r="D119" s="1"/>
      <c r="E119" s="1"/>
      <c r="F119" s="1"/>
      <c r="G119" s="1"/>
      <c r="H119" s="1"/>
      <c r="I119" s="1"/>
      <c r="J119" s="1"/>
      <c r="K119" s="239"/>
      <c r="L119" s="276"/>
    </row>
    <row r="120" spans="2:12" ht="12.75">
      <c r="B120" s="13"/>
      <c r="C120" s="1"/>
      <c r="D120" s="1" t="s">
        <v>393</v>
      </c>
      <c r="E120" s="1"/>
      <c r="F120" s="516">
        <f>+pers!I140</f>
        <v>41432.91582975999</v>
      </c>
      <c r="G120" s="516">
        <f>+pers!J140</f>
        <v>41800.704207999996</v>
      </c>
      <c r="H120" s="516">
        <f>+pers!K140</f>
        <v>41800.704207999996</v>
      </c>
      <c r="I120" s="516">
        <f>+pers!L140</f>
        <v>41800.704207999996</v>
      </c>
      <c r="J120" s="516">
        <f>+pers!M140</f>
        <v>41800.704207999996</v>
      </c>
      <c r="K120" s="239"/>
      <c r="L120" s="276"/>
    </row>
    <row r="121" spans="2:12" ht="12.75">
      <c r="B121" s="13"/>
      <c r="C121" s="1"/>
      <c r="D121" s="1" t="s">
        <v>405</v>
      </c>
      <c r="E121" s="1"/>
      <c r="F121" s="516">
        <f>+persbel!J46</f>
        <v>0</v>
      </c>
      <c r="G121" s="516">
        <f>+persbel!K46</f>
        <v>0</v>
      </c>
      <c r="H121" s="516">
        <f>+persbel!L46</f>
        <v>0</v>
      </c>
      <c r="I121" s="516">
        <f>+persbel!M46</f>
        <v>0</v>
      </c>
      <c r="J121" s="516">
        <f>+persbel!N46</f>
        <v>0</v>
      </c>
      <c r="K121" s="239"/>
      <c r="L121" s="276"/>
    </row>
    <row r="122" spans="2:12" ht="12.75">
      <c r="B122" s="13"/>
      <c r="C122" s="1"/>
      <c r="D122" s="1" t="s">
        <v>395</v>
      </c>
      <c r="E122" s="1"/>
      <c r="F122" s="516">
        <f>+mat!J304</f>
        <v>0</v>
      </c>
      <c r="G122" s="516">
        <f>+mat!K304</f>
        <v>0</v>
      </c>
      <c r="H122" s="516">
        <f>+mat!L304</f>
        <v>0</v>
      </c>
      <c r="I122" s="516">
        <f>+mat!M304</f>
        <v>0</v>
      </c>
      <c r="J122" s="516">
        <f>+mat!N304</f>
        <v>0</v>
      </c>
      <c r="K122" s="239"/>
      <c r="L122" s="276"/>
    </row>
    <row r="123" spans="2:12" ht="12.75">
      <c r="B123" s="13"/>
      <c r="C123" s="1"/>
      <c r="D123" s="1"/>
      <c r="E123" s="1"/>
      <c r="F123" s="1"/>
      <c r="G123" s="1"/>
      <c r="H123" s="1"/>
      <c r="I123" s="1"/>
      <c r="J123" s="1"/>
      <c r="K123" s="239"/>
      <c r="L123" s="276"/>
    </row>
    <row r="124" spans="2:12" ht="12.75">
      <c r="B124" s="13"/>
      <c r="C124" s="1"/>
      <c r="D124" s="3" t="s">
        <v>700</v>
      </c>
      <c r="E124" s="1"/>
      <c r="F124" s="523">
        <f>SUM(F120:F122)</f>
        <v>41432.91582975999</v>
      </c>
      <c r="G124" s="523">
        <f>SUM(G120:G122)</f>
        <v>41800.704207999996</v>
      </c>
      <c r="H124" s="523">
        <f>SUM(H120:H122)</f>
        <v>41800.704207999996</v>
      </c>
      <c r="I124" s="523">
        <f>SUM(I120:I122)</f>
        <v>41800.704207999996</v>
      </c>
      <c r="J124" s="523">
        <f>SUM(J120:J122)</f>
        <v>41800.704207999996</v>
      </c>
      <c r="K124" s="239"/>
      <c r="L124" s="276"/>
    </row>
    <row r="125" spans="2:12" ht="12.75">
      <c r="B125" s="13"/>
      <c r="C125" s="1"/>
      <c r="D125" s="1"/>
      <c r="E125" s="1"/>
      <c r="F125" s="1"/>
      <c r="G125" s="1"/>
      <c r="H125" s="1"/>
      <c r="I125" s="1"/>
      <c r="J125" s="1"/>
      <c r="K125" s="239"/>
      <c r="L125" s="276"/>
    </row>
    <row r="126" spans="2:12" ht="12.75">
      <c r="B126" s="13"/>
      <c r="L126" s="276"/>
    </row>
    <row r="127" spans="2:12" ht="13.5" thickBot="1">
      <c r="B127" s="48"/>
      <c r="C127" s="49"/>
      <c r="D127" s="49"/>
      <c r="E127" s="49"/>
      <c r="F127" s="49"/>
      <c r="G127" s="49"/>
      <c r="H127" s="49"/>
      <c r="I127" s="49"/>
      <c r="J127" s="49"/>
      <c r="K127" s="49"/>
      <c r="L127" s="525"/>
    </row>
    <row r="128" ht="12.75">
      <c r="I128" s="282"/>
    </row>
    <row r="129" ht="12.75">
      <c r="I129" s="282"/>
    </row>
    <row r="130" ht="12.75">
      <c r="I130" s="282"/>
    </row>
    <row r="131" ht="12.75">
      <c r="I131" s="282"/>
    </row>
    <row r="132" ht="12.75">
      <c r="I132" s="282"/>
    </row>
    <row r="133" ht="12.75">
      <c r="I133" s="282"/>
    </row>
    <row r="134" ht="12.75">
      <c r="I134" s="282"/>
    </row>
    <row r="135" ht="12.75">
      <c r="I135" s="282"/>
    </row>
    <row r="136" ht="12.75">
      <c r="I136" s="282"/>
    </row>
    <row r="137" ht="12.75">
      <c r="I137" s="282"/>
    </row>
    <row r="138" ht="12.75">
      <c r="I138" s="282"/>
    </row>
    <row r="139" ht="12.75">
      <c r="I139" s="282"/>
    </row>
    <row r="140" ht="12.75">
      <c r="I140" s="282"/>
    </row>
    <row r="141" ht="12.75">
      <c r="I141" s="282"/>
    </row>
    <row r="142" ht="12.75">
      <c r="I142" s="282"/>
    </row>
    <row r="143" ht="12.75">
      <c r="I143" s="282"/>
    </row>
    <row r="144" ht="12.75">
      <c r="I144" s="282"/>
    </row>
    <row r="145" ht="12.75">
      <c r="I145" s="282"/>
    </row>
    <row r="146" ht="12.75">
      <c r="I146" s="282"/>
    </row>
    <row r="147" ht="12.75">
      <c r="I147" s="282"/>
    </row>
    <row r="148" ht="12.75">
      <c r="I148" s="282"/>
    </row>
    <row r="149" ht="12.75">
      <c r="I149" s="282"/>
    </row>
    <row r="150" ht="12.75">
      <c r="I150" s="282"/>
    </row>
    <row r="151" ht="12.75">
      <c r="I151" s="282"/>
    </row>
    <row r="152" ht="12.75">
      <c r="I152" s="282"/>
    </row>
    <row r="153" ht="12.75">
      <c r="I153" s="282"/>
    </row>
    <row r="154" ht="12.75">
      <c r="I154" s="282"/>
    </row>
    <row r="155" ht="12.75">
      <c r="I155" s="282"/>
    </row>
    <row r="156" ht="12.75">
      <c r="I156" s="282"/>
    </row>
    <row r="157" ht="12.75">
      <c r="I157" s="282"/>
    </row>
    <row r="158" ht="12.75">
      <c r="I158" s="282"/>
    </row>
    <row r="159" ht="12.75">
      <c r="I159" s="282"/>
    </row>
    <row r="160" ht="12.75">
      <c r="I160" s="282"/>
    </row>
    <row r="161" ht="12.75">
      <c r="I161" s="282"/>
    </row>
    <row r="162" ht="12.75">
      <c r="I162" s="282"/>
    </row>
    <row r="163" ht="12.75">
      <c r="I163" s="282"/>
    </row>
    <row r="164" ht="12.75">
      <c r="I164" s="282"/>
    </row>
    <row r="165" ht="12.75">
      <c r="I165" s="282"/>
    </row>
    <row r="166" ht="12.75">
      <c r="I166" s="282"/>
    </row>
    <row r="167" ht="12.75">
      <c r="I167" s="282"/>
    </row>
    <row r="168" ht="12.75">
      <c r="I168" s="282"/>
    </row>
    <row r="169" ht="12.75">
      <c r="I169" s="282"/>
    </row>
    <row r="170" ht="12.75">
      <c r="I170" s="282"/>
    </row>
    <row r="171" ht="12.75">
      <c r="I171" s="282"/>
    </row>
    <row r="172" ht="12.75">
      <c r="I172" s="282"/>
    </row>
    <row r="173" ht="12.75">
      <c r="I173" s="282"/>
    </row>
    <row r="174" ht="12.75">
      <c r="I174" s="282"/>
    </row>
    <row r="175" ht="12.75">
      <c r="I175" s="282"/>
    </row>
    <row r="176" ht="12.75">
      <c r="I176" s="282"/>
    </row>
    <row r="177" ht="12.75">
      <c r="I177" s="282"/>
    </row>
    <row r="178" ht="12.75">
      <c r="I178" s="282"/>
    </row>
    <row r="179" ht="12.75">
      <c r="I179" s="282"/>
    </row>
    <row r="180" ht="12.75">
      <c r="I180" s="282"/>
    </row>
  </sheetData>
  <sheetProtection password="DE55" sheet="1" objects="1" scenarios="1"/>
  <printOptions/>
  <pageMargins left="0.75" right="0.75" top="1" bottom="1" header="0.5" footer="0.5"/>
  <pageSetup horizontalDpi="600" verticalDpi="600" orientation="portrait" paperSize="9" scale="55" r:id="rId2"/>
  <headerFooter alignWithMargins="0">
    <oddHeader>&amp;L&amp;"Arial,Vet"&amp;F&amp;R&amp;"Arial,Vet"&amp;A</oddHeader>
    <oddFooter>&amp;L&amp;"Arial,Vet"keizer / goedhart&amp;C&amp;"Arial,Vet"&amp;D&amp;R&amp;"Arial,Vet"pagina &amp;P</oddFooter>
  </headerFooter>
  <rowBreaks count="1" manualBreakCount="1">
    <brk id="64" min="1" max="11"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B2:Q65"/>
  <sheetViews>
    <sheetView zoomScale="85" zoomScaleNormal="85" workbookViewId="0" topLeftCell="A1">
      <pane ySplit="8" topLeftCell="BM9" activePane="bottomLeft" state="frozen"/>
      <selection pane="topLeft" activeCell="A1" sqref="A1"/>
      <selection pane="bottomLeft" activeCell="B2" sqref="B2"/>
    </sheetView>
  </sheetViews>
  <sheetFormatPr defaultColWidth="9.140625" defaultRowHeight="12.75"/>
  <cols>
    <col min="1" max="1" width="5.7109375" style="7" customWidth="1"/>
    <col min="2" max="3" width="2.7109375" style="7" customWidth="1"/>
    <col min="4" max="4" width="45.7109375" style="7" customWidth="1"/>
    <col min="5" max="5" width="2.7109375" style="7" customWidth="1"/>
    <col min="6" max="6" width="16.8515625" style="7" customWidth="1"/>
    <col min="7" max="7" width="1.7109375" style="7" customWidth="1"/>
    <col min="8" max="8" width="16.7109375" style="8" customWidth="1"/>
    <col min="9" max="11" width="16.8515625" style="8" customWidth="1"/>
    <col min="12" max="12" width="2.7109375" style="8" customWidth="1"/>
    <col min="13" max="13" width="2.7109375" style="7" customWidth="1"/>
    <col min="14" max="14" width="11.421875" style="134" customWidth="1"/>
    <col min="15" max="15" width="33.7109375" style="7" customWidth="1"/>
    <col min="16" max="16" width="2.57421875" style="7" customWidth="1"/>
    <col min="17" max="21" width="10.7109375" style="7" customWidth="1"/>
    <col min="22" max="22" width="2.7109375" style="7" customWidth="1"/>
    <col min="23" max="16384" width="9.140625" style="7" customWidth="1"/>
  </cols>
  <sheetData>
    <row r="1" ht="12.75" customHeight="1" thickBot="1"/>
    <row r="2" spans="2:13" ht="12.75">
      <c r="B2" s="9"/>
      <c r="C2" s="10"/>
      <c r="D2" s="10"/>
      <c r="E2" s="10"/>
      <c r="F2" s="10"/>
      <c r="G2" s="10"/>
      <c r="H2" s="11"/>
      <c r="I2" s="11"/>
      <c r="J2" s="11"/>
      <c r="K2" s="11"/>
      <c r="L2" s="11"/>
      <c r="M2" s="12"/>
    </row>
    <row r="3" spans="2:13" ht="12.75">
      <c r="B3" s="13"/>
      <c r="M3" s="14"/>
    </row>
    <row r="4" spans="2:13" ht="18.75">
      <c r="B4" s="331"/>
      <c r="C4" s="17" t="s">
        <v>217</v>
      </c>
      <c r="M4" s="14"/>
    </row>
    <row r="5" spans="2:13" ht="12.75">
      <c r="B5" s="194"/>
      <c r="C5" s="127"/>
      <c r="M5" s="14"/>
    </row>
    <row r="6" spans="2:13" ht="12.75">
      <c r="B6" s="197"/>
      <c r="C6" s="109"/>
      <c r="M6" s="14"/>
    </row>
    <row r="7" spans="2:13" ht="12.75">
      <c r="B7" s="37"/>
      <c r="C7" s="36"/>
      <c r="D7" s="127"/>
      <c r="F7" s="89">
        <f>tabel!C4</f>
        <v>2009</v>
      </c>
      <c r="G7" s="88"/>
      <c r="H7" s="89">
        <f>F7+1</f>
        <v>2010</v>
      </c>
      <c r="I7" s="89">
        <f>H7+1</f>
        <v>2011</v>
      </c>
      <c r="J7" s="89">
        <f>I7+1</f>
        <v>2012</v>
      </c>
      <c r="K7" s="89">
        <f>J7+1</f>
        <v>2013</v>
      </c>
      <c r="L7" s="88"/>
      <c r="M7" s="14"/>
    </row>
    <row r="8" spans="2:13" ht="12.75">
      <c r="B8" s="37"/>
      <c r="C8" s="36"/>
      <c r="D8" s="127"/>
      <c r="H8" s="88"/>
      <c r="I8" s="88"/>
      <c r="J8" s="88"/>
      <c r="K8" s="88"/>
      <c r="L8" s="88"/>
      <c r="M8" s="14"/>
    </row>
    <row r="9" spans="2:13" ht="12.75">
      <c r="B9" s="37"/>
      <c r="C9" s="3"/>
      <c r="D9" s="94"/>
      <c r="E9" s="1"/>
      <c r="F9" s="1"/>
      <c r="G9" s="1"/>
      <c r="H9" s="162"/>
      <c r="I9" s="162"/>
      <c r="J9" s="162"/>
      <c r="K9" s="162"/>
      <c r="L9" s="162"/>
      <c r="M9" s="14"/>
    </row>
    <row r="10" spans="2:13" ht="12.75">
      <c r="B10" s="13"/>
      <c r="C10" s="1"/>
      <c r="D10" s="3" t="s">
        <v>218</v>
      </c>
      <c r="E10" s="1"/>
      <c r="F10" s="1"/>
      <c r="G10" s="1"/>
      <c r="H10" s="162"/>
      <c r="I10" s="162"/>
      <c r="J10" s="162"/>
      <c r="K10" s="162"/>
      <c r="L10" s="162"/>
      <c r="M10" s="14"/>
    </row>
    <row r="11" spans="2:17" ht="12.75">
      <c r="B11" s="13"/>
      <c r="C11" s="1"/>
      <c r="D11" s="1"/>
      <c r="E11" s="1"/>
      <c r="F11" s="1"/>
      <c r="G11" s="1"/>
      <c r="H11" s="1"/>
      <c r="I11" s="1"/>
      <c r="J11" s="1"/>
      <c r="K11" s="1"/>
      <c r="L11" s="1"/>
      <c r="M11" s="300"/>
      <c r="N11" s="180"/>
      <c r="O11" s="8"/>
      <c r="P11" s="8"/>
      <c r="Q11" s="8"/>
    </row>
    <row r="12" spans="2:13" ht="12.75">
      <c r="B12" s="13"/>
      <c r="C12" s="1"/>
      <c r="D12" s="3" t="s">
        <v>219</v>
      </c>
      <c r="E12" s="1"/>
      <c r="F12" s="1"/>
      <c r="G12" s="1"/>
      <c r="H12" s="1"/>
      <c r="I12" s="1"/>
      <c r="J12" s="1"/>
      <c r="K12" s="1"/>
      <c r="L12" s="1"/>
      <c r="M12" s="14"/>
    </row>
    <row r="13" spans="2:13" ht="12.75">
      <c r="B13" s="13"/>
      <c r="C13" s="1"/>
      <c r="D13" s="1" t="s">
        <v>183</v>
      </c>
      <c r="E13" s="1"/>
      <c r="F13" s="35">
        <f>act!F61</f>
        <v>88888</v>
      </c>
      <c r="G13" s="1"/>
      <c r="H13" s="35">
        <f>act!G61</f>
        <v>77777</v>
      </c>
      <c r="I13" s="35">
        <f>act!H61</f>
        <v>66666</v>
      </c>
      <c r="J13" s="35">
        <f>act!I61</f>
        <v>55555</v>
      </c>
      <c r="K13" s="35">
        <f>act!J61</f>
        <v>44444</v>
      </c>
      <c r="L13" s="25"/>
      <c r="M13" s="14"/>
    </row>
    <row r="14" spans="2:13" ht="12.75">
      <c r="B14" s="13"/>
      <c r="C14" s="1"/>
      <c r="D14" s="136"/>
      <c r="E14" s="1"/>
      <c r="F14" s="176">
        <v>0</v>
      </c>
      <c r="G14" s="1"/>
      <c r="H14" s="199">
        <f>F14</f>
        <v>0</v>
      </c>
      <c r="I14" s="199">
        <f aca="true" t="shared" si="0" ref="I14:K15">H14</f>
        <v>0</v>
      </c>
      <c r="J14" s="199">
        <f t="shared" si="0"/>
        <v>0</v>
      </c>
      <c r="K14" s="199">
        <f t="shared" si="0"/>
        <v>0</v>
      </c>
      <c r="L14" s="25"/>
      <c r="M14" s="14"/>
    </row>
    <row r="15" spans="2:13" ht="12.75">
      <c r="B15" s="13"/>
      <c r="C15" s="1"/>
      <c r="D15" s="136"/>
      <c r="E15" s="1"/>
      <c r="F15" s="176">
        <v>0</v>
      </c>
      <c r="G15" s="1"/>
      <c r="H15" s="199">
        <f>F15</f>
        <v>0</v>
      </c>
      <c r="I15" s="199">
        <f t="shared" si="0"/>
        <v>0</v>
      </c>
      <c r="J15" s="199">
        <f t="shared" si="0"/>
        <v>0</v>
      </c>
      <c r="K15" s="199">
        <f t="shared" si="0"/>
        <v>0</v>
      </c>
      <c r="L15" s="181"/>
      <c r="M15" s="14"/>
    </row>
    <row r="16" spans="2:13" ht="12.75">
      <c r="B16" s="13"/>
      <c r="C16" s="1"/>
      <c r="D16" s="94"/>
      <c r="E16" s="1"/>
      <c r="F16" s="43">
        <f>SUM(F13:F15)</f>
        <v>88888</v>
      </c>
      <c r="G16" s="1"/>
      <c r="H16" s="43">
        <f>SUM(H13:H15)</f>
        <v>77777</v>
      </c>
      <c r="I16" s="43">
        <f>SUM(I13:I15)</f>
        <v>66666</v>
      </c>
      <c r="J16" s="43">
        <f>SUM(J13:J15)</f>
        <v>55555</v>
      </c>
      <c r="K16" s="43">
        <f>SUM(K13:K15)</f>
        <v>44444</v>
      </c>
      <c r="L16" s="163"/>
      <c r="M16" s="14"/>
    </row>
    <row r="17" spans="2:13" ht="12.75">
      <c r="B17" s="13"/>
      <c r="C17" s="1"/>
      <c r="D17" s="3"/>
      <c r="E17" s="1"/>
      <c r="F17" s="1"/>
      <c r="G17" s="1"/>
      <c r="H17" s="1"/>
      <c r="I17" s="1"/>
      <c r="J17" s="1"/>
      <c r="K17" s="1"/>
      <c r="L17" s="1"/>
      <c r="M17" s="14"/>
    </row>
    <row r="18" spans="2:13" ht="12.75">
      <c r="B18" s="13"/>
      <c r="C18" s="1"/>
      <c r="D18" s="3" t="s">
        <v>323</v>
      </c>
      <c r="E18" s="1"/>
      <c r="F18" s="1"/>
      <c r="G18" s="1"/>
      <c r="H18" s="181"/>
      <c r="I18" s="181"/>
      <c r="J18" s="181"/>
      <c r="K18" s="181"/>
      <c r="L18" s="181"/>
      <c r="M18" s="14"/>
    </row>
    <row r="19" spans="2:13" ht="12.75">
      <c r="B19" s="13"/>
      <c r="C19" s="1"/>
      <c r="D19" s="1" t="s">
        <v>184</v>
      </c>
      <c r="E19" s="1"/>
      <c r="F19" s="176">
        <v>0</v>
      </c>
      <c r="G19" s="1"/>
      <c r="H19" s="35">
        <f>H62-(H16+(SUM(H20:H24)))</f>
        <v>1111</v>
      </c>
      <c r="I19" s="35">
        <f>I62-(I16+(SUM(I20:I24)))</f>
        <v>2222</v>
      </c>
      <c r="J19" s="35">
        <f>J62-(J16+(SUM(J20:J24)))</f>
        <v>3333</v>
      </c>
      <c r="K19" s="35">
        <f>K62-(K16+(SUM(K20:K24)))</f>
        <v>4444</v>
      </c>
      <c r="L19" s="181"/>
      <c r="M19" s="14"/>
    </row>
    <row r="20" spans="2:13" ht="12.75">
      <c r="B20" s="13"/>
      <c r="C20" s="1"/>
      <c r="D20" s="136" t="s">
        <v>38</v>
      </c>
      <c r="E20" s="1"/>
      <c r="F20" s="176">
        <v>0</v>
      </c>
      <c r="G20" s="1"/>
      <c r="H20" s="199">
        <f>F20</f>
        <v>0</v>
      </c>
      <c r="I20" s="199">
        <f aca="true" t="shared" si="1" ref="I20:K22">H20</f>
        <v>0</v>
      </c>
      <c r="J20" s="199">
        <f t="shared" si="1"/>
        <v>0</v>
      </c>
      <c r="K20" s="199">
        <f t="shared" si="1"/>
        <v>0</v>
      </c>
      <c r="L20" s="181"/>
      <c r="M20" s="14"/>
    </row>
    <row r="21" spans="2:13" ht="12.75">
      <c r="B21" s="13"/>
      <c r="C21" s="1"/>
      <c r="D21" s="136" t="s">
        <v>185</v>
      </c>
      <c r="E21" s="1"/>
      <c r="F21" s="176">
        <v>0</v>
      </c>
      <c r="G21" s="1"/>
      <c r="H21" s="199">
        <f>F21</f>
        <v>0</v>
      </c>
      <c r="I21" s="199">
        <f t="shared" si="1"/>
        <v>0</v>
      </c>
      <c r="J21" s="199">
        <f t="shared" si="1"/>
        <v>0</v>
      </c>
      <c r="K21" s="199">
        <f t="shared" si="1"/>
        <v>0</v>
      </c>
      <c r="L21" s="181"/>
      <c r="M21" s="14"/>
    </row>
    <row r="22" spans="2:13" ht="12.75">
      <c r="B22" s="13"/>
      <c r="C22" s="1"/>
      <c r="D22" s="136"/>
      <c r="E22" s="1"/>
      <c r="F22" s="176">
        <v>0</v>
      </c>
      <c r="G22" s="1"/>
      <c r="H22" s="199">
        <f>F22</f>
        <v>0</v>
      </c>
      <c r="I22" s="199">
        <f t="shared" si="1"/>
        <v>0</v>
      </c>
      <c r="J22" s="199">
        <f t="shared" si="1"/>
        <v>0</v>
      </c>
      <c r="K22" s="199">
        <f t="shared" si="1"/>
        <v>0</v>
      </c>
      <c r="L22" s="181"/>
      <c r="M22" s="14"/>
    </row>
    <row r="23" spans="2:13" ht="12.75">
      <c r="B23" s="13"/>
      <c r="C23" s="1"/>
      <c r="D23" s="136"/>
      <c r="E23" s="1"/>
      <c r="F23" s="176">
        <v>0</v>
      </c>
      <c r="G23" s="1"/>
      <c r="H23" s="199">
        <f>F23</f>
        <v>0</v>
      </c>
      <c r="I23" s="199">
        <f aca="true" t="shared" si="2" ref="I23:K24">H23</f>
        <v>0</v>
      </c>
      <c r="J23" s="199">
        <f t="shared" si="2"/>
        <v>0</v>
      </c>
      <c r="K23" s="199">
        <f t="shared" si="2"/>
        <v>0</v>
      </c>
      <c r="L23" s="181"/>
      <c r="M23" s="14"/>
    </row>
    <row r="24" spans="2:13" ht="12.75">
      <c r="B24" s="13"/>
      <c r="C24" s="1"/>
      <c r="D24" s="136"/>
      <c r="E24" s="1"/>
      <c r="F24" s="176">
        <v>0</v>
      </c>
      <c r="G24" s="1"/>
      <c r="H24" s="199">
        <f>F24</f>
        <v>0</v>
      </c>
      <c r="I24" s="199">
        <f t="shared" si="2"/>
        <v>0</v>
      </c>
      <c r="J24" s="199">
        <f t="shared" si="2"/>
        <v>0</v>
      </c>
      <c r="K24" s="199">
        <f t="shared" si="2"/>
        <v>0</v>
      </c>
      <c r="L24" s="181"/>
      <c r="M24" s="14"/>
    </row>
    <row r="25" spans="2:13" ht="12.75">
      <c r="B25" s="13"/>
      <c r="C25" s="1"/>
      <c r="D25" s="150"/>
      <c r="E25" s="1"/>
      <c r="F25" s="43">
        <f>SUM(F19:F24)</f>
        <v>0</v>
      </c>
      <c r="G25" s="1"/>
      <c r="H25" s="43">
        <f>SUM(H19:H24)</f>
        <v>1111</v>
      </c>
      <c r="I25" s="43">
        <f>SUM(I19:I24)</f>
        <v>2222</v>
      </c>
      <c r="J25" s="43">
        <f>SUM(J19:J24)</f>
        <v>3333</v>
      </c>
      <c r="K25" s="43">
        <f>SUM(K19:K24)</f>
        <v>4444</v>
      </c>
      <c r="L25" s="163"/>
      <c r="M25" s="14"/>
    </row>
    <row r="26" spans="2:13" ht="12.75">
      <c r="B26" s="13"/>
      <c r="C26" s="1"/>
      <c r="D26" s="1"/>
      <c r="E26" s="1"/>
      <c r="F26" s="1"/>
      <c r="G26" s="1"/>
      <c r="H26" s="1"/>
      <c r="I26" s="1"/>
      <c r="J26" s="1"/>
      <c r="K26" s="1"/>
      <c r="L26" s="1"/>
      <c r="M26" s="14"/>
    </row>
    <row r="27" spans="2:13" ht="12.75">
      <c r="B27" s="13"/>
      <c r="C27" s="1"/>
      <c r="D27" s="1"/>
      <c r="E27" s="1"/>
      <c r="F27" s="1"/>
      <c r="G27" s="1"/>
      <c r="H27" s="1"/>
      <c r="I27" s="1"/>
      <c r="J27" s="1"/>
      <c r="K27" s="1"/>
      <c r="L27" s="1"/>
      <c r="M27" s="14"/>
    </row>
    <row r="28" spans="2:13" ht="12.75">
      <c r="B28" s="13"/>
      <c r="C28" s="1"/>
      <c r="D28" s="2" t="s">
        <v>186</v>
      </c>
      <c r="E28" s="95"/>
      <c r="F28" s="43">
        <f>F16+F25</f>
        <v>88888</v>
      </c>
      <c r="G28" s="1"/>
      <c r="H28" s="43">
        <f>H16+H25</f>
        <v>78888</v>
      </c>
      <c r="I28" s="43">
        <f>I16+I25</f>
        <v>68888</v>
      </c>
      <c r="J28" s="43">
        <f>J16+J25</f>
        <v>58888</v>
      </c>
      <c r="K28" s="43">
        <f>K16+K25</f>
        <v>48888</v>
      </c>
      <c r="L28" s="163"/>
      <c r="M28" s="14"/>
    </row>
    <row r="29" spans="2:13" ht="12.75">
      <c r="B29" s="13"/>
      <c r="C29" s="1"/>
      <c r="D29" s="1"/>
      <c r="E29" s="95"/>
      <c r="F29" s="95"/>
      <c r="G29" s="95"/>
      <c r="H29" s="25"/>
      <c r="I29" s="25"/>
      <c r="J29" s="25"/>
      <c r="K29" s="25"/>
      <c r="L29" s="25"/>
      <c r="M29" s="14"/>
    </row>
    <row r="30" spans="2:13" ht="12.75">
      <c r="B30" s="13"/>
      <c r="E30" s="67"/>
      <c r="F30" s="67"/>
      <c r="G30" s="67"/>
      <c r="M30" s="14"/>
    </row>
    <row r="31" spans="2:13" ht="12.75">
      <c r="B31" s="13"/>
      <c r="C31" s="1"/>
      <c r="D31" s="1"/>
      <c r="E31" s="95"/>
      <c r="F31" s="95"/>
      <c r="G31" s="95"/>
      <c r="H31" s="95"/>
      <c r="I31" s="95"/>
      <c r="J31" s="95"/>
      <c r="K31" s="95"/>
      <c r="L31" s="95"/>
      <c r="M31" s="14"/>
    </row>
    <row r="32" spans="2:13" ht="12.75">
      <c r="B32" s="13"/>
      <c r="C32" s="1"/>
      <c r="D32" s="3" t="s">
        <v>187</v>
      </c>
      <c r="E32" s="1"/>
      <c r="F32" s="95"/>
      <c r="G32" s="95"/>
      <c r="H32" s="25"/>
      <c r="I32" s="25"/>
      <c r="J32" s="25"/>
      <c r="K32" s="25"/>
      <c r="L32" s="25"/>
      <c r="M32" s="14"/>
    </row>
    <row r="33" spans="2:13" ht="12.75">
      <c r="B33" s="13"/>
      <c r="C33" s="159"/>
      <c r="D33" s="1"/>
      <c r="E33" s="95"/>
      <c r="F33" s="95"/>
      <c r="G33" s="95"/>
      <c r="H33" s="25"/>
      <c r="I33" s="25"/>
      <c r="J33" s="25"/>
      <c r="K33" s="25"/>
      <c r="L33" s="25"/>
      <c r="M33" s="14"/>
    </row>
    <row r="34" spans="2:13" ht="12.75">
      <c r="B34" s="13"/>
      <c r="C34" s="1"/>
      <c r="D34" s="3" t="s">
        <v>324</v>
      </c>
      <c r="E34" s="1"/>
      <c r="F34" s="1"/>
      <c r="G34" s="1"/>
      <c r="H34" s="1"/>
      <c r="I34" s="1"/>
      <c r="J34" s="1"/>
      <c r="K34" s="1"/>
      <c r="L34" s="163"/>
      <c r="M34" s="14"/>
    </row>
    <row r="35" spans="2:13" ht="12.75">
      <c r="B35" s="13"/>
      <c r="C35" s="1"/>
      <c r="D35" s="1" t="s">
        <v>188</v>
      </c>
      <c r="E35" s="1"/>
      <c r="F35" s="204">
        <f>F28-(F36+F37+F38+F46+F51+F59)</f>
        <v>-1112</v>
      </c>
      <c r="G35" s="443"/>
      <c r="H35" s="204">
        <f>F39+begr!G49-SUM(H36:H38)</f>
        <v>-1112</v>
      </c>
      <c r="I35" s="204">
        <f>H39+begr!H49-SUM(I36:I38)</f>
        <v>-1112</v>
      </c>
      <c r="J35" s="204">
        <f>I39+begr!I49-SUM(J36:J38)</f>
        <v>-1112</v>
      </c>
      <c r="K35" s="204">
        <f>J39+begr!J49-SUM(K36:K38)</f>
        <v>-1112</v>
      </c>
      <c r="L35" s="163"/>
      <c r="M35" s="14"/>
    </row>
    <row r="36" spans="2:13" ht="12.75">
      <c r="B36" s="13"/>
      <c r="C36" s="1"/>
      <c r="D36" s="136" t="s">
        <v>189</v>
      </c>
      <c r="E36" s="1"/>
      <c r="F36" s="139">
        <v>0</v>
      </c>
      <c r="G36" s="443"/>
      <c r="H36" s="465">
        <f>F36</f>
        <v>0</v>
      </c>
      <c r="I36" s="465">
        <f aca="true" t="shared" si="3" ref="I36:K38">H36</f>
        <v>0</v>
      </c>
      <c r="J36" s="465">
        <f t="shared" si="3"/>
        <v>0</v>
      </c>
      <c r="K36" s="465">
        <f t="shared" si="3"/>
        <v>0</v>
      </c>
      <c r="L36" s="163"/>
      <c r="M36" s="14"/>
    </row>
    <row r="37" spans="2:13" ht="12.75">
      <c r="B37" s="13"/>
      <c r="C37" s="1"/>
      <c r="D37" s="136" t="s">
        <v>190</v>
      </c>
      <c r="E37" s="1"/>
      <c r="F37" s="139">
        <v>0</v>
      </c>
      <c r="G37" s="443"/>
      <c r="H37" s="465">
        <f>F37</f>
        <v>0</v>
      </c>
      <c r="I37" s="465">
        <f t="shared" si="3"/>
        <v>0</v>
      </c>
      <c r="J37" s="465">
        <f t="shared" si="3"/>
        <v>0</v>
      </c>
      <c r="K37" s="465">
        <f t="shared" si="3"/>
        <v>0</v>
      </c>
      <c r="L37" s="163"/>
      <c r="M37" s="14"/>
    </row>
    <row r="38" spans="2:13" ht="12.75">
      <c r="B38" s="13"/>
      <c r="C38" s="1"/>
      <c r="D38" s="136" t="s">
        <v>191</v>
      </c>
      <c r="E38" s="1"/>
      <c r="F38" s="139">
        <v>0</v>
      </c>
      <c r="G38" s="443"/>
      <c r="H38" s="465">
        <f>F38</f>
        <v>0</v>
      </c>
      <c r="I38" s="465">
        <f t="shared" si="3"/>
        <v>0</v>
      </c>
      <c r="J38" s="465">
        <f t="shared" si="3"/>
        <v>0</v>
      </c>
      <c r="K38" s="465">
        <f t="shared" si="3"/>
        <v>0</v>
      </c>
      <c r="L38" s="163"/>
      <c r="M38" s="14"/>
    </row>
    <row r="39" spans="2:13" ht="12.75">
      <c r="B39" s="13"/>
      <c r="C39" s="1"/>
      <c r="D39" s="94"/>
      <c r="E39" s="1"/>
      <c r="F39" s="205">
        <f>SUM(F35:F38)</f>
        <v>-1112</v>
      </c>
      <c r="G39" s="443"/>
      <c r="H39" s="205">
        <f>SUM(H35:H38)</f>
        <v>-1112</v>
      </c>
      <c r="I39" s="205">
        <f>SUM(I35:I38)</f>
        <v>-1112</v>
      </c>
      <c r="J39" s="205">
        <f>SUM(J35:J38)</f>
        <v>-1112</v>
      </c>
      <c r="K39" s="205">
        <f>SUM(K35:K38)</f>
        <v>-1112</v>
      </c>
      <c r="L39" s="163"/>
      <c r="M39" s="14"/>
    </row>
    <row r="40" spans="2:13" ht="12.75">
      <c r="B40" s="13"/>
      <c r="C40" s="1"/>
      <c r="D40" s="3"/>
      <c r="E40" s="1"/>
      <c r="F40" s="212"/>
      <c r="G40" s="443"/>
      <c r="H40" s="212"/>
      <c r="I40" s="212"/>
      <c r="J40" s="212"/>
      <c r="K40" s="212"/>
      <c r="L40" s="163"/>
      <c r="M40" s="14"/>
    </row>
    <row r="41" spans="2:13" ht="12.75">
      <c r="B41" s="13"/>
      <c r="C41" s="1"/>
      <c r="D41" s="3" t="s">
        <v>325</v>
      </c>
      <c r="E41" s="1"/>
      <c r="F41" s="91"/>
      <c r="G41" s="443"/>
      <c r="H41" s="91"/>
      <c r="I41" s="91"/>
      <c r="J41" s="91"/>
      <c r="K41" s="91"/>
      <c r="L41" s="163"/>
      <c r="M41" s="14"/>
    </row>
    <row r="42" spans="2:13" ht="12.75">
      <c r="B42" s="13"/>
      <c r="C42" s="1"/>
      <c r="D42" s="1" t="s">
        <v>192</v>
      </c>
      <c r="E42" s="1"/>
      <c r="F42" s="204">
        <f>mop!F19</f>
        <v>90000</v>
      </c>
      <c r="G42" s="443"/>
      <c r="H42" s="204">
        <f>mop!G19</f>
        <v>80000</v>
      </c>
      <c r="I42" s="204">
        <f>mop!H19</f>
        <v>70000</v>
      </c>
      <c r="J42" s="204">
        <f>mop!I19</f>
        <v>60000</v>
      </c>
      <c r="K42" s="204">
        <f>mop!J19</f>
        <v>50000</v>
      </c>
      <c r="L42" s="163"/>
      <c r="M42" s="14"/>
    </row>
    <row r="43" spans="2:13" ht="12.75">
      <c r="B43" s="13"/>
      <c r="C43" s="1"/>
      <c r="D43" s="136"/>
      <c r="E43" s="1"/>
      <c r="F43" s="139">
        <v>0</v>
      </c>
      <c r="G43" s="443"/>
      <c r="H43" s="465">
        <f>F43</f>
        <v>0</v>
      </c>
      <c r="I43" s="465">
        <f aca="true" t="shared" si="4" ref="I43:K45">H43</f>
        <v>0</v>
      </c>
      <c r="J43" s="465">
        <f t="shared" si="4"/>
        <v>0</v>
      </c>
      <c r="K43" s="465">
        <f t="shared" si="4"/>
        <v>0</v>
      </c>
      <c r="L43" s="163"/>
      <c r="M43" s="14"/>
    </row>
    <row r="44" spans="2:13" ht="12.75">
      <c r="B44" s="13"/>
      <c r="C44" s="1"/>
      <c r="D44" s="136"/>
      <c r="E44" s="1"/>
      <c r="F44" s="139">
        <v>0</v>
      </c>
      <c r="G44" s="443"/>
      <c r="H44" s="465">
        <f>F44</f>
        <v>0</v>
      </c>
      <c r="I44" s="465">
        <f t="shared" si="4"/>
        <v>0</v>
      </c>
      <c r="J44" s="465">
        <f t="shared" si="4"/>
        <v>0</v>
      </c>
      <c r="K44" s="465">
        <f t="shared" si="4"/>
        <v>0</v>
      </c>
      <c r="L44" s="163"/>
      <c r="M44" s="14"/>
    </row>
    <row r="45" spans="2:13" ht="12.75">
      <c r="B45" s="13"/>
      <c r="C45" s="1"/>
      <c r="D45" s="136"/>
      <c r="E45" s="1"/>
      <c r="F45" s="139">
        <v>0</v>
      </c>
      <c r="G45" s="443"/>
      <c r="H45" s="465">
        <f>F45</f>
        <v>0</v>
      </c>
      <c r="I45" s="465">
        <f t="shared" si="4"/>
        <v>0</v>
      </c>
      <c r="J45" s="465">
        <f t="shared" si="4"/>
        <v>0</v>
      </c>
      <c r="K45" s="465">
        <f t="shared" si="4"/>
        <v>0</v>
      </c>
      <c r="L45" s="163"/>
      <c r="M45" s="14"/>
    </row>
    <row r="46" spans="2:13" ht="12.75">
      <c r="B46" s="13"/>
      <c r="C46" s="1"/>
      <c r="D46" s="94"/>
      <c r="E46" s="1"/>
      <c r="F46" s="205">
        <f>SUM(F42:F45)</f>
        <v>90000</v>
      </c>
      <c r="G46" s="443"/>
      <c r="H46" s="205">
        <f>SUM(H42:H45)</f>
        <v>80000</v>
      </c>
      <c r="I46" s="205">
        <f>SUM(I42:I45)</f>
        <v>70000</v>
      </c>
      <c r="J46" s="205">
        <f>SUM(J42:J45)</f>
        <v>60000</v>
      </c>
      <c r="K46" s="205">
        <f>SUM(K42:K45)</f>
        <v>50000</v>
      </c>
      <c r="L46" s="163"/>
      <c r="M46" s="14"/>
    </row>
    <row r="47" spans="2:13" ht="12.75">
      <c r="B47" s="13"/>
      <c r="C47" s="1"/>
      <c r="D47" s="1"/>
      <c r="E47" s="1"/>
      <c r="F47" s="91"/>
      <c r="G47" s="443"/>
      <c r="H47" s="91"/>
      <c r="I47" s="91"/>
      <c r="J47" s="91"/>
      <c r="K47" s="91"/>
      <c r="L47" s="163"/>
      <c r="M47" s="14"/>
    </row>
    <row r="48" spans="2:13" ht="12.75">
      <c r="B48" s="13"/>
      <c r="C48" s="1"/>
      <c r="D48" s="3" t="s">
        <v>326</v>
      </c>
      <c r="E48" s="1"/>
      <c r="F48" s="91"/>
      <c r="G48" s="443"/>
      <c r="H48" s="91"/>
      <c r="I48" s="91"/>
      <c r="J48" s="466"/>
      <c r="K48" s="91"/>
      <c r="L48" s="163"/>
      <c r="M48" s="14"/>
    </row>
    <row r="49" spans="2:13" ht="12.75">
      <c r="B49" s="13"/>
      <c r="C49" s="1"/>
      <c r="D49" s="136"/>
      <c r="E49" s="1"/>
      <c r="F49" s="139">
        <v>0</v>
      </c>
      <c r="G49" s="443"/>
      <c r="H49" s="465">
        <f>F49</f>
        <v>0</v>
      </c>
      <c r="I49" s="465">
        <f aca="true" t="shared" si="5" ref="I49:K50">H49</f>
        <v>0</v>
      </c>
      <c r="J49" s="465">
        <f t="shared" si="5"/>
        <v>0</v>
      </c>
      <c r="K49" s="465">
        <f t="shared" si="5"/>
        <v>0</v>
      </c>
      <c r="L49" s="163"/>
      <c r="M49" s="14"/>
    </row>
    <row r="50" spans="2:13" ht="12.75">
      <c r="B50" s="13"/>
      <c r="C50" s="1"/>
      <c r="D50" s="136"/>
      <c r="E50" s="1"/>
      <c r="F50" s="139">
        <v>0</v>
      </c>
      <c r="G50" s="443"/>
      <c r="H50" s="465">
        <f>F50</f>
        <v>0</v>
      </c>
      <c r="I50" s="465">
        <f t="shared" si="5"/>
        <v>0</v>
      </c>
      <c r="J50" s="465">
        <f t="shared" si="5"/>
        <v>0</v>
      </c>
      <c r="K50" s="465">
        <f t="shared" si="5"/>
        <v>0</v>
      </c>
      <c r="L50" s="163"/>
      <c r="M50" s="14"/>
    </row>
    <row r="51" spans="2:13" ht="12.75">
      <c r="B51" s="13"/>
      <c r="C51" s="1"/>
      <c r="D51" s="94"/>
      <c r="E51" s="1"/>
      <c r="F51" s="204">
        <f>SUM(F49:F50)</f>
        <v>0</v>
      </c>
      <c r="G51" s="443"/>
      <c r="H51" s="204">
        <f>SUM(H49:H50)</f>
        <v>0</v>
      </c>
      <c r="I51" s="204">
        <f>SUM(I49:I50)</f>
        <v>0</v>
      </c>
      <c r="J51" s="204">
        <f>SUM(J49:J50)</f>
        <v>0</v>
      </c>
      <c r="K51" s="204">
        <f>SUM(K49:K50)</f>
        <v>0</v>
      </c>
      <c r="L51" s="163"/>
      <c r="M51" s="14"/>
    </row>
    <row r="52" spans="2:13" ht="12.75">
      <c r="B52" s="13"/>
      <c r="C52" s="1"/>
      <c r="D52" s="1"/>
      <c r="E52" s="1"/>
      <c r="F52" s="91"/>
      <c r="G52" s="443"/>
      <c r="H52" s="91"/>
      <c r="I52" s="91"/>
      <c r="J52" s="466"/>
      <c r="K52" s="91"/>
      <c r="L52" s="163"/>
      <c r="M52" s="14"/>
    </row>
    <row r="53" spans="2:13" ht="12.75">
      <c r="B53" s="13"/>
      <c r="C53" s="1"/>
      <c r="D53" s="3" t="s">
        <v>327</v>
      </c>
      <c r="E53" s="1"/>
      <c r="F53" s="1"/>
      <c r="G53" s="444"/>
      <c r="H53" s="1"/>
      <c r="I53" s="1"/>
      <c r="J53" s="1"/>
      <c r="K53" s="1"/>
      <c r="L53" s="163"/>
      <c r="M53" s="14"/>
    </row>
    <row r="54" spans="2:13" ht="12.75">
      <c r="B54" s="13"/>
      <c r="C54" s="1"/>
      <c r="D54" s="136"/>
      <c r="E54" s="1"/>
      <c r="F54" s="139">
        <v>0</v>
      </c>
      <c r="G54" s="443"/>
      <c r="H54" s="465">
        <f>F54</f>
        <v>0</v>
      </c>
      <c r="I54" s="465">
        <f aca="true" t="shared" si="6" ref="I54:K58">H54</f>
        <v>0</v>
      </c>
      <c r="J54" s="465">
        <f t="shared" si="6"/>
        <v>0</v>
      </c>
      <c r="K54" s="465">
        <f t="shared" si="6"/>
        <v>0</v>
      </c>
      <c r="L54" s="1"/>
      <c r="M54" s="14"/>
    </row>
    <row r="55" spans="2:13" ht="12.75">
      <c r="B55" s="13"/>
      <c r="C55" s="1"/>
      <c r="D55" s="136"/>
      <c r="E55" s="1"/>
      <c r="F55" s="139">
        <v>0</v>
      </c>
      <c r="G55" s="443"/>
      <c r="H55" s="465">
        <f>F55</f>
        <v>0</v>
      </c>
      <c r="I55" s="465">
        <f t="shared" si="6"/>
        <v>0</v>
      </c>
      <c r="J55" s="465">
        <f t="shared" si="6"/>
        <v>0</v>
      </c>
      <c r="K55" s="465">
        <f t="shared" si="6"/>
        <v>0</v>
      </c>
      <c r="L55" s="1"/>
      <c r="M55" s="14"/>
    </row>
    <row r="56" spans="2:13" ht="12.75">
      <c r="B56" s="13"/>
      <c r="C56" s="1"/>
      <c r="D56" s="136"/>
      <c r="E56" s="1"/>
      <c r="F56" s="139">
        <v>0</v>
      </c>
      <c r="G56" s="443"/>
      <c r="H56" s="465">
        <f>F56</f>
        <v>0</v>
      </c>
      <c r="I56" s="465">
        <f t="shared" si="6"/>
        <v>0</v>
      </c>
      <c r="J56" s="465">
        <f t="shared" si="6"/>
        <v>0</v>
      </c>
      <c r="K56" s="465">
        <f t="shared" si="6"/>
        <v>0</v>
      </c>
      <c r="L56" s="1"/>
      <c r="M56" s="14"/>
    </row>
    <row r="57" spans="2:13" ht="12.75">
      <c r="B57" s="13"/>
      <c r="C57" s="1"/>
      <c r="D57" s="136"/>
      <c r="E57" s="1"/>
      <c r="F57" s="139">
        <v>0</v>
      </c>
      <c r="G57" s="443"/>
      <c r="H57" s="465">
        <f>F57</f>
        <v>0</v>
      </c>
      <c r="I57" s="465">
        <f t="shared" si="6"/>
        <v>0</v>
      </c>
      <c r="J57" s="465">
        <f t="shared" si="6"/>
        <v>0</v>
      </c>
      <c r="K57" s="465">
        <f t="shared" si="6"/>
        <v>0</v>
      </c>
      <c r="L57" s="1"/>
      <c r="M57" s="14"/>
    </row>
    <row r="58" spans="2:13" ht="12.75">
      <c r="B58" s="13"/>
      <c r="C58" s="1"/>
      <c r="D58" s="136"/>
      <c r="E58" s="1"/>
      <c r="F58" s="139">
        <v>0</v>
      </c>
      <c r="G58" s="443"/>
      <c r="H58" s="465">
        <f>F58</f>
        <v>0</v>
      </c>
      <c r="I58" s="465">
        <f t="shared" si="6"/>
        <v>0</v>
      </c>
      <c r="J58" s="465">
        <f t="shared" si="6"/>
        <v>0</v>
      </c>
      <c r="K58" s="465">
        <f t="shared" si="6"/>
        <v>0</v>
      </c>
      <c r="L58" s="1"/>
      <c r="M58" s="14"/>
    </row>
    <row r="59" spans="2:13" ht="12.75">
      <c r="B59" s="13"/>
      <c r="C59" s="1"/>
      <c r="D59" s="94"/>
      <c r="E59" s="1"/>
      <c r="F59" s="205">
        <f>SUM(F54:F58)</f>
        <v>0</v>
      </c>
      <c r="G59" s="443"/>
      <c r="H59" s="205">
        <f>SUM(H54:H58)</f>
        <v>0</v>
      </c>
      <c r="I59" s="205">
        <f>SUM(I54:I58)</f>
        <v>0</v>
      </c>
      <c r="J59" s="205">
        <f>SUM(J54:J58)</f>
        <v>0</v>
      </c>
      <c r="K59" s="205">
        <f>SUM(K54:K58)</f>
        <v>0</v>
      </c>
      <c r="L59" s="1"/>
      <c r="M59" s="14"/>
    </row>
    <row r="60" spans="2:13" ht="12.75">
      <c r="B60" s="13"/>
      <c r="C60" s="1"/>
      <c r="D60" s="2"/>
      <c r="E60" s="1"/>
      <c r="F60" s="1"/>
      <c r="G60" s="1"/>
      <c r="H60" s="1"/>
      <c r="I60" s="1"/>
      <c r="J60" s="1"/>
      <c r="K60" s="1"/>
      <c r="L60" s="1"/>
      <c r="M60" s="14"/>
    </row>
    <row r="61" spans="2:13" ht="12.75">
      <c r="B61" s="13"/>
      <c r="C61" s="1"/>
      <c r="D61" s="2"/>
      <c r="E61" s="1"/>
      <c r="F61" s="1"/>
      <c r="G61" s="1"/>
      <c r="H61" s="1"/>
      <c r="I61" s="1"/>
      <c r="J61" s="1"/>
      <c r="K61" s="1"/>
      <c r="L61" s="1"/>
      <c r="M61" s="14"/>
    </row>
    <row r="62" spans="2:13" ht="12.75">
      <c r="B62" s="13"/>
      <c r="C62" s="1"/>
      <c r="D62" s="2" t="s">
        <v>193</v>
      </c>
      <c r="E62" s="1"/>
      <c r="F62" s="43">
        <f>F39+F46+F51+F59</f>
        <v>88888</v>
      </c>
      <c r="G62" s="1"/>
      <c r="H62" s="43">
        <f>H39+H46+H51+H59</f>
        <v>78888</v>
      </c>
      <c r="I62" s="43">
        <f>I39+I46+I51+I59</f>
        <v>68888</v>
      </c>
      <c r="J62" s="43">
        <f>J39+J46+J51+J59</f>
        <v>58888</v>
      </c>
      <c r="K62" s="43">
        <f>K39+K46+K51+K59</f>
        <v>48888</v>
      </c>
      <c r="L62" s="163"/>
      <c r="M62" s="14"/>
    </row>
    <row r="63" spans="2:13" ht="12.75">
      <c r="B63" s="13"/>
      <c r="C63" s="1"/>
      <c r="D63" s="2"/>
      <c r="E63" s="1"/>
      <c r="F63" s="163"/>
      <c r="G63" s="1"/>
      <c r="H63" s="163"/>
      <c r="I63" s="163"/>
      <c r="J63" s="163"/>
      <c r="K63" s="163"/>
      <c r="L63" s="163"/>
      <c r="M63" s="14"/>
    </row>
    <row r="64" spans="2:13" ht="12.75">
      <c r="B64" s="13"/>
      <c r="F64" s="134"/>
      <c r="G64" s="134"/>
      <c r="H64" s="134"/>
      <c r="I64" s="134"/>
      <c r="J64" s="134"/>
      <c r="K64" s="134"/>
      <c r="L64" s="134"/>
      <c r="M64" s="14"/>
    </row>
    <row r="65" spans="2:13" ht="13.5" thickBot="1">
      <c r="B65" s="48"/>
      <c r="C65" s="49"/>
      <c r="D65" s="72"/>
      <c r="E65" s="49"/>
      <c r="F65" s="49"/>
      <c r="G65" s="49"/>
      <c r="H65" s="332"/>
      <c r="I65" s="332"/>
      <c r="J65" s="332"/>
      <c r="K65" s="332"/>
      <c r="L65" s="332"/>
      <c r="M65" s="51"/>
    </row>
  </sheetData>
  <sheetProtection password="DE55" sheet="1" objects="1" scenarios="1"/>
  <printOptions/>
  <pageMargins left="0.75" right="0.75" top="1" bottom="1" header="0.5" footer="0.5"/>
  <pageSetup fitToHeight="1" fitToWidth="1" horizontalDpi="600" verticalDpi="600" orientation="portrait" paperSize="9" scale="59" r:id="rId2"/>
  <headerFooter alignWithMargins="0">
    <oddHeader>&amp;L&amp;"Arial,Vet"&amp;F&amp;R&amp;"Arial,Vet"&amp;A</oddHeader>
    <oddFooter>&amp;L&amp;"Arial,Vet"keizer / goedhart&amp;C&amp;"Arial,Vet"&amp;D&amp;R&amp;"Arial,Vet"pagina &amp;P</oddFooter>
  </headerFooter>
  <colBreaks count="1" manualBreakCount="1">
    <brk id="13" max="65535" man="1"/>
  </colBreaks>
  <drawing r:id="rId1"/>
</worksheet>
</file>

<file path=xl/worksheets/sheet15.xml><?xml version="1.0" encoding="utf-8"?>
<worksheet xmlns="http://schemas.openxmlformats.org/spreadsheetml/2006/main" xmlns:r="http://schemas.openxmlformats.org/officeDocument/2006/relationships">
  <dimension ref="B2:M101"/>
  <sheetViews>
    <sheetView zoomScale="85" zoomScaleNormal="85" workbookViewId="0" topLeftCell="A1">
      <pane ySplit="8" topLeftCell="BM9" activePane="bottomLeft" state="frozen"/>
      <selection pane="topLeft" activeCell="B2" sqref="B2"/>
      <selection pane="bottomLeft" activeCell="B2" sqref="B2"/>
    </sheetView>
  </sheetViews>
  <sheetFormatPr defaultColWidth="9.140625" defaultRowHeight="12.75"/>
  <cols>
    <col min="1" max="1" width="5.7109375" style="7" customWidth="1"/>
    <col min="2" max="3" width="2.7109375" style="7" customWidth="1"/>
    <col min="4" max="4" width="45.7109375" style="285" customWidth="1"/>
    <col min="5" max="5" width="2.7109375" style="7" customWidth="1"/>
    <col min="6" max="7" width="16.8515625" style="8" customWidth="1"/>
    <col min="8" max="9" width="16.8515625" style="180" customWidth="1"/>
    <col min="10" max="10" width="2.7109375" style="134" customWidth="1"/>
    <col min="11" max="11" width="15.8515625" style="180" customWidth="1"/>
    <col min="12" max="12" width="2.7109375" style="7" customWidth="1"/>
    <col min="13" max="13" width="2.57421875" style="7" customWidth="1"/>
    <col min="14" max="15" width="14.7109375" style="7" customWidth="1"/>
    <col min="16" max="16384" width="9.140625" style="7" customWidth="1"/>
  </cols>
  <sheetData>
    <row r="1" ht="12.75" customHeight="1" thickBot="1"/>
    <row r="2" spans="2:13" ht="12.75">
      <c r="B2" s="9"/>
      <c r="C2" s="10"/>
      <c r="D2" s="286"/>
      <c r="E2" s="10"/>
      <c r="F2" s="11"/>
      <c r="G2" s="11"/>
      <c r="H2" s="227"/>
      <c r="I2" s="227"/>
      <c r="J2" s="173"/>
      <c r="K2" s="227"/>
      <c r="L2" s="10"/>
      <c r="M2" s="12"/>
    </row>
    <row r="3" spans="2:13" ht="12.75">
      <c r="B3" s="13"/>
      <c r="M3" s="14"/>
    </row>
    <row r="4" spans="2:13" s="15" customFormat="1" ht="18">
      <c r="B4" s="221"/>
      <c r="C4" s="17" t="s">
        <v>343</v>
      </c>
      <c r="D4" s="287"/>
      <c r="F4" s="18"/>
      <c r="G4" s="18"/>
      <c r="H4" s="232"/>
      <c r="I4" s="232"/>
      <c r="J4" s="210"/>
      <c r="K4" s="232"/>
      <c r="M4" s="20"/>
    </row>
    <row r="5" spans="2:13" ht="12.75">
      <c r="B5" s="13"/>
      <c r="M5" s="14"/>
    </row>
    <row r="6" spans="2:13" ht="12.75">
      <c r="B6" s="13"/>
      <c r="F6" s="7"/>
      <c r="G6" s="7"/>
      <c r="H6" s="7"/>
      <c r="I6" s="7"/>
      <c r="J6" s="7"/>
      <c r="K6" s="7"/>
      <c r="M6" s="14"/>
    </row>
    <row r="7" spans="2:13" ht="12.75">
      <c r="B7" s="13"/>
      <c r="D7" s="128" t="s">
        <v>703</v>
      </c>
      <c r="F7" s="89">
        <f>tabel!D4</f>
        <v>2010</v>
      </c>
      <c r="G7" s="89">
        <f>tabel!E4</f>
        <v>2011</v>
      </c>
      <c r="H7" s="89">
        <f>tabel!F4</f>
        <v>2012</v>
      </c>
      <c r="I7" s="89">
        <f>tabel!G4</f>
        <v>2013</v>
      </c>
      <c r="K7" s="174" t="s">
        <v>344</v>
      </c>
      <c r="M7" s="14"/>
    </row>
    <row r="8" spans="2:13" ht="12.75">
      <c r="B8" s="13"/>
      <c r="F8" s="88"/>
      <c r="G8" s="88"/>
      <c r="H8" s="88"/>
      <c r="I8" s="88"/>
      <c r="K8" s="288"/>
      <c r="M8" s="14"/>
    </row>
    <row r="9" spans="2:13" ht="12.75">
      <c r="B9" s="197"/>
      <c r="C9" s="1"/>
      <c r="D9" s="1"/>
      <c r="E9" s="1"/>
      <c r="F9" s="1"/>
      <c r="G9" s="1"/>
      <c r="H9" s="1"/>
      <c r="I9" s="1"/>
      <c r="J9" s="1"/>
      <c r="K9" s="1"/>
      <c r="L9" s="1"/>
      <c r="M9" s="14"/>
    </row>
    <row r="10" spans="2:13" ht="12.75">
      <c r="B10" s="37"/>
      <c r="C10" s="1"/>
      <c r="D10" s="3" t="s">
        <v>345</v>
      </c>
      <c r="E10" s="1"/>
      <c r="F10" s="34">
        <f>begr!G18+begr!G41</f>
        <v>2652966.792345974</v>
      </c>
      <c r="G10" s="34">
        <f>begr!H18+begr!H41</f>
        <v>2659671.9357920005</v>
      </c>
      <c r="H10" s="34">
        <f>begr!I18+begr!I41</f>
        <v>2659671.9357920005</v>
      </c>
      <c r="I10" s="34">
        <f>begr!J18+begr!J41</f>
        <v>2659671.9357920005</v>
      </c>
      <c r="J10" s="1"/>
      <c r="K10" s="3"/>
      <c r="L10" s="1"/>
      <c r="M10" s="14"/>
    </row>
    <row r="11" spans="2:13" ht="12.75">
      <c r="B11" s="197"/>
      <c r="C11" s="94"/>
      <c r="D11" s="150" t="s">
        <v>346</v>
      </c>
      <c r="E11" s="94"/>
      <c r="F11" s="195">
        <f>F10/geg!$I$160</f>
        <v>20726.303065202923</v>
      </c>
      <c r="G11" s="195">
        <f>G10/geg!$L$160</f>
        <v>20778.686998375004</v>
      </c>
      <c r="H11" s="195">
        <f>H10/geg!$O$160</f>
        <v>20778.686998375004</v>
      </c>
      <c r="I11" s="195">
        <f>I10/geg!$R$160</f>
        <v>20778.686998375004</v>
      </c>
      <c r="J11" s="1"/>
      <c r="K11" s="176">
        <v>0</v>
      </c>
      <c r="L11" s="1"/>
      <c r="M11" s="14"/>
    </row>
    <row r="12" spans="2:13" ht="12.75">
      <c r="B12" s="197"/>
      <c r="C12" s="1"/>
      <c r="D12" s="3"/>
      <c r="E12" s="1"/>
      <c r="F12" s="158"/>
      <c r="G12" s="158"/>
      <c r="H12" s="158"/>
      <c r="I12" s="158"/>
      <c r="J12" s="1"/>
      <c r="K12" s="1"/>
      <c r="L12" s="1"/>
      <c r="M12" s="14"/>
    </row>
    <row r="13" spans="2:13" ht="12.75">
      <c r="B13" s="197"/>
      <c r="C13" s="1"/>
      <c r="D13" s="3" t="s">
        <v>613</v>
      </c>
      <c r="E13" s="1"/>
      <c r="F13" s="34">
        <f>pers!J221+persbel!K119+mat!K139</f>
        <v>0</v>
      </c>
      <c r="G13" s="34">
        <f>pers!K221+persbel!L119+mat!L139</f>
        <v>0</v>
      </c>
      <c r="H13" s="34">
        <f>pers!L221+persbel!M119+mat!M139</f>
        <v>0</v>
      </c>
      <c r="I13" s="34">
        <f>pers!M221+persbel!N119+mat!N139</f>
        <v>0</v>
      </c>
      <c r="J13" s="1"/>
      <c r="K13" s="3"/>
      <c r="L13" s="1"/>
      <c r="M13" s="14"/>
    </row>
    <row r="14" spans="2:13" ht="12.75">
      <c r="B14" s="197"/>
      <c r="C14" s="1"/>
      <c r="D14" s="150" t="s">
        <v>346</v>
      </c>
      <c r="E14" s="94"/>
      <c r="F14" s="195">
        <f>F13/geg!$I$160</f>
        <v>0</v>
      </c>
      <c r="G14" s="195">
        <f>G13/geg!$L$160</f>
        <v>0</v>
      </c>
      <c r="H14" s="195">
        <f>H13/geg!$O$160</f>
        <v>0</v>
      </c>
      <c r="I14" s="195">
        <f>I13/geg!$R$160</f>
        <v>0</v>
      </c>
      <c r="J14" s="1"/>
      <c r="K14" s="176">
        <v>0</v>
      </c>
      <c r="L14" s="1"/>
      <c r="M14" s="14"/>
    </row>
    <row r="15" spans="2:13" ht="12.75">
      <c r="B15" s="197"/>
      <c r="C15" s="1"/>
      <c r="D15" s="3"/>
      <c r="E15" s="1"/>
      <c r="F15" s="158"/>
      <c r="G15" s="158"/>
      <c r="H15" s="158"/>
      <c r="I15" s="158"/>
      <c r="J15" s="1"/>
      <c r="K15" s="1"/>
      <c r="L15" s="1"/>
      <c r="M15" s="14"/>
    </row>
    <row r="16" spans="2:13" ht="12.75">
      <c r="B16" s="197"/>
      <c r="C16" s="1"/>
      <c r="D16" s="3" t="s">
        <v>615</v>
      </c>
      <c r="E16" s="1"/>
      <c r="F16" s="34">
        <f>pers!J222+persbel!K120+mat!K140</f>
        <v>0</v>
      </c>
      <c r="G16" s="34">
        <f>pers!K222+persbel!L120+mat!L140</f>
        <v>0</v>
      </c>
      <c r="H16" s="34">
        <f>pers!L222+persbel!M120+mat!M140</f>
        <v>0</v>
      </c>
      <c r="I16" s="34">
        <f>pers!M222+persbel!N120+mat!N140</f>
        <v>0</v>
      </c>
      <c r="J16" s="1"/>
      <c r="K16" s="3"/>
      <c r="L16" s="1"/>
      <c r="M16" s="14"/>
    </row>
    <row r="17" spans="2:13" ht="12.75">
      <c r="B17" s="197"/>
      <c r="C17" s="1"/>
      <c r="D17" s="150" t="s">
        <v>346</v>
      </c>
      <c r="E17" s="94"/>
      <c r="F17" s="195">
        <f>F16/geg!$I$160</f>
        <v>0</v>
      </c>
      <c r="G17" s="195">
        <f>G16/geg!$L$160</f>
        <v>0</v>
      </c>
      <c r="H17" s="195">
        <f>H16/geg!$O$160</f>
        <v>0</v>
      </c>
      <c r="I17" s="195">
        <f>I16/geg!$R$160</f>
        <v>0</v>
      </c>
      <c r="J17" s="1"/>
      <c r="K17" s="176">
        <v>0</v>
      </c>
      <c r="L17" s="1"/>
      <c r="M17" s="14"/>
    </row>
    <row r="18" spans="2:13" ht="12.75">
      <c r="B18" s="197"/>
      <c r="C18" s="1"/>
      <c r="D18" s="3"/>
      <c r="E18" s="1"/>
      <c r="F18" s="158"/>
      <c r="G18" s="158"/>
      <c r="H18" s="158"/>
      <c r="I18" s="158"/>
      <c r="J18" s="1"/>
      <c r="K18" s="1"/>
      <c r="L18" s="1"/>
      <c r="M18" s="14"/>
    </row>
    <row r="19" spans="2:13" ht="12.75">
      <c r="B19" s="37"/>
      <c r="C19" s="1"/>
      <c r="D19" s="3" t="s">
        <v>347</v>
      </c>
      <c r="E19" s="1"/>
      <c r="F19" s="34">
        <f>begr!G30+begr!G42</f>
        <v>2011451.7216000003</v>
      </c>
      <c r="G19" s="34">
        <f>begr!H30+begr!H42</f>
        <v>2011451.7216000003</v>
      </c>
      <c r="H19" s="34">
        <f>begr!I30+begr!I42</f>
        <v>2011451.7216000003</v>
      </c>
      <c r="I19" s="34">
        <f>begr!J30+begr!J42</f>
        <v>2011451.7216000003</v>
      </c>
      <c r="J19" s="1"/>
      <c r="K19" s="3"/>
      <c r="L19" s="1"/>
      <c r="M19" s="14"/>
    </row>
    <row r="20" spans="2:13" ht="12.75">
      <c r="B20" s="197"/>
      <c r="C20" s="94"/>
      <c r="D20" s="150" t="s">
        <v>346</v>
      </c>
      <c r="E20" s="94"/>
      <c r="F20" s="195">
        <f>F19/geg!$I$160</f>
        <v>15714.466575000002</v>
      </c>
      <c r="G20" s="195">
        <f>G19/geg!$L$160</f>
        <v>15714.466575000002</v>
      </c>
      <c r="H20" s="195">
        <f>H19/geg!$O$160</f>
        <v>15714.466575000002</v>
      </c>
      <c r="I20" s="195">
        <f>I19/geg!$R$160</f>
        <v>15714.466575000002</v>
      </c>
      <c r="J20" s="1"/>
      <c r="K20" s="176">
        <v>0</v>
      </c>
      <c r="L20" s="1"/>
      <c r="M20" s="14"/>
    </row>
    <row r="21" spans="2:13" ht="12.75">
      <c r="B21" s="197"/>
      <c r="C21" s="1"/>
      <c r="D21" s="1"/>
      <c r="E21" s="1"/>
      <c r="F21" s="1"/>
      <c r="G21" s="1"/>
      <c r="H21" s="1"/>
      <c r="I21" s="1"/>
      <c r="J21" s="1"/>
      <c r="K21" s="1"/>
      <c r="L21" s="1"/>
      <c r="M21" s="14"/>
    </row>
    <row r="22" spans="2:13" ht="12.75">
      <c r="B22" s="197"/>
      <c r="C22" s="1"/>
      <c r="D22" s="3" t="s">
        <v>348</v>
      </c>
      <c r="E22" s="1"/>
      <c r="F22" s="1"/>
      <c r="G22" s="1"/>
      <c r="H22" s="1"/>
      <c r="I22" s="1"/>
      <c r="J22" s="1"/>
      <c r="K22" s="1"/>
      <c r="L22" s="1"/>
      <c r="M22" s="14"/>
    </row>
    <row r="23" spans="2:13" ht="12.75">
      <c r="B23" s="197"/>
      <c r="C23" s="1"/>
      <c r="D23" s="1" t="s">
        <v>349</v>
      </c>
      <c r="E23" s="1"/>
      <c r="F23" s="34">
        <f>7/12*SUM(fiebouw!$L$73:$L$84)+5/12*SUM(fiebouw!$T$73:$T$84)</f>
        <v>0</v>
      </c>
      <c r="G23" s="34">
        <f>7/12*SUM(fiebouw!$T$73:$T$84)+5/12*SUM(fiebouw!$AB$73:$AB$84)</f>
        <v>0</v>
      </c>
      <c r="H23" s="34">
        <f>7/12*SUM(fiebouw!$AB$73:$AB$84)+5/12*SUM(fiebouw!$AJ$73:$AJ$84)</f>
        <v>0</v>
      </c>
      <c r="I23" s="34">
        <f>7/12*SUM(fiebouw!$AJ$73:$AJ$84)+5/12*SUM(fiebouw!$AR$73:$AR$84)</f>
        <v>0</v>
      </c>
      <c r="J23" s="1"/>
      <c r="K23" s="1"/>
      <c r="L23" s="1"/>
      <c r="M23" s="14"/>
    </row>
    <row r="24" spans="2:13" ht="12.75">
      <c r="B24" s="197"/>
      <c r="C24" s="1"/>
      <c r="D24" s="1" t="s">
        <v>350</v>
      </c>
      <c r="E24" s="1"/>
      <c r="F24" s="34">
        <f>7/12*SUM(fiebouw!$L$85:$L$89)+5/12*SUM(fiebouw!$T$85:$T$89)</f>
        <v>1990340.7216000003</v>
      </c>
      <c r="G24" s="34">
        <f>7/12*SUM(fiebouw!$T$85:$T$89)+5/12*SUM(fiebouw!$AB$85:$AB$89)</f>
        <v>1990340.7216000003</v>
      </c>
      <c r="H24" s="34">
        <f>7/12*SUM(fiebouw!$AB$85:$AB$89)+5/12*SUM(fiebouw!$AJ$85:$AJ$89)</f>
        <v>1990340.7216000003</v>
      </c>
      <c r="I24" s="34">
        <f>7/12*SUM(fiebouw!$AJ$85:$AJ$89)+5/12*SUM(fiebouw!$AR$85:$AR$89)</f>
        <v>1990340.7216000003</v>
      </c>
      <c r="J24" s="1"/>
      <c r="K24" s="1"/>
      <c r="L24" s="1"/>
      <c r="M24" s="14"/>
    </row>
    <row r="25" spans="2:13" ht="12.75">
      <c r="B25" s="197"/>
      <c r="C25" s="1"/>
      <c r="D25" s="1" t="s">
        <v>351</v>
      </c>
      <c r="E25" s="1"/>
      <c r="F25" s="34">
        <f>7/12*SUM(fiebouw!$L$90:$L$106)+5/12*SUM(fiebouw!$T$90:$T$106)</f>
        <v>0</v>
      </c>
      <c r="G25" s="34">
        <f>7/12*SUM(fiebouw!$T$90:$T$106)+5/12*SUM(fiebouw!$AB$90:$AB$106)</f>
        <v>0</v>
      </c>
      <c r="H25" s="34">
        <f>7/12*SUM(fiebouw!$AB$90:$AB$106)+5/12*SUM(fiebouw!$AJ$90:$AJ$106)</f>
        <v>0</v>
      </c>
      <c r="I25" s="34">
        <f>7/12*SUM(fiebouw!$AJ$90:$AJ$106)+5/12*SUM(fiebouw!$AR$90:$AR$106)</f>
        <v>0</v>
      </c>
      <c r="J25" s="1"/>
      <c r="K25" s="1"/>
      <c r="L25" s="1"/>
      <c r="M25" s="14"/>
    </row>
    <row r="26" spans="2:13" ht="12.75">
      <c r="B26" s="37"/>
      <c r="C26" s="1"/>
      <c r="D26" s="2" t="s">
        <v>700</v>
      </c>
      <c r="E26" s="3"/>
      <c r="F26" s="177">
        <f>SUM(F23:F25)</f>
        <v>1990340.7216000003</v>
      </c>
      <c r="G26" s="177">
        <f>SUM(G23:G25)</f>
        <v>1990340.7216000003</v>
      </c>
      <c r="H26" s="177">
        <f>SUM(H23:H25)</f>
        <v>1990340.7216000003</v>
      </c>
      <c r="I26" s="177">
        <f>SUM(I23:I25)</f>
        <v>1990340.7216000003</v>
      </c>
      <c r="J26" s="1"/>
      <c r="K26" s="1"/>
      <c r="L26" s="1"/>
      <c r="M26" s="14"/>
    </row>
    <row r="27" spans="2:13" ht="12.75">
      <c r="B27" s="197"/>
      <c r="C27" s="94"/>
      <c r="D27" s="150" t="s">
        <v>346</v>
      </c>
      <c r="E27" s="94"/>
      <c r="F27" s="195">
        <f>F26/geg!$I$160</f>
        <v>15549.536887500002</v>
      </c>
      <c r="G27" s="195">
        <f>G26/geg!$L$160</f>
        <v>15549.536887500002</v>
      </c>
      <c r="H27" s="195">
        <f>H26/geg!$O$160</f>
        <v>15549.536887500002</v>
      </c>
      <c r="I27" s="195">
        <f>I26/geg!$R$160</f>
        <v>15549.536887500002</v>
      </c>
      <c r="J27" s="1"/>
      <c r="K27" s="176">
        <v>0</v>
      </c>
      <c r="L27" s="1"/>
      <c r="M27" s="14"/>
    </row>
    <row r="28" spans="2:13" ht="12.75">
      <c r="B28" s="197"/>
      <c r="C28" s="1"/>
      <c r="D28" s="1"/>
      <c r="E28" s="1"/>
      <c r="F28" s="158"/>
      <c r="G28" s="158"/>
      <c r="H28" s="158"/>
      <c r="I28" s="158"/>
      <c r="J28" s="1"/>
      <c r="K28" s="1"/>
      <c r="L28" s="1"/>
      <c r="M28" s="14"/>
    </row>
    <row r="29" spans="2:13" ht="12.75">
      <c r="B29" s="197"/>
      <c r="C29" s="1"/>
      <c r="D29" s="2" t="s">
        <v>335</v>
      </c>
      <c r="E29" s="1"/>
      <c r="F29" s="158"/>
      <c r="G29" s="158"/>
      <c r="H29" s="158"/>
      <c r="I29" s="158"/>
      <c r="J29" s="1"/>
      <c r="K29" s="1"/>
      <c r="L29" s="1"/>
      <c r="M29" s="14"/>
    </row>
    <row r="30" spans="2:13" ht="12.75">
      <c r="B30" s="197"/>
      <c r="C30" s="1"/>
      <c r="D30" s="91" t="s">
        <v>352</v>
      </c>
      <c r="E30" s="1"/>
      <c r="F30" s="175">
        <v>0</v>
      </c>
      <c r="G30" s="281">
        <f aca="true" t="shared" si="0" ref="G30:I32">F30</f>
        <v>0</v>
      </c>
      <c r="H30" s="281">
        <f t="shared" si="0"/>
        <v>0</v>
      </c>
      <c r="I30" s="281">
        <f t="shared" si="0"/>
        <v>0</v>
      </c>
      <c r="J30" s="1"/>
      <c r="K30" s="1"/>
      <c r="L30" s="1"/>
      <c r="M30" s="14"/>
    </row>
    <row r="31" spans="2:13" ht="12.75">
      <c r="B31" s="197"/>
      <c r="C31" s="1"/>
      <c r="D31" s="91" t="s">
        <v>138</v>
      </c>
      <c r="E31" s="1"/>
      <c r="F31" s="175">
        <v>0</v>
      </c>
      <c r="G31" s="281">
        <f t="shared" si="0"/>
        <v>0</v>
      </c>
      <c r="H31" s="281">
        <f t="shared" si="0"/>
        <v>0</v>
      </c>
      <c r="I31" s="281">
        <f t="shared" si="0"/>
        <v>0</v>
      </c>
      <c r="J31" s="1"/>
      <c r="K31" s="1"/>
      <c r="L31" s="1"/>
      <c r="M31" s="14"/>
    </row>
    <row r="32" spans="2:13" ht="12.75">
      <c r="B32" s="197"/>
      <c r="C32" s="1"/>
      <c r="D32" s="91" t="s">
        <v>355</v>
      </c>
      <c r="E32" s="1"/>
      <c r="F32" s="175">
        <v>0</v>
      </c>
      <c r="G32" s="281">
        <f t="shared" si="0"/>
        <v>0</v>
      </c>
      <c r="H32" s="281">
        <f t="shared" si="0"/>
        <v>0</v>
      </c>
      <c r="I32" s="281">
        <f t="shared" si="0"/>
        <v>0</v>
      </c>
      <c r="J32" s="1"/>
      <c r="K32" s="1"/>
      <c r="L32" s="1"/>
      <c r="M32" s="14"/>
    </row>
    <row r="33" spans="2:13" ht="12.75">
      <c r="B33" s="37"/>
      <c r="C33" s="1"/>
      <c r="D33" s="2" t="s">
        <v>700</v>
      </c>
      <c r="E33" s="3"/>
      <c r="F33" s="177">
        <f>SUM(F30:F32)</f>
        <v>0</v>
      </c>
      <c r="G33" s="177">
        <f>SUM(G30:G32)</f>
        <v>0</v>
      </c>
      <c r="H33" s="177">
        <f>SUM(H30:H32)</f>
        <v>0</v>
      </c>
      <c r="I33" s="177">
        <f>SUM(I30:I32)</f>
        <v>0</v>
      </c>
      <c r="J33" s="1"/>
      <c r="K33" s="1"/>
      <c r="L33" s="1"/>
      <c r="M33" s="14"/>
    </row>
    <row r="34" spans="2:13" ht="12.75">
      <c r="B34" s="197"/>
      <c r="C34" s="94"/>
      <c r="D34" s="150" t="s">
        <v>346</v>
      </c>
      <c r="E34" s="94"/>
      <c r="F34" s="195">
        <f>F33/geg!$I$160</f>
        <v>0</v>
      </c>
      <c r="G34" s="195">
        <f>G33/geg!$L$160</f>
        <v>0</v>
      </c>
      <c r="H34" s="195">
        <f>H33/geg!$O$160</f>
        <v>0</v>
      </c>
      <c r="I34" s="195">
        <f>I33/geg!$R$160</f>
        <v>0</v>
      </c>
      <c r="J34" s="1"/>
      <c r="K34" s="176">
        <v>0</v>
      </c>
      <c r="L34" s="1"/>
      <c r="M34" s="14"/>
    </row>
    <row r="35" spans="2:13" ht="12.75">
      <c r="B35" s="197"/>
      <c r="C35" s="1"/>
      <c r="D35" s="91"/>
      <c r="E35" s="1"/>
      <c r="F35" s="158"/>
      <c r="G35" s="158"/>
      <c r="H35" s="158"/>
      <c r="I35" s="158"/>
      <c r="J35" s="1"/>
      <c r="K35" s="1"/>
      <c r="L35" s="1"/>
      <c r="M35" s="14"/>
    </row>
    <row r="36" spans="2:13" ht="12.75">
      <c r="B36" s="197"/>
      <c r="C36" s="1"/>
      <c r="D36" s="2" t="s">
        <v>337</v>
      </c>
      <c r="E36" s="1"/>
      <c r="F36" s="158"/>
      <c r="G36" s="158"/>
      <c r="H36" s="158"/>
      <c r="I36" s="158"/>
      <c r="J36" s="1"/>
      <c r="K36" s="1"/>
      <c r="L36" s="1"/>
      <c r="M36" s="14"/>
    </row>
    <row r="37" spans="2:13" ht="12.75">
      <c r="B37" s="197"/>
      <c r="C37" s="1"/>
      <c r="D37" s="91" t="s">
        <v>338</v>
      </c>
      <c r="E37" s="1"/>
      <c r="F37" s="175">
        <v>0</v>
      </c>
      <c r="G37" s="281">
        <f aca="true" t="shared" si="1" ref="G37:I39">F37</f>
        <v>0</v>
      </c>
      <c r="H37" s="281">
        <f t="shared" si="1"/>
        <v>0</v>
      </c>
      <c r="I37" s="281">
        <f t="shared" si="1"/>
        <v>0</v>
      </c>
      <c r="J37" s="1"/>
      <c r="K37" s="1"/>
      <c r="L37" s="1"/>
      <c r="M37" s="14"/>
    </row>
    <row r="38" spans="2:13" ht="12.75">
      <c r="B38" s="197"/>
      <c r="C38" s="1"/>
      <c r="D38" s="91" t="s">
        <v>336</v>
      </c>
      <c r="E38" s="1"/>
      <c r="F38" s="175">
        <v>0</v>
      </c>
      <c r="G38" s="281">
        <f t="shared" si="1"/>
        <v>0</v>
      </c>
      <c r="H38" s="281">
        <f t="shared" si="1"/>
        <v>0</v>
      </c>
      <c r="I38" s="281">
        <f t="shared" si="1"/>
        <v>0</v>
      </c>
      <c r="J38" s="1"/>
      <c r="K38" s="1"/>
      <c r="L38" s="1"/>
      <c r="M38" s="14"/>
    </row>
    <row r="39" spans="2:13" ht="12.75">
      <c r="B39" s="197"/>
      <c r="C39" s="1"/>
      <c r="D39" s="91" t="s">
        <v>356</v>
      </c>
      <c r="E39" s="1"/>
      <c r="F39" s="175">
        <v>0</v>
      </c>
      <c r="G39" s="281">
        <f t="shared" si="1"/>
        <v>0</v>
      </c>
      <c r="H39" s="281">
        <f t="shared" si="1"/>
        <v>0</v>
      </c>
      <c r="I39" s="281">
        <f t="shared" si="1"/>
        <v>0</v>
      </c>
      <c r="J39" s="1"/>
      <c r="K39" s="1"/>
      <c r="L39" s="1"/>
      <c r="M39" s="14"/>
    </row>
    <row r="40" spans="2:13" ht="12.75">
      <c r="B40" s="37"/>
      <c r="C40" s="1"/>
      <c r="D40" s="2" t="s">
        <v>700</v>
      </c>
      <c r="E40" s="3"/>
      <c r="F40" s="177">
        <f>SUM(F37:F39)</f>
        <v>0</v>
      </c>
      <c r="G40" s="177">
        <f>SUM(G37:G39)</f>
        <v>0</v>
      </c>
      <c r="H40" s="177">
        <f>SUM(H37:H39)</f>
        <v>0</v>
      </c>
      <c r="I40" s="177">
        <f>SUM(I37:I39)</f>
        <v>0</v>
      </c>
      <c r="J40" s="1"/>
      <c r="K40" s="1"/>
      <c r="L40" s="1"/>
      <c r="M40" s="14"/>
    </row>
    <row r="41" spans="2:13" ht="12.75">
      <c r="B41" s="197"/>
      <c r="C41" s="1"/>
      <c r="D41" s="150" t="s">
        <v>346</v>
      </c>
      <c r="E41" s="159"/>
      <c r="F41" s="195">
        <f>F40/geg!$I$160</f>
        <v>0</v>
      </c>
      <c r="G41" s="195">
        <f>G40/geg!$L$160</f>
        <v>0</v>
      </c>
      <c r="H41" s="195">
        <f>H40/geg!$O$160</f>
        <v>0</v>
      </c>
      <c r="I41" s="195">
        <f>I40/geg!$R$160</f>
        <v>0</v>
      </c>
      <c r="J41" s="1"/>
      <c r="K41" s="176">
        <v>0</v>
      </c>
      <c r="L41" s="1"/>
      <c r="M41" s="14"/>
    </row>
    <row r="42" spans="2:13" ht="12.75">
      <c r="B42" s="197"/>
      <c r="C42" s="1"/>
      <c r="D42" s="91"/>
      <c r="E42" s="1"/>
      <c r="F42" s="158"/>
      <c r="G42" s="158"/>
      <c r="H42" s="158"/>
      <c r="I42" s="158"/>
      <c r="J42" s="1"/>
      <c r="K42" s="1"/>
      <c r="L42" s="1"/>
      <c r="M42" s="14"/>
    </row>
    <row r="43" spans="2:13" ht="12.75">
      <c r="B43" s="197"/>
      <c r="C43" s="1"/>
      <c r="D43" s="2" t="s">
        <v>697</v>
      </c>
      <c r="E43" s="1"/>
      <c r="F43" s="158"/>
      <c r="G43" s="158"/>
      <c r="H43" s="158"/>
      <c r="I43" s="158"/>
      <c r="J43" s="1"/>
      <c r="K43" s="1"/>
      <c r="L43" s="1"/>
      <c r="M43" s="14"/>
    </row>
    <row r="44" spans="2:13" ht="12.75">
      <c r="B44" s="197"/>
      <c r="C44" s="1"/>
      <c r="D44" s="91" t="s">
        <v>357</v>
      </c>
      <c r="E44" s="1"/>
      <c r="F44" s="34">
        <f>SUM(act!G34:G36)+SUM(act!G43:G45)</f>
        <v>11111</v>
      </c>
      <c r="G44" s="34">
        <f>SUM(act!H34:H36)+SUM(act!H43:H45)</f>
        <v>11111</v>
      </c>
      <c r="H44" s="34">
        <f>SUM(act!I34:I36)+SUM(act!I43:I45)</f>
        <v>11111</v>
      </c>
      <c r="I44" s="34">
        <f>SUM(act!J34:J36)+SUM(act!J43:J45)</f>
        <v>11111</v>
      </c>
      <c r="J44" s="1"/>
      <c r="K44" s="1"/>
      <c r="L44" s="1"/>
      <c r="M44" s="14"/>
    </row>
    <row r="45" spans="2:13" ht="12.75">
      <c r="B45" s="197"/>
      <c r="C45" s="1"/>
      <c r="D45" s="91" t="s">
        <v>358</v>
      </c>
      <c r="E45" s="1"/>
      <c r="F45" s="175">
        <v>0</v>
      </c>
      <c r="G45" s="281">
        <f>F45</f>
        <v>0</v>
      </c>
      <c r="H45" s="281">
        <f>G45</f>
        <v>0</v>
      </c>
      <c r="I45" s="281">
        <f>H45</f>
        <v>0</v>
      </c>
      <c r="J45" s="1"/>
      <c r="K45" s="1"/>
      <c r="L45" s="1"/>
      <c r="M45" s="14"/>
    </row>
    <row r="46" spans="2:13" ht="12.75">
      <c r="B46" s="37"/>
      <c r="C46" s="1"/>
      <c r="D46" s="2" t="s">
        <v>700</v>
      </c>
      <c r="E46" s="3"/>
      <c r="F46" s="177">
        <f>SUM(F44:F45)</f>
        <v>11111</v>
      </c>
      <c r="G46" s="177">
        <f>SUM(G44:G45)</f>
        <v>11111</v>
      </c>
      <c r="H46" s="177">
        <f>SUM(H44:H45)</f>
        <v>11111</v>
      </c>
      <c r="I46" s="177">
        <f>SUM(I44:I45)</f>
        <v>11111</v>
      </c>
      <c r="J46" s="1"/>
      <c r="K46" s="1"/>
      <c r="L46" s="1"/>
      <c r="M46" s="14"/>
    </row>
    <row r="47" spans="2:13" ht="12.75">
      <c r="B47" s="197"/>
      <c r="C47" s="1"/>
      <c r="D47" s="150" t="s">
        <v>346</v>
      </c>
      <c r="E47" s="159"/>
      <c r="F47" s="195">
        <f>F46/geg!$I$160</f>
        <v>86.8046875</v>
      </c>
      <c r="G47" s="195">
        <f>G46/geg!$L$160</f>
        <v>86.8046875</v>
      </c>
      <c r="H47" s="195">
        <f>H46/geg!$O$160</f>
        <v>86.8046875</v>
      </c>
      <c r="I47" s="195">
        <f>I46/geg!$R$160</f>
        <v>86.8046875</v>
      </c>
      <c r="J47" s="1"/>
      <c r="K47" s="176">
        <v>0</v>
      </c>
      <c r="L47" s="1"/>
      <c r="M47" s="14"/>
    </row>
    <row r="48" spans="2:13" ht="12.75">
      <c r="B48" s="197"/>
      <c r="C48" s="1"/>
      <c r="D48" s="91"/>
      <c r="E48" s="1"/>
      <c r="F48" s="158"/>
      <c r="G48" s="158"/>
      <c r="H48" s="158"/>
      <c r="I48" s="158"/>
      <c r="J48" s="1"/>
      <c r="K48" s="1"/>
      <c r="L48" s="1"/>
      <c r="M48" s="14"/>
    </row>
    <row r="49" spans="2:13" ht="12.75">
      <c r="B49" s="197"/>
      <c r="C49" s="1"/>
      <c r="D49" s="2" t="s">
        <v>340</v>
      </c>
      <c r="E49" s="1"/>
      <c r="F49" s="158"/>
      <c r="G49" s="158"/>
      <c r="H49" s="158"/>
      <c r="I49" s="158"/>
      <c r="J49" s="1"/>
      <c r="K49" s="1"/>
      <c r="L49" s="1"/>
      <c r="M49" s="14"/>
    </row>
    <row r="50" spans="2:13" ht="12.75">
      <c r="B50" s="197"/>
      <c r="C50" s="1"/>
      <c r="D50" s="91" t="s">
        <v>359</v>
      </c>
      <c r="E50" s="1"/>
      <c r="F50" s="34">
        <f>act!G37+act!G46</f>
        <v>0</v>
      </c>
      <c r="G50" s="34">
        <f>act!H37+act!H46</f>
        <v>0</v>
      </c>
      <c r="H50" s="34">
        <f>act!I37+act!I46</f>
        <v>0</v>
      </c>
      <c r="I50" s="34">
        <f>act!J37+act!J46</f>
        <v>0</v>
      </c>
      <c r="J50" s="1"/>
      <c r="K50" s="1"/>
      <c r="L50" s="1"/>
      <c r="M50" s="14"/>
    </row>
    <row r="51" spans="2:13" ht="12.75">
      <c r="B51" s="197"/>
      <c r="C51" s="1"/>
      <c r="D51" s="91" t="s">
        <v>360</v>
      </c>
      <c r="E51" s="1"/>
      <c r="F51" s="175">
        <v>0</v>
      </c>
      <c r="G51" s="281">
        <f>F51</f>
        <v>0</v>
      </c>
      <c r="H51" s="281">
        <f>G51</f>
        <v>0</v>
      </c>
      <c r="I51" s="281">
        <f>H51</f>
        <v>0</v>
      </c>
      <c r="J51" s="1"/>
      <c r="K51" s="1"/>
      <c r="L51" s="1"/>
      <c r="M51" s="14"/>
    </row>
    <row r="52" spans="2:13" ht="12.75">
      <c r="B52" s="37"/>
      <c r="C52" s="1"/>
      <c r="D52" s="2" t="s">
        <v>700</v>
      </c>
      <c r="E52" s="3"/>
      <c r="F52" s="177">
        <f>SUM(F50:F51)</f>
        <v>0</v>
      </c>
      <c r="G52" s="177">
        <f>SUM(G50:G51)</f>
        <v>0</v>
      </c>
      <c r="H52" s="177">
        <f>SUM(H50:H51)</f>
        <v>0</v>
      </c>
      <c r="I52" s="177">
        <f>SUM(I50:I51)</f>
        <v>0</v>
      </c>
      <c r="J52" s="1"/>
      <c r="K52" s="1"/>
      <c r="L52" s="1"/>
      <c r="M52" s="14"/>
    </row>
    <row r="53" spans="2:13" ht="12.75">
      <c r="B53" s="197"/>
      <c r="C53" s="1"/>
      <c r="D53" s="150" t="s">
        <v>346</v>
      </c>
      <c r="E53" s="159"/>
      <c r="F53" s="195">
        <f>F52/geg!$I$160</f>
        <v>0</v>
      </c>
      <c r="G53" s="195">
        <f>G52/geg!$L$160</f>
        <v>0</v>
      </c>
      <c r="H53" s="195">
        <f>H52/geg!$O$160</f>
        <v>0</v>
      </c>
      <c r="I53" s="195">
        <f>I52/geg!$R$160</f>
        <v>0</v>
      </c>
      <c r="J53" s="1"/>
      <c r="K53" s="176">
        <v>0</v>
      </c>
      <c r="L53" s="1"/>
      <c r="M53" s="14"/>
    </row>
    <row r="54" spans="2:13" ht="12.75">
      <c r="B54" s="197"/>
      <c r="C54" s="1"/>
      <c r="D54" s="91"/>
      <c r="E54" s="1"/>
      <c r="F54" s="158"/>
      <c r="G54" s="158"/>
      <c r="H54" s="158"/>
      <c r="I54" s="158"/>
      <c r="J54" s="1"/>
      <c r="K54" s="1"/>
      <c r="L54" s="1"/>
      <c r="M54" s="14"/>
    </row>
    <row r="55" spans="2:13" ht="12.75">
      <c r="B55" s="197"/>
      <c r="C55" s="1"/>
      <c r="D55" s="2" t="s">
        <v>361</v>
      </c>
      <c r="E55" s="1"/>
      <c r="F55" s="158"/>
      <c r="G55" s="158"/>
      <c r="H55" s="158"/>
      <c r="I55" s="158"/>
      <c r="J55" s="1"/>
      <c r="K55" s="1"/>
      <c r="L55" s="1"/>
      <c r="M55" s="14"/>
    </row>
    <row r="56" spans="2:13" ht="12.75">
      <c r="B56" s="197"/>
      <c r="C56" s="1"/>
      <c r="D56" s="91" t="s">
        <v>362</v>
      </c>
      <c r="E56" s="1"/>
      <c r="F56" s="175">
        <v>0</v>
      </c>
      <c r="G56" s="281">
        <f aca="true" t="shared" si="2" ref="G56:I57">F56</f>
        <v>0</v>
      </c>
      <c r="H56" s="281">
        <f t="shared" si="2"/>
        <v>0</v>
      </c>
      <c r="I56" s="281">
        <f t="shared" si="2"/>
        <v>0</v>
      </c>
      <c r="J56" s="1"/>
      <c r="K56" s="1"/>
      <c r="L56" s="1"/>
      <c r="M56" s="14"/>
    </row>
    <row r="57" spans="2:13" ht="12.75">
      <c r="B57" s="197"/>
      <c r="C57" s="1"/>
      <c r="D57" s="91" t="s">
        <v>136</v>
      </c>
      <c r="E57" s="1"/>
      <c r="F57" s="175">
        <v>0</v>
      </c>
      <c r="G57" s="281">
        <f t="shared" si="2"/>
        <v>0</v>
      </c>
      <c r="H57" s="281">
        <f t="shared" si="2"/>
        <v>0</v>
      </c>
      <c r="I57" s="281">
        <f t="shared" si="2"/>
        <v>0</v>
      </c>
      <c r="J57" s="1"/>
      <c r="K57" s="1"/>
      <c r="L57" s="1"/>
      <c r="M57" s="14"/>
    </row>
    <row r="58" spans="2:13" ht="12.75">
      <c r="B58" s="197"/>
      <c r="C58" s="1"/>
      <c r="D58" s="91" t="s">
        <v>363</v>
      </c>
      <c r="E58" s="1"/>
      <c r="F58" s="34">
        <f>act!G33+act!G42</f>
        <v>0</v>
      </c>
      <c r="G58" s="34">
        <f>act!H33+act!H42</f>
        <v>0</v>
      </c>
      <c r="H58" s="34">
        <f>act!I33+act!I42</f>
        <v>0</v>
      </c>
      <c r="I58" s="34">
        <f>act!J33+act!J42</f>
        <v>0</v>
      </c>
      <c r="J58" s="1"/>
      <c r="K58" s="1"/>
      <c r="L58" s="1"/>
      <c r="M58" s="14"/>
    </row>
    <row r="59" spans="2:13" ht="12.75">
      <c r="B59" s="197"/>
      <c r="C59" s="1"/>
      <c r="D59" s="91" t="s">
        <v>364</v>
      </c>
      <c r="E59" s="1"/>
      <c r="F59" s="34">
        <f>mop!G17</f>
        <v>10000</v>
      </c>
      <c r="G59" s="34">
        <f>mop!H17</f>
        <v>10000</v>
      </c>
      <c r="H59" s="34">
        <f>mop!I17</f>
        <v>10000</v>
      </c>
      <c r="I59" s="34">
        <f>mop!J17</f>
        <v>10000</v>
      </c>
      <c r="J59" s="1"/>
      <c r="K59" s="1"/>
      <c r="L59" s="1"/>
      <c r="M59" s="14"/>
    </row>
    <row r="60" spans="2:13" ht="12.75">
      <c r="B60" s="197"/>
      <c r="C60" s="1"/>
      <c r="D60" s="91" t="s">
        <v>365</v>
      </c>
      <c r="E60" s="1"/>
      <c r="F60" s="175">
        <v>0</v>
      </c>
      <c r="G60" s="281">
        <f aca="true" t="shared" si="3" ref="G60:I61">F60</f>
        <v>0</v>
      </c>
      <c r="H60" s="281">
        <f t="shared" si="3"/>
        <v>0</v>
      </c>
      <c r="I60" s="281">
        <f t="shared" si="3"/>
        <v>0</v>
      </c>
      <c r="J60" s="1"/>
      <c r="K60" s="1"/>
      <c r="L60" s="1"/>
      <c r="M60" s="14"/>
    </row>
    <row r="61" spans="2:13" ht="12.75">
      <c r="B61" s="197"/>
      <c r="C61" s="1"/>
      <c r="D61" s="91" t="s">
        <v>137</v>
      </c>
      <c r="E61" s="1"/>
      <c r="F61" s="175">
        <v>0</v>
      </c>
      <c r="G61" s="281">
        <f t="shared" si="3"/>
        <v>0</v>
      </c>
      <c r="H61" s="281">
        <f t="shared" si="3"/>
        <v>0</v>
      </c>
      <c r="I61" s="281">
        <f t="shared" si="3"/>
        <v>0</v>
      </c>
      <c r="J61" s="1"/>
      <c r="K61" s="1"/>
      <c r="L61" s="1"/>
      <c r="M61" s="14"/>
    </row>
    <row r="62" spans="2:13" ht="12.75">
      <c r="B62" s="37"/>
      <c r="C62" s="1"/>
      <c r="D62" s="2" t="s">
        <v>700</v>
      </c>
      <c r="E62" s="3"/>
      <c r="F62" s="177">
        <f>SUM(F56:F61)</f>
        <v>10000</v>
      </c>
      <c r="G62" s="177">
        <f>SUM(G56:G61)</f>
        <v>10000</v>
      </c>
      <c r="H62" s="177">
        <f>SUM(H56:H61)</f>
        <v>10000</v>
      </c>
      <c r="I62" s="177">
        <f>SUM(I56:I61)</f>
        <v>10000</v>
      </c>
      <c r="J62" s="1"/>
      <c r="K62" s="1"/>
      <c r="L62" s="1"/>
      <c r="M62" s="14"/>
    </row>
    <row r="63" spans="2:13" ht="12.75">
      <c r="B63" s="197"/>
      <c r="C63" s="1"/>
      <c r="D63" s="150" t="s">
        <v>346</v>
      </c>
      <c r="E63" s="159"/>
      <c r="F63" s="195">
        <f>F62/geg!$I$160</f>
        <v>78.125</v>
      </c>
      <c r="G63" s="195">
        <f>G62/geg!$L$160</f>
        <v>78.125</v>
      </c>
      <c r="H63" s="195">
        <f>H62/geg!$O$160</f>
        <v>78.125</v>
      </c>
      <c r="I63" s="195">
        <f>I62/geg!$R$160</f>
        <v>78.125</v>
      </c>
      <c r="J63" s="1"/>
      <c r="K63" s="176">
        <v>0</v>
      </c>
      <c r="L63" s="1"/>
      <c r="M63" s="14"/>
    </row>
    <row r="64" spans="2:13" ht="12.75">
      <c r="B64" s="197"/>
      <c r="C64" s="1"/>
      <c r="D64" s="91"/>
      <c r="E64" s="1"/>
      <c r="F64" s="158"/>
      <c r="G64" s="158"/>
      <c r="H64" s="158"/>
      <c r="I64" s="158"/>
      <c r="J64" s="1"/>
      <c r="K64" s="1"/>
      <c r="L64" s="1"/>
      <c r="M64" s="14"/>
    </row>
    <row r="65" spans="2:13" ht="12.75">
      <c r="B65" s="197"/>
      <c r="C65" s="1"/>
      <c r="D65" s="2" t="s">
        <v>366</v>
      </c>
      <c r="E65" s="1"/>
      <c r="F65" s="175">
        <v>0</v>
      </c>
      <c r="G65" s="281">
        <f>F65</f>
        <v>0</v>
      </c>
      <c r="H65" s="281">
        <f>G65</f>
        <v>0</v>
      </c>
      <c r="I65" s="281">
        <f>H65</f>
        <v>0</v>
      </c>
      <c r="J65" s="1"/>
      <c r="K65" s="3"/>
      <c r="L65" s="1"/>
      <c r="M65" s="14"/>
    </row>
    <row r="66" spans="2:13" ht="12.75">
      <c r="B66" s="197"/>
      <c r="C66" s="94"/>
      <c r="D66" s="150" t="s">
        <v>346</v>
      </c>
      <c r="E66" s="94"/>
      <c r="F66" s="195">
        <f>F65/geg!$I$160</f>
        <v>0</v>
      </c>
      <c r="G66" s="195">
        <f>G65/geg!$L$160</f>
        <v>0</v>
      </c>
      <c r="H66" s="195">
        <f>H65/geg!$O$160</f>
        <v>0</v>
      </c>
      <c r="I66" s="195">
        <f>I65/geg!$R$160</f>
        <v>0</v>
      </c>
      <c r="J66" s="1"/>
      <c r="K66" s="176">
        <v>0</v>
      </c>
      <c r="L66" s="1"/>
      <c r="M66" s="14"/>
    </row>
    <row r="67" spans="2:13" ht="12.75">
      <c r="B67" s="197"/>
      <c r="C67" s="1"/>
      <c r="D67" s="1"/>
      <c r="E67" s="1"/>
      <c r="F67" s="1"/>
      <c r="G67" s="1"/>
      <c r="H67" s="1"/>
      <c r="I67" s="1"/>
      <c r="J67" s="1"/>
      <c r="K67" s="1"/>
      <c r="L67" s="1"/>
      <c r="M67" s="14"/>
    </row>
    <row r="68" spans="2:13" ht="12.75">
      <c r="B68" s="197"/>
      <c r="C68" s="1"/>
      <c r="D68" s="2" t="s">
        <v>367</v>
      </c>
      <c r="E68" s="1"/>
      <c r="F68" s="1"/>
      <c r="G68" s="1"/>
      <c r="H68" s="1"/>
      <c r="I68" s="1"/>
      <c r="J68" s="1"/>
      <c r="K68" s="3"/>
      <c r="L68" s="1"/>
      <c r="M68" s="14"/>
    </row>
    <row r="69" spans="2:13" ht="12.75">
      <c r="B69" s="197"/>
      <c r="C69" s="1"/>
      <c r="D69" s="91" t="s">
        <v>368</v>
      </c>
      <c r="E69" s="1"/>
      <c r="F69" s="175">
        <v>0</v>
      </c>
      <c r="G69" s="281">
        <f aca="true" t="shared" si="4" ref="G69:I71">F69</f>
        <v>0</v>
      </c>
      <c r="H69" s="281">
        <f t="shared" si="4"/>
        <v>0</v>
      </c>
      <c r="I69" s="281">
        <f t="shared" si="4"/>
        <v>0</v>
      </c>
      <c r="J69" s="1"/>
      <c r="K69" s="3"/>
      <c r="L69" s="1"/>
      <c r="M69" s="14"/>
    </row>
    <row r="70" spans="2:13" ht="12.75">
      <c r="B70" s="197"/>
      <c r="C70" s="1"/>
      <c r="D70" s="91" t="s">
        <v>341</v>
      </c>
      <c r="E70" s="1"/>
      <c r="F70" s="175">
        <v>0</v>
      </c>
      <c r="G70" s="281">
        <f t="shared" si="4"/>
        <v>0</v>
      </c>
      <c r="H70" s="281">
        <f t="shared" si="4"/>
        <v>0</v>
      </c>
      <c r="I70" s="281">
        <f t="shared" si="4"/>
        <v>0</v>
      </c>
      <c r="J70" s="1"/>
      <c r="K70" s="3"/>
      <c r="L70" s="1"/>
      <c r="M70" s="14"/>
    </row>
    <row r="71" spans="2:13" ht="12.75">
      <c r="B71" s="197"/>
      <c r="C71" s="1"/>
      <c r="D71" s="91" t="s">
        <v>421</v>
      </c>
      <c r="E71" s="1"/>
      <c r="F71" s="175">
        <v>0</v>
      </c>
      <c r="G71" s="281">
        <f t="shared" si="4"/>
        <v>0</v>
      </c>
      <c r="H71" s="281">
        <f t="shared" si="4"/>
        <v>0</v>
      </c>
      <c r="I71" s="281">
        <f t="shared" si="4"/>
        <v>0</v>
      </c>
      <c r="J71" s="1"/>
      <c r="K71" s="3"/>
      <c r="L71" s="1"/>
      <c r="M71" s="14"/>
    </row>
    <row r="72" spans="2:13" ht="12.75">
      <c r="B72" s="197"/>
      <c r="C72" s="1"/>
      <c r="D72" s="91" t="s">
        <v>369</v>
      </c>
      <c r="E72" s="1"/>
      <c r="F72" s="175">
        <v>0</v>
      </c>
      <c r="G72" s="281">
        <f aca="true" t="shared" si="5" ref="G72:I73">F72</f>
        <v>0</v>
      </c>
      <c r="H72" s="281">
        <f t="shared" si="5"/>
        <v>0</v>
      </c>
      <c r="I72" s="281">
        <f t="shared" si="5"/>
        <v>0</v>
      </c>
      <c r="J72" s="1"/>
      <c r="K72" s="3"/>
      <c r="L72" s="1"/>
      <c r="M72" s="14"/>
    </row>
    <row r="73" spans="2:13" ht="12.75">
      <c r="B73" s="197"/>
      <c r="C73" s="1"/>
      <c r="D73" s="91" t="s">
        <v>339</v>
      </c>
      <c r="E73" s="1"/>
      <c r="F73" s="175">
        <v>0</v>
      </c>
      <c r="G73" s="281">
        <f t="shared" si="5"/>
        <v>0</v>
      </c>
      <c r="H73" s="281">
        <f t="shared" si="5"/>
        <v>0</v>
      </c>
      <c r="I73" s="281">
        <f t="shared" si="5"/>
        <v>0</v>
      </c>
      <c r="J73" s="1"/>
      <c r="K73" s="3"/>
      <c r="L73" s="1"/>
      <c r="M73" s="14"/>
    </row>
    <row r="74" spans="2:13" ht="12.75">
      <c r="B74" s="37"/>
      <c r="C74" s="1"/>
      <c r="D74" s="2" t="s">
        <v>700</v>
      </c>
      <c r="E74" s="3"/>
      <c r="F74" s="177">
        <f>SUM(F69:F73)</f>
        <v>0</v>
      </c>
      <c r="G74" s="177">
        <f>SUM(G69:G73)</f>
        <v>0</v>
      </c>
      <c r="H74" s="177">
        <f>SUM(H69:H73)</f>
        <v>0</v>
      </c>
      <c r="I74" s="177">
        <f>SUM(I69:I73)</f>
        <v>0</v>
      </c>
      <c r="J74" s="1"/>
      <c r="K74" s="3"/>
      <c r="L74" s="1"/>
      <c r="M74" s="14"/>
    </row>
    <row r="75" spans="2:13" ht="12.75">
      <c r="B75" s="197"/>
      <c r="C75" s="94"/>
      <c r="D75" s="150" t="s">
        <v>346</v>
      </c>
      <c r="E75" s="94"/>
      <c r="F75" s="195">
        <f>F74/geg!$I$160</f>
        <v>0</v>
      </c>
      <c r="G75" s="195">
        <f>G74/geg!$L$160</f>
        <v>0</v>
      </c>
      <c r="H75" s="195">
        <f>H74/geg!$O$160</f>
        <v>0</v>
      </c>
      <c r="I75" s="195">
        <f>I74/geg!$R$160</f>
        <v>0</v>
      </c>
      <c r="J75" s="1"/>
      <c r="K75" s="176">
        <v>0</v>
      </c>
      <c r="L75" s="1"/>
      <c r="M75" s="14"/>
    </row>
    <row r="76" spans="2:13" ht="12.75">
      <c r="B76" s="197"/>
      <c r="C76" s="1"/>
      <c r="D76" s="1"/>
      <c r="E76" s="1"/>
      <c r="F76" s="1"/>
      <c r="G76" s="1"/>
      <c r="H76" s="1"/>
      <c r="I76" s="1"/>
      <c r="J76" s="1"/>
      <c r="K76" s="1"/>
      <c r="L76" s="1"/>
      <c r="M76" s="14"/>
    </row>
    <row r="77" spans="2:13" ht="12.75">
      <c r="B77" s="197"/>
      <c r="C77" s="109"/>
      <c r="F77" s="7"/>
      <c r="G77" s="7"/>
      <c r="H77" s="7"/>
      <c r="I77" s="7"/>
      <c r="J77" s="7"/>
      <c r="K77" s="7"/>
      <c r="M77" s="14"/>
    </row>
    <row r="78" spans="2:13" ht="12.75">
      <c r="B78" s="197"/>
      <c r="C78" s="159"/>
      <c r="D78" s="289"/>
      <c r="E78" s="1"/>
      <c r="F78" s="1"/>
      <c r="G78" s="1"/>
      <c r="H78" s="1"/>
      <c r="I78" s="1"/>
      <c r="J78" s="1"/>
      <c r="K78" s="1"/>
      <c r="L78" s="1"/>
      <c r="M78" s="14"/>
    </row>
    <row r="79" spans="2:13" ht="12.75">
      <c r="B79" s="197"/>
      <c r="C79" s="159"/>
      <c r="D79" s="159" t="s">
        <v>453</v>
      </c>
      <c r="E79" s="1"/>
      <c r="F79" s="1"/>
      <c r="G79" s="1"/>
      <c r="H79" s="1"/>
      <c r="I79" s="1"/>
      <c r="J79" s="1"/>
      <c r="K79" s="1"/>
      <c r="L79" s="1"/>
      <c r="M79" s="14"/>
    </row>
    <row r="80" spans="2:13" ht="12.75">
      <c r="B80" s="197"/>
      <c r="C80" s="159"/>
      <c r="D80" s="289"/>
      <c r="E80" s="1"/>
      <c r="F80" s="1"/>
      <c r="G80" s="1"/>
      <c r="H80" s="1"/>
      <c r="I80" s="1"/>
      <c r="J80" s="1"/>
      <c r="K80" s="1"/>
      <c r="L80" s="1"/>
      <c r="M80" s="14"/>
    </row>
    <row r="81" spans="2:13" ht="12.75">
      <c r="B81" s="197"/>
      <c r="C81" s="1"/>
      <c r="D81" s="3" t="s">
        <v>420</v>
      </c>
      <c r="E81" s="1"/>
      <c r="F81" s="34">
        <f>pers!J226+mat!K82+mat!K83</f>
        <v>207278.04</v>
      </c>
      <c r="G81" s="34">
        <f>pers!K226+mat!L82+mat!L83</f>
        <v>207278.04</v>
      </c>
      <c r="H81" s="34">
        <f>pers!L226+mat!M82+mat!M83</f>
        <v>207278.04</v>
      </c>
      <c r="I81" s="34">
        <f>pers!M226+mat!N82+mat!N83</f>
        <v>207278.04</v>
      </c>
      <c r="J81" s="1"/>
      <c r="K81" s="1"/>
      <c r="L81" s="1"/>
      <c r="M81" s="14"/>
    </row>
    <row r="82" spans="2:13" ht="12.75">
      <c r="B82" s="197"/>
      <c r="C82" s="1"/>
      <c r="D82" s="150" t="s">
        <v>346</v>
      </c>
      <c r="E82" s="94"/>
      <c r="F82" s="195">
        <f>F81/geg!$I$160</f>
        <v>1619.3596875</v>
      </c>
      <c r="G82" s="195">
        <f>G81/geg!$L$160</f>
        <v>1619.3596875</v>
      </c>
      <c r="H82" s="195">
        <f>H81/geg!$O$160</f>
        <v>1619.3596875</v>
      </c>
      <c r="I82" s="195">
        <f>I81/geg!$R$160</f>
        <v>1619.3596875</v>
      </c>
      <c r="J82" s="1"/>
      <c r="K82" s="176">
        <v>0</v>
      </c>
      <c r="L82" s="1"/>
      <c r="M82" s="14"/>
    </row>
    <row r="83" spans="2:13" ht="12.75">
      <c r="B83" s="197"/>
      <c r="C83" s="1"/>
      <c r="D83" s="3"/>
      <c r="E83" s="1"/>
      <c r="F83" s="158"/>
      <c r="G83" s="158"/>
      <c r="H83" s="158"/>
      <c r="I83" s="158"/>
      <c r="J83" s="1"/>
      <c r="K83" s="1"/>
      <c r="L83" s="1"/>
      <c r="M83" s="14"/>
    </row>
    <row r="84" spans="2:13" ht="12.75">
      <c r="B84" s="197"/>
      <c r="C84" s="1"/>
      <c r="D84" s="3" t="s">
        <v>419</v>
      </c>
      <c r="E84" s="1"/>
      <c r="F84" s="34">
        <v>0</v>
      </c>
      <c r="G84" s="34">
        <v>0</v>
      </c>
      <c r="H84" s="34">
        <v>0</v>
      </c>
      <c r="I84" s="34">
        <v>0</v>
      </c>
      <c r="J84" s="1"/>
      <c r="K84" s="1"/>
      <c r="L84" s="1"/>
      <c r="M84" s="14"/>
    </row>
    <row r="85" spans="2:13" ht="12.75">
      <c r="B85" s="197"/>
      <c r="C85" s="1"/>
      <c r="D85" s="150" t="s">
        <v>346</v>
      </c>
      <c r="E85" s="94"/>
      <c r="F85" s="195">
        <f>F84/geg!$I$160</f>
        <v>0</v>
      </c>
      <c r="G85" s="195">
        <f>G84/geg!$L$160</f>
        <v>0</v>
      </c>
      <c r="H85" s="195">
        <f>H84/geg!$O$160</f>
        <v>0</v>
      </c>
      <c r="I85" s="195">
        <f>I84/geg!$R$160</f>
        <v>0</v>
      </c>
      <c r="J85" s="1"/>
      <c r="K85" s="176">
        <v>0</v>
      </c>
      <c r="L85" s="1"/>
      <c r="M85" s="14"/>
    </row>
    <row r="86" spans="2:13" ht="12.75">
      <c r="B86" s="197"/>
      <c r="C86" s="1"/>
      <c r="D86" s="3"/>
      <c r="E86" s="1"/>
      <c r="F86" s="158"/>
      <c r="G86" s="158"/>
      <c r="H86" s="158"/>
      <c r="I86" s="158"/>
      <c r="J86" s="1"/>
      <c r="K86" s="1"/>
      <c r="L86" s="1"/>
      <c r="M86" s="14"/>
    </row>
    <row r="87" spans="2:13" ht="12.75">
      <c r="B87" s="197"/>
      <c r="C87" s="159"/>
      <c r="D87" s="289"/>
      <c r="E87" s="1"/>
      <c r="F87" s="1"/>
      <c r="G87" s="1"/>
      <c r="H87" s="1"/>
      <c r="I87" s="1"/>
      <c r="J87" s="1"/>
      <c r="K87" s="1"/>
      <c r="L87" s="1"/>
      <c r="M87" s="14"/>
    </row>
    <row r="88" spans="2:13" ht="12.75">
      <c r="B88" s="197"/>
      <c r="C88" s="109"/>
      <c r="F88" s="7"/>
      <c r="G88" s="7"/>
      <c r="H88" s="7"/>
      <c r="I88" s="7"/>
      <c r="J88" s="7"/>
      <c r="K88" s="7"/>
      <c r="M88" s="14"/>
    </row>
    <row r="89" spans="2:13" ht="13.5" thickBot="1">
      <c r="B89" s="290"/>
      <c r="C89" s="49"/>
      <c r="D89" s="49"/>
      <c r="E89" s="49"/>
      <c r="F89" s="49"/>
      <c r="G89" s="49"/>
      <c r="H89" s="49"/>
      <c r="I89" s="49"/>
      <c r="J89" s="49"/>
      <c r="K89" s="49"/>
      <c r="L89" s="49"/>
      <c r="M89" s="51"/>
    </row>
    <row r="90" spans="6:9" ht="12.75">
      <c r="F90" s="7"/>
      <c r="G90" s="7"/>
      <c r="H90" s="7"/>
      <c r="I90" s="7"/>
    </row>
    <row r="91" spans="6:9" ht="12.75">
      <c r="F91" s="7"/>
      <c r="G91" s="7"/>
      <c r="H91" s="7"/>
      <c r="I91" s="7"/>
    </row>
    <row r="92" spans="6:9" ht="12.75">
      <c r="F92" s="7"/>
      <c r="G92" s="7"/>
      <c r="H92" s="7"/>
      <c r="I92" s="7"/>
    </row>
    <row r="93" spans="6:9" ht="12.75">
      <c r="F93" s="7"/>
      <c r="G93" s="7"/>
      <c r="H93" s="7"/>
      <c r="I93" s="7"/>
    </row>
    <row r="94" spans="6:9" ht="12.75">
      <c r="F94" s="7"/>
      <c r="G94" s="7"/>
      <c r="H94" s="7"/>
      <c r="I94" s="7"/>
    </row>
    <row r="95" spans="6:9" ht="12.75">
      <c r="F95" s="7"/>
      <c r="G95" s="7"/>
      <c r="H95" s="7"/>
      <c r="I95" s="7"/>
    </row>
    <row r="97" spans="6:9" ht="12.75">
      <c r="F97" s="7"/>
      <c r="G97" s="7"/>
      <c r="H97" s="7"/>
      <c r="I97" s="7"/>
    </row>
    <row r="98" spans="6:9" ht="12.75">
      <c r="F98" s="7"/>
      <c r="G98" s="7"/>
      <c r="H98" s="7"/>
      <c r="I98" s="7"/>
    </row>
    <row r="99" spans="6:9" ht="12.75">
      <c r="F99" s="7"/>
      <c r="G99" s="7"/>
      <c r="H99" s="7"/>
      <c r="I99" s="7"/>
    </row>
    <row r="100" spans="6:9" ht="12.75">
      <c r="F100" s="7"/>
      <c r="G100" s="7"/>
      <c r="H100" s="7"/>
      <c r="I100" s="7"/>
    </row>
    <row r="101" spans="6:9" ht="12.75">
      <c r="F101" s="7"/>
      <c r="G101" s="7"/>
      <c r="H101" s="7"/>
      <c r="I101" s="7"/>
    </row>
  </sheetData>
  <sheetProtection password="DE55" sheet="1" objects="1" scenarios="1"/>
  <printOptions/>
  <pageMargins left="0.75" right="0.75" top="1" bottom="1" header="0.5" footer="0.5"/>
  <pageSetup horizontalDpi="600" verticalDpi="600" orientation="portrait" paperSize="9" scale="58" r:id="rId4"/>
  <headerFooter alignWithMargins="0">
    <oddHeader>&amp;L&amp;"Arial,Vet"&amp;F&amp;R&amp;"Arial,Vet"&amp;A</oddHeader>
    <oddFooter>&amp;L&amp;"Arial,Vet"keizer / goedhart&amp;C&amp;"Arial,Vet"&amp;D&amp;R&amp;"Arial,Vet"pagina &amp;P</oddFooter>
  </headerFooter>
  <drawing r:id="rId3"/>
  <legacyDrawing r:id="rId2"/>
</worksheet>
</file>

<file path=xl/worksheets/sheet16.xml><?xml version="1.0" encoding="utf-8"?>
<worksheet xmlns="http://schemas.openxmlformats.org/spreadsheetml/2006/main" xmlns:r="http://schemas.openxmlformats.org/officeDocument/2006/relationships">
  <dimension ref="B2:M135"/>
  <sheetViews>
    <sheetView zoomScale="85" zoomScaleNormal="85" zoomScaleSheetLayoutView="85" workbookViewId="0" topLeftCell="A1">
      <selection activeCell="B2" sqref="B2"/>
    </sheetView>
  </sheetViews>
  <sheetFormatPr defaultColWidth="9.140625" defaultRowHeight="12.75"/>
  <cols>
    <col min="1" max="1" width="5.7109375" style="7" customWidth="1"/>
    <col min="2" max="3" width="2.7109375" style="7" customWidth="1"/>
    <col min="4" max="4" width="45.7109375" style="7" customWidth="1"/>
    <col min="5" max="5" width="2.7109375" style="7" customWidth="1"/>
    <col min="6" max="9" width="16.8515625" style="124" customWidth="1"/>
    <col min="10" max="10" width="2.7109375" style="7" customWidth="1"/>
    <col min="11" max="11" width="2.57421875" style="7" customWidth="1"/>
    <col min="12" max="12" width="2.7109375" style="7" customWidth="1"/>
    <col min="13" max="13" width="1.7109375" style="7" customWidth="1"/>
    <col min="14" max="15" width="12.28125" style="7" customWidth="1"/>
    <col min="16" max="24" width="11.7109375" style="7" customWidth="1"/>
    <col min="25" max="16384" width="9.140625" style="7" customWidth="1"/>
  </cols>
  <sheetData>
    <row r="1" ht="13.5" thickBot="1"/>
    <row r="2" spans="2:11" ht="12.75">
      <c r="B2" s="9"/>
      <c r="C2" s="10"/>
      <c r="D2" s="10"/>
      <c r="E2" s="10"/>
      <c r="F2" s="291"/>
      <c r="G2" s="291"/>
      <c r="H2" s="291"/>
      <c r="I2" s="291"/>
      <c r="J2" s="10"/>
      <c r="K2" s="12"/>
    </row>
    <row r="3" spans="2:11" ht="12.75">
      <c r="B3" s="13"/>
      <c r="K3" s="14"/>
    </row>
    <row r="4" spans="2:13" ht="18">
      <c r="B4" s="221"/>
      <c r="C4" s="17" t="s">
        <v>456</v>
      </c>
      <c r="K4" s="14"/>
      <c r="L4" s="17"/>
      <c r="M4" s="17"/>
    </row>
    <row r="5" spans="2:11" ht="12.75" customHeight="1">
      <c r="B5" s="13"/>
      <c r="D5" s="109"/>
      <c r="K5" s="14"/>
    </row>
    <row r="6" spans="2:11" ht="12.75" customHeight="1">
      <c r="B6" s="13"/>
      <c r="D6" s="109"/>
      <c r="F6" s="146"/>
      <c r="G6" s="146"/>
      <c r="H6" s="146"/>
      <c r="I6" s="146"/>
      <c r="K6" s="14"/>
    </row>
    <row r="7" spans="2:11" ht="12.75" customHeight="1">
      <c r="B7" s="13"/>
      <c r="D7" s="36" t="s">
        <v>125</v>
      </c>
      <c r="E7" s="255"/>
      <c r="F7" s="292"/>
      <c r="G7" s="292"/>
      <c r="H7" s="292"/>
      <c r="I7" s="292"/>
      <c r="K7" s="14"/>
    </row>
    <row r="8" spans="2:11" ht="12.75" customHeight="1">
      <c r="B8" s="13"/>
      <c r="E8" s="128"/>
      <c r="F8" s="88"/>
      <c r="G8" s="88"/>
      <c r="H8" s="292"/>
      <c r="I8" s="292"/>
      <c r="J8" s="292"/>
      <c r="K8" s="293"/>
    </row>
    <row r="9" spans="2:11" ht="12.75" customHeight="1">
      <c r="B9" s="13"/>
      <c r="D9" s="127" t="s">
        <v>373</v>
      </c>
      <c r="E9" s="128"/>
      <c r="F9" s="294"/>
      <c r="G9" s="294"/>
      <c r="H9" s="294"/>
      <c r="I9" s="294"/>
      <c r="J9" s="292"/>
      <c r="K9" s="293"/>
    </row>
    <row r="10" spans="2:11" ht="12.75" customHeight="1">
      <c r="B10" s="13"/>
      <c r="D10" s="295" t="s">
        <v>374</v>
      </c>
      <c r="E10" s="128"/>
      <c r="F10" s="294"/>
      <c r="G10" s="294"/>
      <c r="H10" s="294"/>
      <c r="I10" s="294"/>
      <c r="J10" s="292"/>
      <c r="K10" s="293"/>
    </row>
    <row r="11" spans="2:11" ht="12.75" customHeight="1">
      <c r="B11" s="13"/>
      <c r="D11" s="295" t="s">
        <v>375</v>
      </c>
      <c r="E11" s="128"/>
      <c r="F11" s="294"/>
      <c r="G11" s="294"/>
      <c r="H11" s="294"/>
      <c r="I11" s="294"/>
      <c r="J11" s="292"/>
      <c r="K11" s="293"/>
    </row>
    <row r="12" spans="2:11" ht="12.75" customHeight="1">
      <c r="B12" s="13"/>
      <c r="D12" s="295"/>
      <c r="F12" s="296"/>
      <c r="G12" s="296"/>
      <c r="H12" s="296"/>
      <c r="I12" s="296"/>
      <c r="J12" s="296"/>
      <c r="K12" s="297"/>
    </row>
    <row r="13" spans="2:11" ht="12.75" customHeight="1">
      <c r="B13" s="13"/>
      <c r="D13" s="127" t="s">
        <v>457</v>
      </c>
      <c r="F13" s="296"/>
      <c r="G13" s="296"/>
      <c r="H13" s="296"/>
      <c r="I13" s="296"/>
      <c r="J13" s="296"/>
      <c r="K13" s="297"/>
    </row>
    <row r="14" spans="2:11" s="36" customFormat="1" ht="12.75" customHeight="1">
      <c r="B14" s="37"/>
      <c r="D14" s="295" t="s">
        <v>376</v>
      </c>
      <c r="E14" s="104"/>
      <c r="F14" s="298"/>
      <c r="G14" s="298"/>
      <c r="H14" s="298"/>
      <c r="I14" s="298"/>
      <c r="J14" s="47"/>
      <c r="K14" s="211"/>
    </row>
    <row r="15" spans="2:11" ht="12.75" customHeight="1">
      <c r="B15" s="13"/>
      <c r="D15" s="295" t="s">
        <v>374</v>
      </c>
      <c r="E15" s="99"/>
      <c r="F15" s="299"/>
      <c r="G15" s="299"/>
      <c r="H15" s="299"/>
      <c r="I15" s="299"/>
      <c r="J15" s="8"/>
      <c r="K15" s="300"/>
    </row>
    <row r="16" spans="2:11" ht="12.75" customHeight="1">
      <c r="B16" s="13"/>
      <c r="D16" s="295" t="s">
        <v>377</v>
      </c>
      <c r="E16" s="301"/>
      <c r="F16" s="8"/>
      <c r="G16" s="296"/>
      <c r="H16" s="8"/>
      <c r="I16" s="8"/>
      <c r="J16" s="8"/>
      <c r="K16" s="300"/>
    </row>
    <row r="17" spans="2:11" ht="12.75" customHeight="1">
      <c r="B17" s="13"/>
      <c r="D17" s="295" t="s">
        <v>378</v>
      </c>
      <c r="E17" s="301"/>
      <c r="F17" s="8"/>
      <c r="G17" s="296"/>
      <c r="H17" s="8"/>
      <c r="I17" s="8"/>
      <c r="J17" s="8"/>
      <c r="K17" s="300"/>
    </row>
    <row r="18" spans="2:11" ht="12.75" customHeight="1">
      <c r="B18" s="13"/>
      <c r="D18" s="295" t="s">
        <v>379</v>
      </c>
      <c r="E18" s="301"/>
      <c r="F18" s="8"/>
      <c r="G18" s="296"/>
      <c r="H18" s="8"/>
      <c r="I18" s="8"/>
      <c r="J18" s="8"/>
      <c r="K18" s="300"/>
    </row>
    <row r="19" spans="2:11" ht="12.75" customHeight="1">
      <c r="B19" s="13"/>
      <c r="E19" s="301"/>
      <c r="F19" s="8"/>
      <c r="G19" s="296"/>
      <c r="H19" s="8"/>
      <c r="I19" s="8"/>
      <c r="J19" s="8"/>
      <c r="K19" s="300"/>
    </row>
    <row r="20" spans="2:11" ht="12.75" customHeight="1">
      <c r="B20" s="13"/>
      <c r="E20" s="301"/>
      <c r="F20" s="8"/>
      <c r="G20" s="296"/>
      <c r="H20" s="8"/>
      <c r="I20" s="8"/>
      <c r="J20" s="8"/>
      <c r="K20" s="300"/>
    </row>
    <row r="21" spans="2:11" ht="12.75" customHeight="1">
      <c r="B21" s="13"/>
      <c r="E21" s="301"/>
      <c r="F21" s="89">
        <f>tabel!D4</f>
        <v>2010</v>
      </c>
      <c r="G21" s="89">
        <f>tabel!E4</f>
        <v>2011</v>
      </c>
      <c r="H21" s="89">
        <f>tabel!F4</f>
        <v>2012</v>
      </c>
      <c r="I21" s="89">
        <f>tabel!G4</f>
        <v>2013</v>
      </c>
      <c r="J21" s="8"/>
      <c r="K21" s="300"/>
    </row>
    <row r="22" spans="2:11" ht="12.75" customHeight="1">
      <c r="B22" s="13"/>
      <c r="D22" s="99"/>
      <c r="E22" s="99"/>
      <c r="F22" s="302"/>
      <c r="G22" s="302"/>
      <c r="H22" s="302"/>
      <c r="I22" s="302"/>
      <c r="J22" s="8"/>
      <c r="K22" s="300"/>
    </row>
    <row r="23" spans="2:11" ht="12.75" customHeight="1">
      <c r="B23" s="13"/>
      <c r="C23" s="1"/>
      <c r="D23" s="91"/>
      <c r="E23" s="91"/>
      <c r="F23" s="303"/>
      <c r="G23" s="303"/>
      <c r="H23" s="303"/>
      <c r="I23" s="303"/>
      <c r="J23" s="25"/>
      <c r="K23" s="300"/>
    </row>
    <row r="24" spans="2:11" ht="12.75" customHeight="1">
      <c r="B24" s="13"/>
      <c r="C24" s="91"/>
      <c r="D24" s="91" t="s">
        <v>382</v>
      </c>
      <c r="E24" s="91"/>
      <c r="F24" s="304" t="str">
        <f>geg!I11</f>
        <v>(V)SO</v>
      </c>
      <c r="G24" s="305"/>
      <c r="H24" s="305"/>
      <c r="I24" s="305"/>
      <c r="J24" s="25"/>
      <c r="K24" s="300"/>
    </row>
    <row r="25" spans="2:11" ht="12.75" customHeight="1">
      <c r="B25" s="13"/>
      <c r="C25" s="91"/>
      <c r="D25" s="91" t="s">
        <v>123</v>
      </c>
      <c r="E25" s="91"/>
      <c r="F25" s="304" t="str">
        <f>geg!I12</f>
        <v>00AA</v>
      </c>
      <c r="G25" s="305"/>
      <c r="H25" s="305"/>
      <c r="I25" s="305"/>
      <c r="J25" s="25"/>
      <c r="K25" s="300"/>
    </row>
    <row r="26" spans="2:11" ht="12.75" customHeight="1">
      <c r="B26" s="13"/>
      <c r="C26" s="91"/>
      <c r="D26" s="91" t="s">
        <v>401</v>
      </c>
      <c r="E26" s="91"/>
      <c r="F26" s="306">
        <f ca="1">TODAY()</f>
        <v>40085</v>
      </c>
      <c r="G26" s="305"/>
      <c r="H26" s="305"/>
      <c r="I26" s="305"/>
      <c r="J26" s="25"/>
      <c r="K26" s="300"/>
    </row>
    <row r="27" spans="2:11" ht="12.75" customHeight="1">
      <c r="B27" s="13"/>
      <c r="C27" s="91"/>
      <c r="D27" s="91"/>
      <c r="E27" s="91"/>
      <c r="F27" s="304"/>
      <c r="G27" s="305"/>
      <c r="H27" s="305"/>
      <c r="I27" s="305"/>
      <c r="J27" s="25"/>
      <c r="K27" s="300"/>
    </row>
    <row r="28" spans="2:11" ht="12.75" customHeight="1">
      <c r="B28" s="13"/>
      <c r="C28" s="1"/>
      <c r="D28" s="1" t="s">
        <v>221</v>
      </c>
      <c r="E28" s="1"/>
      <c r="F28" s="307"/>
      <c r="G28" s="307"/>
      <c r="H28" s="307"/>
      <c r="I28" s="307"/>
      <c r="J28" s="25"/>
      <c r="K28" s="300"/>
    </row>
    <row r="29" spans="2:11" ht="12.75" customHeight="1">
      <c r="B29" s="13"/>
      <c r="C29" s="1"/>
      <c r="D29" s="1" t="s">
        <v>222</v>
      </c>
      <c r="E29" s="1"/>
      <c r="F29" s="307"/>
      <c r="G29" s="307"/>
      <c r="H29" s="307"/>
      <c r="I29" s="307"/>
      <c r="J29" s="25"/>
      <c r="K29" s="300"/>
    </row>
    <row r="30" spans="2:11" ht="12.75" customHeight="1">
      <c r="B30" s="13"/>
      <c r="C30" s="91"/>
      <c r="D30" s="91" t="s">
        <v>381</v>
      </c>
      <c r="E30" s="25"/>
      <c r="F30" s="305"/>
      <c r="G30" s="305"/>
      <c r="H30" s="305"/>
      <c r="I30" s="305"/>
      <c r="J30" s="25"/>
      <c r="K30" s="300"/>
    </row>
    <row r="31" spans="2:11" ht="12.75" customHeight="1">
      <c r="B31" s="13"/>
      <c r="C31" s="91"/>
      <c r="D31" s="91" t="s">
        <v>417</v>
      </c>
      <c r="E31" s="1"/>
      <c r="F31" s="307"/>
      <c r="G31" s="307"/>
      <c r="H31" s="307"/>
      <c r="I31" s="307"/>
      <c r="J31" s="25"/>
      <c r="K31" s="300"/>
    </row>
    <row r="32" spans="2:11" ht="12.75" customHeight="1">
      <c r="B32" s="13"/>
      <c r="C32" s="91"/>
      <c r="D32" s="91" t="s">
        <v>418</v>
      </c>
      <c r="E32" s="1"/>
      <c r="F32" s="307"/>
      <c r="G32" s="307"/>
      <c r="H32" s="307"/>
      <c r="I32" s="307"/>
      <c r="J32" s="25"/>
      <c r="K32" s="300"/>
    </row>
    <row r="33" spans="2:11" ht="12.75" customHeight="1">
      <c r="B33" s="13"/>
      <c r="C33" s="91"/>
      <c r="D33" s="91" t="s">
        <v>223</v>
      </c>
      <c r="E33" s="1"/>
      <c r="F33" s="307"/>
      <c r="G33" s="307"/>
      <c r="H33" s="307"/>
      <c r="I33" s="307"/>
      <c r="J33" s="25"/>
      <c r="K33" s="300"/>
    </row>
    <row r="34" spans="2:11" ht="12.75" customHeight="1">
      <c r="B34" s="13"/>
      <c r="C34" s="91"/>
      <c r="D34" s="91" t="s">
        <v>459</v>
      </c>
      <c r="E34" s="1"/>
      <c r="F34" s="307">
        <f>geg!L153</f>
        <v>35</v>
      </c>
      <c r="G34" s="307">
        <f>geg!O153</f>
        <v>35</v>
      </c>
      <c r="H34" s="307">
        <f>geg!R153</f>
        <v>35</v>
      </c>
      <c r="I34" s="307">
        <f>geg!U153</f>
        <v>35</v>
      </c>
      <c r="J34" s="25"/>
      <c r="K34" s="300"/>
    </row>
    <row r="35" spans="2:11" ht="12.75" customHeight="1">
      <c r="B35" s="13"/>
      <c r="C35" s="91"/>
      <c r="D35" s="91" t="s">
        <v>462</v>
      </c>
      <c r="E35" s="1"/>
      <c r="F35" s="307">
        <f>geg!L154</f>
        <v>93</v>
      </c>
      <c r="G35" s="307">
        <f>geg!O154</f>
        <v>93</v>
      </c>
      <c r="H35" s="307">
        <f>geg!R154</f>
        <v>93</v>
      </c>
      <c r="I35" s="307">
        <f>geg!U154</f>
        <v>93</v>
      </c>
      <c r="J35" s="25"/>
      <c r="K35" s="300"/>
    </row>
    <row r="36" spans="2:11" ht="12.75" customHeight="1">
      <c r="B36" s="13"/>
      <c r="C36" s="91"/>
      <c r="D36" s="91" t="s">
        <v>460</v>
      </c>
      <c r="E36" s="1"/>
      <c r="F36" s="307">
        <f>geg!L155</f>
        <v>128</v>
      </c>
      <c r="G36" s="307">
        <f>geg!O155</f>
        <v>128</v>
      </c>
      <c r="H36" s="307">
        <f>geg!R155</f>
        <v>128</v>
      </c>
      <c r="I36" s="307">
        <f>geg!U155</f>
        <v>128</v>
      </c>
      <c r="J36" s="25"/>
      <c r="K36" s="300"/>
    </row>
    <row r="37" spans="2:11" ht="12.75" customHeight="1">
      <c r="B37" s="13"/>
      <c r="C37" s="91"/>
      <c r="D37" s="91" t="s">
        <v>461</v>
      </c>
      <c r="E37" s="1"/>
      <c r="F37" s="307">
        <f>geg!L156</f>
        <v>0</v>
      </c>
      <c r="G37" s="307">
        <f>geg!O156</f>
        <v>0</v>
      </c>
      <c r="H37" s="307">
        <f>geg!R156</f>
        <v>0</v>
      </c>
      <c r="I37" s="307">
        <f>geg!U156</f>
        <v>0</v>
      </c>
      <c r="J37" s="25"/>
      <c r="K37" s="300"/>
    </row>
    <row r="38" spans="2:11" ht="12.75" customHeight="1">
      <c r="B38" s="13"/>
      <c r="C38" s="92"/>
      <c r="D38" s="92" t="s">
        <v>463</v>
      </c>
      <c r="E38" s="1"/>
      <c r="F38" s="307">
        <f>geg!L158</f>
        <v>99</v>
      </c>
      <c r="G38" s="307">
        <f>geg!L158</f>
        <v>99</v>
      </c>
      <c r="H38" s="307">
        <f>geg!R158</f>
        <v>99</v>
      </c>
      <c r="I38" s="307">
        <f>geg!U158</f>
        <v>99</v>
      </c>
      <c r="J38" s="25"/>
      <c r="K38" s="300"/>
    </row>
    <row r="39" spans="2:11" ht="12.75" customHeight="1">
      <c r="B39" s="13"/>
      <c r="C39" s="92"/>
      <c r="D39" s="92" t="s">
        <v>464</v>
      </c>
      <c r="E39" s="1"/>
      <c r="F39" s="307">
        <f>geg!L159</f>
        <v>29</v>
      </c>
      <c r="G39" s="307">
        <f>geg!O159</f>
        <v>29</v>
      </c>
      <c r="H39" s="307">
        <f>geg!R159</f>
        <v>29</v>
      </c>
      <c r="I39" s="307">
        <f>geg!U159</f>
        <v>29</v>
      </c>
      <c r="J39" s="25"/>
      <c r="K39" s="300"/>
    </row>
    <row r="40" spans="2:11" ht="12.75" customHeight="1">
      <c r="B40" s="13"/>
      <c r="C40" s="92"/>
      <c r="D40" s="92" t="s">
        <v>224</v>
      </c>
      <c r="E40" s="1"/>
      <c r="F40" s="307">
        <f>geg!L162</f>
        <v>0</v>
      </c>
      <c r="G40" s="307">
        <f>geg!O162</f>
        <v>0</v>
      </c>
      <c r="H40" s="307">
        <f>geg!R162</f>
        <v>0</v>
      </c>
      <c r="I40" s="307">
        <f>geg!U162</f>
        <v>0</v>
      </c>
      <c r="J40" s="25"/>
      <c r="K40" s="300"/>
    </row>
    <row r="41" spans="2:11" ht="12.75" customHeight="1">
      <c r="B41" s="13"/>
      <c r="C41" s="92"/>
      <c r="D41" s="92" t="s">
        <v>644</v>
      </c>
      <c r="E41" s="1"/>
      <c r="F41" s="307">
        <f>geg!L163</f>
        <v>0</v>
      </c>
      <c r="G41" s="307">
        <f>geg!O163</f>
        <v>0</v>
      </c>
      <c r="H41" s="307">
        <f>geg!R163</f>
        <v>0</v>
      </c>
      <c r="I41" s="307">
        <f>geg!U163</f>
        <v>0</v>
      </c>
      <c r="J41" s="25"/>
      <c r="K41" s="300"/>
    </row>
    <row r="42" spans="2:11" ht="12.75" customHeight="1">
      <c r="B42" s="13"/>
      <c r="C42" s="92"/>
      <c r="D42" s="92" t="s">
        <v>512</v>
      </c>
      <c r="E42" s="1"/>
      <c r="F42" s="307">
        <f>geg!L164</f>
        <v>128</v>
      </c>
      <c r="G42" s="307">
        <f>geg!O164</f>
        <v>128</v>
      </c>
      <c r="H42" s="307">
        <f>geg!R164</f>
        <v>128</v>
      </c>
      <c r="I42" s="307">
        <f>geg!U164</f>
        <v>128</v>
      </c>
      <c r="J42" s="25"/>
      <c r="K42" s="300"/>
    </row>
    <row r="43" spans="2:11" ht="12.75" customHeight="1">
      <c r="B43" s="13"/>
      <c r="C43" s="92"/>
      <c r="D43" s="92" t="s">
        <v>608</v>
      </c>
      <c r="E43" s="1"/>
      <c r="F43" s="307">
        <f>IF(geg!I166="ja",1,0)</f>
        <v>1</v>
      </c>
      <c r="G43" s="307"/>
      <c r="H43" s="307"/>
      <c r="I43" s="307"/>
      <c r="J43" s="25"/>
      <c r="K43" s="300"/>
    </row>
    <row r="44" spans="2:11" ht="12.75" customHeight="1">
      <c r="B44" s="13"/>
      <c r="C44" s="92"/>
      <c r="D44" s="92" t="s">
        <v>609</v>
      </c>
      <c r="E44" s="1"/>
      <c r="F44" s="307">
        <f>IF(geg!I167="ja",1,0)</f>
        <v>0</v>
      </c>
      <c r="G44" s="307"/>
      <c r="H44" s="307"/>
      <c r="I44" s="307"/>
      <c r="J44" s="25"/>
      <c r="K44" s="300"/>
    </row>
    <row r="45" spans="2:11" ht="12.75" customHeight="1">
      <c r="B45" s="13"/>
      <c r="C45" s="92"/>
      <c r="D45" s="92" t="s">
        <v>610</v>
      </c>
      <c r="E45" s="1"/>
      <c r="F45" s="307">
        <f>IF(geg!I168="ja",1,0)</f>
        <v>1</v>
      </c>
      <c r="G45" s="307"/>
      <c r="H45" s="307"/>
      <c r="I45" s="307"/>
      <c r="J45" s="25"/>
      <c r="K45" s="300"/>
    </row>
    <row r="46" spans="2:11" ht="12.75" customHeight="1">
      <c r="B46" s="13"/>
      <c r="C46" s="91"/>
      <c r="D46" s="92"/>
      <c r="E46" s="1"/>
      <c r="F46" s="307"/>
      <c r="G46" s="307"/>
      <c r="H46" s="307"/>
      <c r="I46" s="307"/>
      <c r="J46" s="25"/>
      <c r="K46" s="300"/>
    </row>
    <row r="47" spans="2:11" ht="12.75" customHeight="1">
      <c r="B47" s="13"/>
      <c r="C47" s="1"/>
      <c r="D47" s="1" t="s">
        <v>424</v>
      </c>
      <c r="E47" s="1"/>
      <c r="F47" s="324"/>
      <c r="G47" s="324"/>
      <c r="H47" s="324"/>
      <c r="I47" s="324"/>
      <c r="J47" s="25"/>
      <c r="K47" s="300"/>
    </row>
    <row r="48" spans="2:11" ht="12.75" customHeight="1">
      <c r="B48" s="13"/>
      <c r="C48" s="1"/>
      <c r="D48" s="1" t="s">
        <v>425</v>
      </c>
      <c r="E48" s="1"/>
      <c r="F48" s="324"/>
      <c r="G48" s="324"/>
      <c r="H48" s="324"/>
      <c r="I48" s="324"/>
      <c r="J48" s="25"/>
      <c r="K48" s="300"/>
    </row>
    <row r="49" spans="2:11" ht="12.75" customHeight="1">
      <c r="B49" s="13"/>
      <c r="C49" s="1"/>
      <c r="D49" s="1" t="s">
        <v>426</v>
      </c>
      <c r="E49" s="1"/>
      <c r="F49" s="324"/>
      <c r="G49" s="324"/>
      <c r="H49" s="324"/>
      <c r="I49" s="324"/>
      <c r="J49" s="25"/>
      <c r="K49" s="300"/>
    </row>
    <row r="50" spans="2:11" ht="12.75" customHeight="1">
      <c r="B50" s="13"/>
      <c r="C50" s="1"/>
      <c r="D50" s="1" t="s">
        <v>427</v>
      </c>
      <c r="E50" s="25"/>
      <c r="F50" s="308"/>
      <c r="G50" s="308"/>
      <c r="H50" s="308"/>
      <c r="I50" s="308"/>
      <c r="J50" s="25"/>
      <c r="K50" s="300"/>
    </row>
    <row r="51" spans="2:11" ht="12.75" customHeight="1">
      <c r="B51" s="13"/>
      <c r="C51" s="1"/>
      <c r="D51" s="1" t="s">
        <v>450</v>
      </c>
      <c r="E51" s="25"/>
      <c r="F51" s="308"/>
      <c r="G51" s="308"/>
      <c r="H51" s="308"/>
      <c r="I51" s="308"/>
      <c r="J51" s="25"/>
      <c r="K51" s="300"/>
    </row>
    <row r="52" spans="2:11" ht="12.75" customHeight="1">
      <c r="B52" s="13"/>
      <c r="C52" s="1"/>
      <c r="D52" s="1" t="s">
        <v>451</v>
      </c>
      <c r="E52" s="25"/>
      <c r="F52" s="308"/>
      <c r="G52" s="308"/>
      <c r="H52" s="308"/>
      <c r="I52" s="308"/>
      <c r="J52" s="25"/>
      <c r="K52" s="300"/>
    </row>
    <row r="53" spans="2:11" ht="12.75" customHeight="1">
      <c r="B53" s="13"/>
      <c r="C53" s="1"/>
      <c r="D53" s="1" t="s">
        <v>465</v>
      </c>
      <c r="E53" s="25"/>
      <c r="F53" s="308">
        <f>pers!J228</f>
        <v>33.785583335954755</v>
      </c>
      <c r="G53" s="308">
        <f>pers!K228</f>
        <v>33.95988333595475</v>
      </c>
      <c r="H53" s="308">
        <f>pers!L228</f>
        <v>33.95988333595475</v>
      </c>
      <c r="I53" s="308">
        <f>pers!M228</f>
        <v>33.95988333595475</v>
      </c>
      <c r="J53" s="25"/>
      <c r="K53" s="300"/>
    </row>
    <row r="54" spans="2:11" ht="12.75" customHeight="1">
      <c r="B54" s="13"/>
      <c r="C54" s="1"/>
      <c r="D54" s="1" t="s">
        <v>466</v>
      </c>
      <c r="E54" s="25"/>
      <c r="F54" s="308">
        <f>pers!J229</f>
        <v>33</v>
      </c>
      <c r="G54" s="308">
        <f>pers!K229</f>
        <v>33</v>
      </c>
      <c r="H54" s="308">
        <f>pers!L229</f>
        <v>33</v>
      </c>
      <c r="I54" s="308">
        <f>pers!M229</f>
        <v>33</v>
      </c>
      <c r="J54" s="25"/>
      <c r="K54" s="300"/>
    </row>
    <row r="55" spans="2:11" ht="12.75" customHeight="1">
      <c r="B55" s="13"/>
      <c r="C55" s="1"/>
      <c r="D55" s="1" t="s">
        <v>467</v>
      </c>
      <c r="E55" s="25"/>
      <c r="F55" s="308">
        <f>F53-F54</f>
        <v>0.7855833359547546</v>
      </c>
      <c r="G55" s="308">
        <f>G53-G54</f>
        <v>0.9598833359547498</v>
      </c>
      <c r="H55" s="308">
        <f>H53-H54</f>
        <v>0.9598833359547498</v>
      </c>
      <c r="I55" s="308">
        <f>I53-I54</f>
        <v>0.9598833359547498</v>
      </c>
      <c r="J55" s="25"/>
      <c r="K55" s="300"/>
    </row>
    <row r="56" spans="2:11" ht="12.75" customHeight="1">
      <c r="B56" s="13"/>
      <c r="C56" s="1"/>
      <c r="D56" s="1" t="s">
        <v>452</v>
      </c>
      <c r="E56" s="25"/>
      <c r="F56" s="309">
        <f>pers!J227</f>
        <v>0</v>
      </c>
      <c r="G56" s="308"/>
      <c r="H56" s="308"/>
      <c r="I56" s="308"/>
      <c r="J56" s="25"/>
      <c r="K56" s="300"/>
    </row>
    <row r="57" spans="2:11" ht="12.75" customHeight="1">
      <c r="B57" s="13"/>
      <c r="C57" s="91"/>
      <c r="D57" s="91"/>
      <c r="E57" s="91"/>
      <c r="F57" s="305"/>
      <c r="G57" s="305"/>
      <c r="H57" s="305"/>
      <c r="I57" s="305"/>
      <c r="J57" s="25"/>
      <c r="K57" s="300"/>
    </row>
    <row r="58" spans="2:11" ht="12.75" customHeight="1">
      <c r="B58" s="13"/>
      <c r="C58" s="91"/>
      <c r="D58" s="91" t="s">
        <v>681</v>
      </c>
      <c r="E58" s="91"/>
      <c r="F58" s="310">
        <f>fiebouw!H73</f>
        <v>0</v>
      </c>
      <c r="G58" s="310">
        <f>fiebouw!P73</f>
        <v>0</v>
      </c>
      <c r="H58" s="310">
        <f>fiebouw!X73</f>
        <v>0</v>
      </c>
      <c r="I58" s="310">
        <f>fiebouw!AF73</f>
        <v>0</v>
      </c>
      <c r="J58" s="25"/>
      <c r="K58" s="300"/>
    </row>
    <row r="59" spans="2:11" ht="12.75" customHeight="1">
      <c r="B59" s="13"/>
      <c r="C59" s="91"/>
      <c r="D59" s="91" t="s">
        <v>682</v>
      </c>
      <c r="E59" s="91"/>
      <c r="F59" s="310">
        <f>fiebouw!H74</f>
        <v>0</v>
      </c>
      <c r="G59" s="310">
        <f>fiebouw!P74</f>
        <v>0</v>
      </c>
      <c r="H59" s="310">
        <f>fiebouw!X74</f>
        <v>0</v>
      </c>
      <c r="I59" s="310">
        <f>fiebouw!AF74</f>
        <v>0</v>
      </c>
      <c r="J59" s="25"/>
      <c r="K59" s="300"/>
    </row>
    <row r="60" spans="2:11" ht="12.75" customHeight="1">
      <c r="B60" s="13"/>
      <c r="C60" s="91"/>
      <c r="D60" s="91" t="s">
        <v>683</v>
      </c>
      <c r="E60" s="91"/>
      <c r="F60" s="310">
        <f>fiebouw!H75</f>
        <v>0</v>
      </c>
      <c r="G60" s="310">
        <f>fiebouw!P75</f>
        <v>0</v>
      </c>
      <c r="H60" s="310">
        <f>fiebouw!X75</f>
        <v>0</v>
      </c>
      <c r="I60" s="310">
        <f>fiebouw!AF75</f>
        <v>0</v>
      </c>
      <c r="J60" s="25"/>
      <c r="K60" s="300"/>
    </row>
    <row r="61" spans="2:11" ht="12.75" customHeight="1">
      <c r="B61" s="13"/>
      <c r="C61" s="91"/>
      <c r="D61" s="91" t="s">
        <v>669</v>
      </c>
      <c r="E61" s="91"/>
      <c r="F61" s="310">
        <f>fiebouw!H76</f>
        <v>0</v>
      </c>
      <c r="G61" s="310">
        <f>fiebouw!P76</f>
        <v>0</v>
      </c>
      <c r="H61" s="310">
        <f>fiebouw!X76</f>
        <v>0</v>
      </c>
      <c r="I61" s="310">
        <f>fiebouw!AF76</f>
        <v>0</v>
      </c>
      <c r="J61" s="25"/>
      <c r="K61" s="300"/>
    </row>
    <row r="62" spans="2:11" ht="12.75" customHeight="1">
      <c r="B62" s="13"/>
      <c r="C62" s="91"/>
      <c r="D62" s="91" t="s">
        <v>684</v>
      </c>
      <c r="E62" s="91"/>
      <c r="F62" s="310">
        <f>fiebouw!H77</f>
        <v>0</v>
      </c>
      <c r="G62" s="310">
        <f>fiebouw!P77</f>
        <v>0</v>
      </c>
      <c r="H62" s="310">
        <f>fiebouw!X77</f>
        <v>0</v>
      </c>
      <c r="I62" s="310">
        <f>fiebouw!AF77</f>
        <v>0</v>
      </c>
      <c r="J62" s="25"/>
      <c r="K62" s="300"/>
    </row>
    <row r="63" spans="2:11" ht="12.75" customHeight="1">
      <c r="B63" s="13"/>
      <c r="C63" s="91"/>
      <c r="D63" s="91" t="s">
        <v>685</v>
      </c>
      <c r="E63" s="91"/>
      <c r="F63" s="310">
        <f>fiebouw!H78</f>
        <v>0</v>
      </c>
      <c r="G63" s="310">
        <f>fiebouw!P78</f>
        <v>0</v>
      </c>
      <c r="H63" s="310">
        <f>fiebouw!X78</f>
        <v>0</v>
      </c>
      <c r="I63" s="310">
        <f>fiebouw!AF78</f>
        <v>0</v>
      </c>
      <c r="J63" s="25"/>
      <c r="K63" s="300"/>
    </row>
    <row r="64" spans="2:11" ht="12.75" customHeight="1">
      <c r="B64" s="13"/>
      <c r="C64" s="91"/>
      <c r="D64" s="91" t="s">
        <v>686</v>
      </c>
      <c r="E64" s="91"/>
      <c r="F64" s="310">
        <f>fiebouw!H79</f>
        <v>0</v>
      </c>
      <c r="G64" s="310">
        <f>fiebouw!P79</f>
        <v>0</v>
      </c>
      <c r="H64" s="310">
        <f>fiebouw!X79</f>
        <v>0</v>
      </c>
      <c r="I64" s="310">
        <f>fiebouw!AF79</f>
        <v>0</v>
      </c>
      <c r="J64" s="25"/>
      <c r="K64" s="300"/>
    </row>
    <row r="65" spans="2:11" ht="12.75" customHeight="1">
      <c r="B65" s="13"/>
      <c r="C65" s="91"/>
      <c r="D65" s="91" t="s">
        <v>676</v>
      </c>
      <c r="E65" s="91"/>
      <c r="F65" s="310">
        <f>fiebouw!H80</f>
        <v>0</v>
      </c>
      <c r="G65" s="310">
        <f>fiebouw!P80</f>
        <v>0</v>
      </c>
      <c r="H65" s="310">
        <f>fiebouw!X80</f>
        <v>0</v>
      </c>
      <c r="I65" s="310">
        <f>fiebouw!AF80</f>
        <v>0</v>
      </c>
      <c r="J65" s="25"/>
      <c r="K65" s="300"/>
    </row>
    <row r="66" spans="2:11" ht="12.75" customHeight="1">
      <c r="B66" s="13"/>
      <c r="C66" s="91"/>
      <c r="D66" s="91" t="s">
        <v>677</v>
      </c>
      <c r="E66" s="91"/>
      <c r="F66" s="310">
        <f>fiebouw!H81</f>
        <v>0</v>
      </c>
      <c r="G66" s="310">
        <f>fiebouw!P81</f>
        <v>0</v>
      </c>
      <c r="H66" s="310">
        <f>fiebouw!X81</f>
        <v>0</v>
      </c>
      <c r="I66" s="310">
        <f>fiebouw!AF81</f>
        <v>0</v>
      </c>
      <c r="J66" s="25"/>
      <c r="K66" s="300"/>
    </row>
    <row r="67" spans="2:11" ht="12.75" customHeight="1">
      <c r="B67" s="13"/>
      <c r="C67" s="91"/>
      <c r="D67" s="91" t="s">
        <v>678</v>
      </c>
      <c r="E67" s="91"/>
      <c r="F67" s="310">
        <f>fiebouw!H82</f>
        <v>0</v>
      </c>
      <c r="G67" s="310">
        <f>fiebouw!P82</f>
        <v>0</v>
      </c>
      <c r="H67" s="310">
        <f>fiebouw!X82</f>
        <v>0</v>
      </c>
      <c r="I67" s="310">
        <f>fiebouw!AF82</f>
        <v>0</v>
      </c>
      <c r="J67" s="25"/>
      <c r="K67" s="300"/>
    </row>
    <row r="68" spans="2:11" ht="12.75" customHeight="1">
      <c r="B68" s="13"/>
      <c r="C68" s="91"/>
      <c r="D68" s="91" t="s">
        <v>679</v>
      </c>
      <c r="E68" s="91"/>
      <c r="F68" s="310">
        <f>fiebouw!H83</f>
        <v>0</v>
      </c>
      <c r="G68" s="310">
        <f>fiebouw!P83</f>
        <v>0</v>
      </c>
      <c r="H68" s="310">
        <f>fiebouw!X83</f>
        <v>0</v>
      </c>
      <c r="I68" s="310">
        <f>fiebouw!AF83</f>
        <v>0</v>
      </c>
      <c r="J68" s="25"/>
      <c r="K68" s="300"/>
    </row>
    <row r="69" spans="2:11" ht="12.75" customHeight="1">
      <c r="B69" s="13"/>
      <c r="C69" s="91"/>
      <c r="D69" s="91" t="s">
        <v>680</v>
      </c>
      <c r="E69" s="91"/>
      <c r="F69" s="310">
        <f>fiebouw!H84</f>
        <v>0</v>
      </c>
      <c r="G69" s="310">
        <f>fiebouw!P84</f>
        <v>0</v>
      </c>
      <c r="H69" s="310">
        <f>fiebouw!X84</f>
        <v>0</v>
      </c>
      <c r="I69" s="310">
        <f>fiebouw!AF84</f>
        <v>0</v>
      </c>
      <c r="J69" s="25"/>
      <c r="K69" s="300"/>
    </row>
    <row r="70" spans="2:11" ht="12.75" customHeight="1">
      <c r="B70" s="13"/>
      <c r="C70" s="91"/>
      <c r="D70" s="91" t="s">
        <v>687</v>
      </c>
      <c r="E70" s="91"/>
      <c r="F70" s="310">
        <f>fiebouw!H85</f>
        <v>0</v>
      </c>
      <c r="G70" s="310">
        <f>fiebouw!P85</f>
        <v>0</v>
      </c>
      <c r="H70" s="310">
        <f>fiebouw!X85</f>
        <v>0</v>
      </c>
      <c r="I70" s="310">
        <f>fiebouw!AF85</f>
        <v>0</v>
      </c>
      <c r="J70" s="25"/>
      <c r="K70" s="300"/>
    </row>
    <row r="71" spans="2:11" ht="12.75" customHeight="1">
      <c r="B71" s="13"/>
      <c r="C71" s="91"/>
      <c r="D71" s="91" t="s">
        <v>670</v>
      </c>
      <c r="E71" s="91"/>
      <c r="F71" s="310">
        <f>fiebouw!H86</f>
        <v>33</v>
      </c>
      <c r="G71" s="310">
        <f>fiebouw!P86</f>
        <v>33</v>
      </c>
      <c r="H71" s="310">
        <f>fiebouw!X86</f>
        <v>33</v>
      </c>
      <c r="I71" s="310">
        <f>fiebouw!AF86</f>
        <v>33</v>
      </c>
      <c r="J71" s="25"/>
      <c r="K71" s="300"/>
    </row>
    <row r="72" spans="2:11" ht="12.75" customHeight="1">
      <c r="B72" s="13"/>
      <c r="C72" s="91"/>
      <c r="D72" s="91" t="s">
        <v>688</v>
      </c>
      <c r="E72" s="91"/>
      <c r="F72" s="310">
        <f>fiebouw!H87</f>
        <v>0</v>
      </c>
      <c r="G72" s="310">
        <f>fiebouw!P87</f>
        <v>0</v>
      </c>
      <c r="H72" s="310">
        <f>fiebouw!X87</f>
        <v>0</v>
      </c>
      <c r="I72" s="310">
        <f>fiebouw!AF87</f>
        <v>0</v>
      </c>
      <c r="J72" s="25"/>
      <c r="K72" s="300"/>
    </row>
    <row r="73" spans="2:11" ht="12.75" customHeight="1">
      <c r="B73" s="13"/>
      <c r="C73" s="91"/>
      <c r="D73" s="91" t="s">
        <v>689</v>
      </c>
      <c r="E73" s="91"/>
      <c r="F73" s="310">
        <f>fiebouw!H88</f>
        <v>0</v>
      </c>
      <c r="G73" s="310">
        <f>fiebouw!P88</f>
        <v>0</v>
      </c>
      <c r="H73" s="310">
        <f>fiebouw!X88</f>
        <v>0</v>
      </c>
      <c r="I73" s="310">
        <f>fiebouw!AF88</f>
        <v>0</v>
      </c>
      <c r="J73" s="25"/>
      <c r="K73" s="300"/>
    </row>
    <row r="74" spans="2:11" ht="12.75" customHeight="1">
      <c r="B74" s="13"/>
      <c r="C74" s="91"/>
      <c r="D74" s="91" t="s">
        <v>690</v>
      </c>
      <c r="E74" s="91"/>
      <c r="F74" s="310">
        <f>fiebouw!H89</f>
        <v>0</v>
      </c>
      <c r="G74" s="310">
        <f>fiebouw!P89</f>
        <v>0</v>
      </c>
      <c r="H74" s="310">
        <f>fiebouw!X89</f>
        <v>0</v>
      </c>
      <c r="I74" s="310">
        <f>fiebouw!AF89</f>
        <v>0</v>
      </c>
      <c r="J74" s="25"/>
      <c r="K74" s="300"/>
    </row>
    <row r="75" spans="2:11" ht="12.75" customHeight="1">
      <c r="B75" s="13"/>
      <c r="C75" s="91"/>
      <c r="D75" s="91">
        <v>1</v>
      </c>
      <c r="E75" s="91"/>
      <c r="F75" s="310">
        <f>fiebouw!H90</f>
        <v>0</v>
      </c>
      <c r="G75" s="310">
        <f>fiebouw!P90</f>
        <v>0</v>
      </c>
      <c r="H75" s="310">
        <f>fiebouw!X90</f>
        <v>0</v>
      </c>
      <c r="I75" s="310">
        <f>fiebouw!AF90</f>
        <v>0</v>
      </c>
      <c r="J75" s="25"/>
      <c r="K75" s="300"/>
    </row>
    <row r="76" spans="2:11" ht="12.75" customHeight="1">
      <c r="B76" s="13"/>
      <c r="C76" s="91"/>
      <c r="D76" s="91">
        <v>2</v>
      </c>
      <c r="E76" s="91"/>
      <c r="F76" s="310">
        <f>fiebouw!H91</f>
        <v>0</v>
      </c>
      <c r="G76" s="310">
        <f>fiebouw!P91</f>
        <v>0</v>
      </c>
      <c r="H76" s="310">
        <f>fiebouw!X91</f>
        <v>0</v>
      </c>
      <c r="I76" s="310">
        <f>fiebouw!AF91</f>
        <v>0</v>
      </c>
      <c r="J76" s="25"/>
      <c r="K76" s="300"/>
    </row>
    <row r="77" spans="2:11" ht="12.75" customHeight="1">
      <c r="B77" s="13"/>
      <c r="C77" s="91"/>
      <c r="D77" s="91">
        <v>3</v>
      </c>
      <c r="E77" s="91"/>
      <c r="F77" s="310">
        <f>fiebouw!H92</f>
        <v>0</v>
      </c>
      <c r="G77" s="310">
        <f>fiebouw!P92</f>
        <v>0</v>
      </c>
      <c r="H77" s="310">
        <f>fiebouw!X92</f>
        <v>0</v>
      </c>
      <c r="I77" s="310">
        <f>fiebouw!AF92</f>
        <v>0</v>
      </c>
      <c r="J77" s="25"/>
      <c r="K77" s="300"/>
    </row>
    <row r="78" spans="2:11" ht="12.75" customHeight="1">
      <c r="B78" s="13"/>
      <c r="C78" s="91"/>
      <c r="D78" s="91">
        <v>4</v>
      </c>
      <c r="E78" s="91"/>
      <c r="F78" s="310">
        <f>fiebouw!H93</f>
        <v>0</v>
      </c>
      <c r="G78" s="310">
        <f>fiebouw!P93</f>
        <v>0</v>
      </c>
      <c r="H78" s="310">
        <f>fiebouw!X93</f>
        <v>0</v>
      </c>
      <c r="I78" s="310">
        <f>fiebouw!AF93</f>
        <v>0</v>
      </c>
      <c r="J78" s="25"/>
      <c r="K78" s="300"/>
    </row>
    <row r="79" spans="2:11" ht="12.75" customHeight="1">
      <c r="B79" s="13"/>
      <c r="C79" s="91"/>
      <c r="D79" s="91">
        <v>5</v>
      </c>
      <c r="E79" s="91"/>
      <c r="F79" s="310">
        <f>fiebouw!H94</f>
        <v>0</v>
      </c>
      <c r="G79" s="310">
        <f>fiebouw!P94</f>
        <v>0</v>
      </c>
      <c r="H79" s="310">
        <f>fiebouw!X94</f>
        <v>0</v>
      </c>
      <c r="I79" s="310">
        <f>fiebouw!AF94</f>
        <v>0</v>
      </c>
      <c r="J79" s="25"/>
      <c r="K79" s="300"/>
    </row>
    <row r="80" spans="2:11" ht="12.75" customHeight="1">
      <c r="B80" s="13"/>
      <c r="C80" s="91"/>
      <c r="D80" s="91">
        <v>6</v>
      </c>
      <c r="E80" s="91"/>
      <c r="F80" s="310">
        <f>fiebouw!H95</f>
        <v>0</v>
      </c>
      <c r="G80" s="310">
        <f>fiebouw!P95</f>
        <v>0</v>
      </c>
      <c r="H80" s="310">
        <f>fiebouw!X95</f>
        <v>0</v>
      </c>
      <c r="I80" s="310">
        <f>fiebouw!AF95</f>
        <v>0</v>
      </c>
      <c r="J80" s="25"/>
      <c r="K80" s="300"/>
    </row>
    <row r="81" spans="2:11" ht="12.75" customHeight="1">
      <c r="B81" s="13"/>
      <c r="C81" s="91"/>
      <c r="D81" s="91">
        <v>7</v>
      </c>
      <c r="E81" s="91"/>
      <c r="F81" s="310">
        <f>fiebouw!H96</f>
        <v>0</v>
      </c>
      <c r="G81" s="310">
        <f>fiebouw!P96</f>
        <v>0</v>
      </c>
      <c r="H81" s="310">
        <f>fiebouw!X96</f>
        <v>0</v>
      </c>
      <c r="I81" s="310">
        <f>fiebouw!AF96</f>
        <v>0</v>
      </c>
      <c r="J81" s="25"/>
      <c r="K81" s="300"/>
    </row>
    <row r="82" spans="2:11" ht="12.75" customHeight="1">
      <c r="B82" s="13"/>
      <c r="C82" s="91"/>
      <c r="D82" s="91">
        <v>8</v>
      </c>
      <c r="E82" s="91"/>
      <c r="F82" s="310">
        <f>fiebouw!H97</f>
        <v>0</v>
      </c>
      <c r="G82" s="310">
        <f>fiebouw!P97</f>
        <v>0</v>
      </c>
      <c r="H82" s="310">
        <f>fiebouw!X97</f>
        <v>0</v>
      </c>
      <c r="I82" s="310">
        <f>fiebouw!AF97</f>
        <v>0</v>
      </c>
      <c r="J82" s="25"/>
      <c r="K82" s="300"/>
    </row>
    <row r="83" spans="2:11" ht="12.75" customHeight="1">
      <c r="B83" s="13"/>
      <c r="C83" s="91"/>
      <c r="D83" s="91">
        <v>9</v>
      </c>
      <c r="E83" s="91"/>
      <c r="F83" s="310">
        <f>fiebouw!H98</f>
        <v>0</v>
      </c>
      <c r="G83" s="310">
        <f>fiebouw!P98</f>
        <v>0</v>
      </c>
      <c r="H83" s="310">
        <f>fiebouw!X98</f>
        <v>0</v>
      </c>
      <c r="I83" s="310">
        <f>fiebouw!AF98</f>
        <v>0</v>
      </c>
      <c r="J83" s="25"/>
      <c r="K83" s="300"/>
    </row>
    <row r="84" spans="2:11" ht="12.75" customHeight="1">
      <c r="B84" s="13"/>
      <c r="C84" s="91"/>
      <c r="D84" s="91">
        <v>10</v>
      </c>
      <c r="E84" s="91"/>
      <c r="F84" s="310">
        <f>fiebouw!H99</f>
        <v>0</v>
      </c>
      <c r="G84" s="310">
        <f>fiebouw!P99</f>
        <v>0</v>
      </c>
      <c r="H84" s="310">
        <f>fiebouw!X99</f>
        <v>0</v>
      </c>
      <c r="I84" s="310">
        <f>fiebouw!AF99</f>
        <v>0</v>
      </c>
      <c r="J84" s="25"/>
      <c r="K84" s="300"/>
    </row>
    <row r="85" spans="2:11" ht="12.75" customHeight="1">
      <c r="B85" s="13"/>
      <c r="C85" s="91"/>
      <c r="D85" s="91">
        <v>11</v>
      </c>
      <c r="E85" s="91"/>
      <c r="F85" s="310">
        <f>fiebouw!H100</f>
        <v>0</v>
      </c>
      <c r="G85" s="310">
        <f>fiebouw!P100</f>
        <v>0</v>
      </c>
      <c r="H85" s="310">
        <f>fiebouw!X100</f>
        <v>0</v>
      </c>
      <c r="I85" s="310">
        <f>fiebouw!AF100</f>
        <v>0</v>
      </c>
      <c r="J85" s="25"/>
      <c r="K85" s="300"/>
    </row>
    <row r="86" spans="2:11" ht="12.75" customHeight="1">
      <c r="B86" s="13"/>
      <c r="C86" s="91"/>
      <c r="D86" s="91">
        <v>12</v>
      </c>
      <c r="E86" s="91"/>
      <c r="F86" s="310">
        <f>fiebouw!H101</f>
        <v>0</v>
      </c>
      <c r="G86" s="310">
        <f>fiebouw!P101</f>
        <v>0</v>
      </c>
      <c r="H86" s="310">
        <f>fiebouw!X101</f>
        <v>0</v>
      </c>
      <c r="I86" s="310">
        <f>fiebouw!AF101</f>
        <v>0</v>
      </c>
      <c r="J86" s="25"/>
      <c r="K86" s="300"/>
    </row>
    <row r="87" spans="2:11" ht="12.75" customHeight="1">
      <c r="B87" s="13"/>
      <c r="C87" s="91"/>
      <c r="D87" s="91">
        <v>13</v>
      </c>
      <c r="E87" s="91"/>
      <c r="F87" s="310">
        <f>fiebouw!H102</f>
        <v>0</v>
      </c>
      <c r="G87" s="310">
        <f>fiebouw!P102</f>
        <v>0</v>
      </c>
      <c r="H87" s="310">
        <f>fiebouw!X102</f>
        <v>0</v>
      </c>
      <c r="I87" s="310">
        <f>fiebouw!AF102</f>
        <v>0</v>
      </c>
      <c r="J87" s="25"/>
      <c r="K87" s="300"/>
    </row>
    <row r="88" spans="2:11" ht="12.75" customHeight="1">
      <c r="B88" s="13"/>
      <c r="C88" s="91"/>
      <c r="D88" s="91">
        <v>14</v>
      </c>
      <c r="E88" s="91"/>
      <c r="F88" s="310">
        <f>fiebouw!H103</f>
        <v>0</v>
      </c>
      <c r="G88" s="310">
        <f>fiebouw!P103</f>
        <v>0</v>
      </c>
      <c r="H88" s="310">
        <f>fiebouw!X103</f>
        <v>0</v>
      </c>
      <c r="I88" s="310">
        <f>fiebouw!AF103</f>
        <v>0</v>
      </c>
      <c r="J88" s="25"/>
      <c r="K88" s="300"/>
    </row>
    <row r="89" spans="2:11" ht="12.75" customHeight="1">
      <c r="B89" s="13"/>
      <c r="C89" s="91"/>
      <c r="D89" s="91">
        <v>15</v>
      </c>
      <c r="E89" s="91"/>
      <c r="F89" s="310">
        <f>fiebouw!H104</f>
        <v>0</v>
      </c>
      <c r="G89" s="310">
        <f>fiebouw!P104</f>
        <v>0</v>
      </c>
      <c r="H89" s="310">
        <f>fiebouw!X104</f>
        <v>0</v>
      </c>
      <c r="I89" s="310">
        <f>fiebouw!AF104</f>
        <v>0</v>
      </c>
      <c r="J89" s="25"/>
      <c r="K89" s="300"/>
    </row>
    <row r="90" spans="2:11" ht="12.75" customHeight="1">
      <c r="B90" s="13"/>
      <c r="C90" s="91"/>
      <c r="D90" s="91" t="s">
        <v>691</v>
      </c>
      <c r="E90" s="91"/>
      <c r="F90" s="310">
        <f>fiebouw!H105</f>
        <v>0</v>
      </c>
      <c r="G90" s="310">
        <f>fiebouw!P105</f>
        <v>0</v>
      </c>
      <c r="H90" s="310">
        <f>fiebouw!X105</f>
        <v>0</v>
      </c>
      <c r="I90" s="310">
        <f>fiebouw!AF105</f>
        <v>0</v>
      </c>
      <c r="J90" s="25"/>
      <c r="K90" s="300"/>
    </row>
    <row r="91" spans="2:11" ht="12.75" customHeight="1">
      <c r="B91" s="13"/>
      <c r="C91" s="91"/>
      <c r="D91" s="91" t="s">
        <v>692</v>
      </c>
      <c r="E91" s="91"/>
      <c r="F91" s="310">
        <f>fiebouw!H106</f>
        <v>0</v>
      </c>
      <c r="G91" s="310">
        <f>fiebouw!P106</f>
        <v>0</v>
      </c>
      <c r="H91" s="310">
        <f>fiebouw!X106</f>
        <v>0</v>
      </c>
      <c r="I91" s="310">
        <f>fiebouw!AF106</f>
        <v>0</v>
      </c>
      <c r="J91" s="25"/>
      <c r="K91" s="300"/>
    </row>
    <row r="92" spans="2:11" ht="12.75" customHeight="1">
      <c r="B92" s="13"/>
      <c r="C92" s="91"/>
      <c r="D92" s="91"/>
      <c r="E92" s="91"/>
      <c r="F92" s="305"/>
      <c r="G92" s="305"/>
      <c r="H92" s="305"/>
      <c r="I92" s="305"/>
      <c r="J92" s="25"/>
      <c r="K92" s="300"/>
    </row>
    <row r="93" spans="2:11" ht="12.75" customHeight="1">
      <c r="B93" s="13"/>
      <c r="C93" s="91"/>
      <c r="D93" s="91" t="s">
        <v>383</v>
      </c>
      <c r="E93" s="91"/>
      <c r="F93" s="309">
        <f>ken!F10</f>
        <v>2652966.792345974</v>
      </c>
      <c r="G93" s="309">
        <f>ken!G10</f>
        <v>2659671.9357920005</v>
      </c>
      <c r="H93" s="309">
        <f>ken!H10</f>
        <v>2659671.9357920005</v>
      </c>
      <c r="I93" s="309">
        <f>ken!I10</f>
        <v>2659671.9357920005</v>
      </c>
      <c r="J93" s="25"/>
      <c r="K93" s="300"/>
    </row>
    <row r="94" spans="2:11" ht="12.75" customHeight="1">
      <c r="B94" s="13"/>
      <c r="C94" s="91"/>
      <c r="D94" s="91" t="s">
        <v>432</v>
      </c>
      <c r="E94" s="91"/>
      <c r="F94" s="486">
        <f>ken!F13</f>
        <v>0</v>
      </c>
      <c r="G94" s="486">
        <f>ken!G13</f>
        <v>0</v>
      </c>
      <c r="H94" s="486">
        <f>ken!H13</f>
        <v>0</v>
      </c>
      <c r="I94" s="486">
        <f>ken!I13</f>
        <v>0</v>
      </c>
      <c r="J94" s="25"/>
      <c r="K94" s="300"/>
    </row>
    <row r="95" spans="2:11" ht="12.75" customHeight="1">
      <c r="B95" s="13"/>
      <c r="C95" s="91"/>
      <c r="D95" s="91" t="s">
        <v>433</v>
      </c>
      <c r="E95" s="91"/>
      <c r="F95" s="486">
        <f>ken!F16</f>
        <v>0</v>
      </c>
      <c r="G95" s="486">
        <f>ken!G16</f>
        <v>0</v>
      </c>
      <c r="H95" s="486">
        <f>ken!H16</f>
        <v>0</v>
      </c>
      <c r="I95" s="486">
        <f>ken!I16</f>
        <v>0</v>
      </c>
      <c r="J95" s="25"/>
      <c r="K95" s="300"/>
    </row>
    <row r="96" spans="2:11" ht="12.75" customHeight="1">
      <c r="B96" s="13"/>
      <c r="C96" s="91"/>
      <c r="D96" s="91" t="s">
        <v>384</v>
      </c>
      <c r="E96" s="91"/>
      <c r="F96" s="309">
        <f>ken!F19</f>
        <v>2011451.7216000003</v>
      </c>
      <c r="G96" s="309">
        <f>ken!G19</f>
        <v>2011451.7216000003</v>
      </c>
      <c r="H96" s="309">
        <f>ken!H19</f>
        <v>2011451.7216000003</v>
      </c>
      <c r="I96" s="309">
        <f>ken!I19</f>
        <v>2011451.7216000003</v>
      </c>
      <c r="J96" s="25"/>
      <c r="K96" s="300"/>
    </row>
    <row r="97" spans="2:11" ht="12.75" customHeight="1">
      <c r="B97" s="13"/>
      <c r="C97" s="91"/>
      <c r="D97" s="91" t="s">
        <v>389</v>
      </c>
      <c r="E97" s="91"/>
      <c r="F97" s="309">
        <f>ken!F26</f>
        <v>1990340.7216000003</v>
      </c>
      <c r="G97" s="309">
        <f>ken!G26</f>
        <v>1990340.7216000003</v>
      </c>
      <c r="H97" s="309">
        <f>ken!H26</f>
        <v>1990340.7216000003</v>
      </c>
      <c r="I97" s="309">
        <f>ken!I26</f>
        <v>1990340.7216000003</v>
      </c>
      <c r="J97" s="25"/>
      <c r="K97" s="300"/>
    </row>
    <row r="98" spans="2:11" ht="12.75" customHeight="1">
      <c r="B98" s="13"/>
      <c r="C98" s="91"/>
      <c r="D98" s="91" t="s">
        <v>385</v>
      </c>
      <c r="E98" s="91"/>
      <c r="F98" s="309">
        <f>ken!F33</f>
        <v>0</v>
      </c>
      <c r="G98" s="309">
        <f>ken!G33</f>
        <v>0</v>
      </c>
      <c r="H98" s="309">
        <f>ken!H33</f>
        <v>0</v>
      </c>
      <c r="I98" s="309">
        <f>ken!I33</f>
        <v>0</v>
      </c>
      <c r="J98" s="25"/>
      <c r="K98" s="300"/>
    </row>
    <row r="99" spans="2:11" ht="12.75" customHeight="1">
      <c r="B99" s="13"/>
      <c r="C99" s="91"/>
      <c r="D99" s="91" t="s">
        <v>386</v>
      </c>
      <c r="E99" s="91"/>
      <c r="F99" s="309">
        <f>ken!F40</f>
        <v>0</v>
      </c>
      <c r="G99" s="309">
        <f>ken!G40</f>
        <v>0</v>
      </c>
      <c r="H99" s="309">
        <f>ken!H40</f>
        <v>0</v>
      </c>
      <c r="I99" s="309">
        <f>ken!I40</f>
        <v>0</v>
      </c>
      <c r="J99" s="25"/>
      <c r="K99" s="300"/>
    </row>
    <row r="100" spans="2:11" ht="12.75" customHeight="1">
      <c r="B100" s="13"/>
      <c r="C100" s="91"/>
      <c r="D100" s="91" t="s">
        <v>207</v>
      </c>
      <c r="E100" s="91"/>
      <c r="F100" s="309">
        <f>ken!F46</f>
        <v>11111</v>
      </c>
      <c r="G100" s="309">
        <f>ken!G46</f>
        <v>11111</v>
      </c>
      <c r="H100" s="309">
        <f>ken!H46</f>
        <v>11111</v>
      </c>
      <c r="I100" s="309">
        <f>ken!I46</f>
        <v>11111</v>
      </c>
      <c r="J100" s="25"/>
      <c r="K100" s="300"/>
    </row>
    <row r="101" spans="2:11" ht="12.75" customHeight="1">
      <c r="B101" s="13"/>
      <c r="C101" s="91"/>
      <c r="D101" s="91" t="s">
        <v>742</v>
      </c>
      <c r="E101" s="91"/>
      <c r="F101" s="309">
        <f>ken!F52</f>
        <v>0</v>
      </c>
      <c r="G101" s="309">
        <f>ken!G52</f>
        <v>0</v>
      </c>
      <c r="H101" s="309">
        <f>ken!H52</f>
        <v>0</v>
      </c>
      <c r="I101" s="309">
        <f>ken!I52</f>
        <v>0</v>
      </c>
      <c r="J101" s="25"/>
      <c r="K101" s="300"/>
    </row>
    <row r="102" spans="2:11" ht="12.75" customHeight="1">
      <c r="B102" s="13"/>
      <c r="C102" s="91"/>
      <c r="D102" s="91" t="s">
        <v>387</v>
      </c>
      <c r="E102" s="91"/>
      <c r="F102" s="309">
        <f>ken!F62</f>
        <v>10000</v>
      </c>
      <c r="G102" s="309">
        <f>ken!G62</f>
        <v>10000</v>
      </c>
      <c r="H102" s="309">
        <f>ken!H62</f>
        <v>10000</v>
      </c>
      <c r="I102" s="309">
        <f>ken!I62</f>
        <v>10000</v>
      </c>
      <c r="J102" s="25"/>
      <c r="K102" s="300"/>
    </row>
    <row r="103" spans="2:11" ht="12.75" customHeight="1">
      <c r="B103" s="13"/>
      <c r="C103" s="91"/>
      <c r="D103" s="91" t="s">
        <v>388</v>
      </c>
      <c r="E103" s="91"/>
      <c r="F103" s="309">
        <f>ken!F65</f>
        <v>0</v>
      </c>
      <c r="G103" s="309">
        <f>ken!G65</f>
        <v>0</v>
      </c>
      <c r="H103" s="309">
        <f>ken!H65</f>
        <v>0</v>
      </c>
      <c r="I103" s="309">
        <f>ken!I65</f>
        <v>0</v>
      </c>
      <c r="J103" s="25"/>
      <c r="K103" s="300"/>
    </row>
    <row r="104" spans="2:11" ht="12.75" customHeight="1">
      <c r="B104" s="13"/>
      <c r="C104" s="91"/>
      <c r="D104" s="91" t="s">
        <v>367</v>
      </c>
      <c r="E104" s="91"/>
      <c r="F104" s="309">
        <f>ken!F74</f>
        <v>0</v>
      </c>
      <c r="G104" s="309">
        <f>ken!G74</f>
        <v>0</v>
      </c>
      <c r="H104" s="309">
        <f>ken!H74</f>
        <v>0</v>
      </c>
      <c r="I104" s="309">
        <f>ken!I74</f>
        <v>0</v>
      </c>
      <c r="J104" s="25"/>
      <c r="K104" s="300"/>
    </row>
    <row r="105" spans="2:11" ht="12.75" customHeight="1">
      <c r="B105" s="13"/>
      <c r="C105" s="1"/>
      <c r="D105" s="1" t="s">
        <v>422</v>
      </c>
      <c r="E105" s="91"/>
      <c r="F105" s="309">
        <f>ken!F81</f>
        <v>207278.04</v>
      </c>
      <c r="G105" s="309">
        <f>ken!G81</f>
        <v>207278.04</v>
      </c>
      <c r="H105" s="309">
        <f>ken!H81</f>
        <v>207278.04</v>
      </c>
      <c r="I105" s="309">
        <f>ken!I81</f>
        <v>207278.04</v>
      </c>
      <c r="J105" s="25"/>
      <c r="K105" s="300"/>
    </row>
    <row r="106" spans="2:11" ht="12.75" customHeight="1">
      <c r="B106" s="13"/>
      <c r="C106" s="1"/>
      <c r="D106" s="1" t="s">
        <v>423</v>
      </c>
      <c r="E106" s="91"/>
      <c r="F106" s="309">
        <f>ken!F84</f>
        <v>0</v>
      </c>
      <c r="G106" s="309">
        <f>ken!G84</f>
        <v>0</v>
      </c>
      <c r="H106" s="309">
        <f>ken!H84</f>
        <v>0</v>
      </c>
      <c r="I106" s="309">
        <f>ken!I84</f>
        <v>0</v>
      </c>
      <c r="J106" s="25"/>
      <c r="K106" s="300"/>
    </row>
    <row r="107" spans="2:11" ht="12.75" customHeight="1">
      <c r="B107" s="13"/>
      <c r="C107" s="91"/>
      <c r="D107" s="91"/>
      <c r="E107" s="91"/>
      <c r="F107" s="305"/>
      <c r="G107" s="305"/>
      <c r="H107" s="305"/>
      <c r="I107" s="305"/>
      <c r="J107" s="25"/>
      <c r="K107" s="300"/>
    </row>
    <row r="108" spans="2:11" ht="12.75" customHeight="1">
      <c r="B108" s="13"/>
      <c r="C108" s="91"/>
      <c r="D108" s="91" t="s">
        <v>380</v>
      </c>
      <c r="E108" s="91"/>
      <c r="F108" s="311">
        <f>begr!G12</f>
        <v>2652966.792345974</v>
      </c>
      <c r="G108" s="311">
        <f>begr!H12</f>
        <v>2659671.9357920005</v>
      </c>
      <c r="H108" s="311">
        <f>begr!I12</f>
        <v>2659671.9357920005</v>
      </c>
      <c r="I108" s="311">
        <f>begr!J12</f>
        <v>2659671.9357920005</v>
      </c>
      <c r="J108" s="25"/>
      <c r="K108" s="300"/>
    </row>
    <row r="109" spans="2:11" ht="12.75" customHeight="1">
      <c r="B109" s="13"/>
      <c r="C109" s="91"/>
      <c r="D109" s="91" t="s">
        <v>135</v>
      </c>
      <c r="E109" s="91"/>
      <c r="F109" s="311">
        <f>begr!G13</f>
        <v>0</v>
      </c>
      <c r="G109" s="311">
        <f>begr!H13</f>
        <v>0</v>
      </c>
      <c r="H109" s="311">
        <f>begr!I13</f>
        <v>0</v>
      </c>
      <c r="I109" s="311">
        <f>begr!J13</f>
        <v>0</v>
      </c>
      <c r="J109" s="312"/>
      <c r="K109" s="313"/>
    </row>
    <row r="110" spans="2:11" ht="12.75" customHeight="1">
      <c r="B110" s="13"/>
      <c r="C110" s="91"/>
      <c r="D110" s="91" t="s">
        <v>194</v>
      </c>
      <c r="E110" s="91"/>
      <c r="F110" s="311">
        <f>begr!G14</f>
        <v>0</v>
      </c>
      <c r="G110" s="311">
        <f>begr!H14</f>
        <v>0</v>
      </c>
      <c r="H110" s="311">
        <f>begr!I14</f>
        <v>0</v>
      </c>
      <c r="I110" s="311">
        <f>begr!J14</f>
        <v>0</v>
      </c>
      <c r="J110" s="312"/>
      <c r="K110" s="313"/>
    </row>
    <row r="111" spans="2:11" ht="12.75" customHeight="1">
      <c r="B111" s="13"/>
      <c r="C111" s="91"/>
      <c r="D111" s="91" t="s">
        <v>195</v>
      </c>
      <c r="E111" s="91"/>
      <c r="F111" s="311">
        <f>begr!G15</f>
        <v>0</v>
      </c>
      <c r="G111" s="311">
        <f>begr!H15</f>
        <v>0</v>
      </c>
      <c r="H111" s="311">
        <f>begr!I15</f>
        <v>0</v>
      </c>
      <c r="I111" s="311">
        <f>begr!J15</f>
        <v>0</v>
      </c>
      <c r="J111" s="312"/>
      <c r="K111" s="313"/>
    </row>
    <row r="112" spans="2:11" ht="12.75" customHeight="1">
      <c r="B112" s="13"/>
      <c r="C112" s="1"/>
      <c r="D112" s="1" t="s">
        <v>390</v>
      </c>
      <c r="E112" s="1"/>
      <c r="F112" s="311">
        <f>begr!G16</f>
        <v>0</v>
      </c>
      <c r="G112" s="311">
        <f>begr!H16</f>
        <v>0</v>
      </c>
      <c r="H112" s="311">
        <f>begr!I16</f>
        <v>0</v>
      </c>
      <c r="I112" s="311">
        <f>begr!J16</f>
        <v>0</v>
      </c>
      <c r="J112" s="312"/>
      <c r="K112" s="313"/>
    </row>
    <row r="113" spans="2:11" ht="12.75" customHeight="1">
      <c r="B113" s="13"/>
      <c r="C113" s="1"/>
      <c r="D113" s="1" t="s">
        <v>354</v>
      </c>
      <c r="E113" s="1"/>
      <c r="F113" s="311">
        <f>begr!G24</f>
        <v>1990340.7216000003</v>
      </c>
      <c r="G113" s="311">
        <f>begr!H24</f>
        <v>1990340.7216000003</v>
      </c>
      <c r="H113" s="311">
        <f>begr!I24</f>
        <v>1990340.7216000003</v>
      </c>
      <c r="I113" s="311">
        <f>begr!J24</f>
        <v>1990340.7216000003</v>
      </c>
      <c r="J113" s="312"/>
      <c r="K113" s="313"/>
    </row>
    <row r="114" spans="2:11" ht="12.75" customHeight="1">
      <c r="B114" s="13"/>
      <c r="C114" s="1"/>
      <c r="D114" s="1" t="s">
        <v>225</v>
      </c>
      <c r="E114" s="1"/>
      <c r="F114" s="311">
        <f>begr!G25</f>
        <v>0</v>
      </c>
      <c r="G114" s="311">
        <f>begr!H25</f>
        <v>0</v>
      </c>
      <c r="H114" s="311">
        <f>begr!I25</f>
        <v>0</v>
      </c>
      <c r="I114" s="311">
        <f>begr!J25</f>
        <v>0</v>
      </c>
      <c r="J114" s="312"/>
      <c r="K114" s="313"/>
    </row>
    <row r="115" spans="2:11" ht="12.75" customHeight="1">
      <c r="B115" s="13"/>
      <c r="C115" s="1"/>
      <c r="D115" s="1" t="s">
        <v>743</v>
      </c>
      <c r="E115" s="1"/>
      <c r="F115" s="309">
        <f>begr!G26</f>
        <v>11111</v>
      </c>
      <c r="G115" s="309">
        <f>begr!H26</f>
        <v>11111</v>
      </c>
      <c r="H115" s="309">
        <f>begr!I26</f>
        <v>11111</v>
      </c>
      <c r="I115" s="309">
        <f>begr!J26</f>
        <v>11111</v>
      </c>
      <c r="J115" s="312"/>
      <c r="K115" s="313"/>
    </row>
    <row r="116" spans="2:11" ht="12.75" customHeight="1">
      <c r="B116" s="13"/>
      <c r="C116" s="1"/>
      <c r="D116" s="1" t="s">
        <v>741</v>
      </c>
      <c r="E116" s="1"/>
      <c r="F116" s="309">
        <f>begr!G27</f>
        <v>10000</v>
      </c>
      <c r="G116" s="309">
        <f>begr!H27</f>
        <v>10000</v>
      </c>
      <c r="H116" s="309">
        <f>begr!I27</f>
        <v>10000</v>
      </c>
      <c r="I116" s="309">
        <f>begr!J27</f>
        <v>10000</v>
      </c>
      <c r="J116" s="312"/>
      <c r="K116" s="313"/>
    </row>
    <row r="117" spans="2:11" ht="12.75" customHeight="1">
      <c r="B117" s="13"/>
      <c r="C117" s="1"/>
      <c r="D117" s="1" t="s">
        <v>196</v>
      </c>
      <c r="E117" s="1"/>
      <c r="F117" s="309">
        <f>begr!G28</f>
        <v>0</v>
      </c>
      <c r="G117" s="309">
        <f>begr!H28</f>
        <v>0</v>
      </c>
      <c r="H117" s="309">
        <f>begr!I28</f>
        <v>0</v>
      </c>
      <c r="I117" s="309">
        <f>begr!J28</f>
        <v>0</v>
      </c>
      <c r="J117" s="312"/>
      <c r="K117" s="313"/>
    </row>
    <row r="118" spans="2:11" ht="12.75" customHeight="1">
      <c r="B118" s="13"/>
      <c r="C118" s="91"/>
      <c r="D118" s="91" t="s">
        <v>391</v>
      </c>
      <c r="E118" s="91"/>
      <c r="F118" s="311">
        <f>begr!G41</f>
        <v>0</v>
      </c>
      <c r="G118" s="311">
        <f>begr!H41</f>
        <v>0</v>
      </c>
      <c r="H118" s="311">
        <f>begr!I41</f>
        <v>0</v>
      </c>
      <c r="I118" s="311">
        <f>begr!J41</f>
        <v>0</v>
      </c>
      <c r="J118" s="312"/>
      <c r="K118" s="313"/>
    </row>
    <row r="119" spans="2:11" ht="12.75" customHeight="1">
      <c r="B119" s="13"/>
      <c r="C119" s="91"/>
      <c r="D119" s="91" t="s">
        <v>392</v>
      </c>
      <c r="E119" s="91"/>
      <c r="F119" s="311">
        <f>begr!G42</f>
        <v>0</v>
      </c>
      <c r="G119" s="311">
        <f>begr!H42</f>
        <v>0</v>
      </c>
      <c r="H119" s="311">
        <f>begr!I42</f>
        <v>0</v>
      </c>
      <c r="I119" s="311">
        <f>begr!J42</f>
        <v>0</v>
      </c>
      <c r="J119" s="312"/>
      <c r="K119" s="313"/>
    </row>
    <row r="120" spans="2:11" ht="12.75" customHeight="1">
      <c r="B120" s="13"/>
      <c r="C120" s="91"/>
      <c r="D120" s="91" t="s">
        <v>197</v>
      </c>
      <c r="E120" s="91"/>
      <c r="F120" s="309">
        <f>bal!H16</f>
        <v>77777</v>
      </c>
      <c r="G120" s="309">
        <f>bal!I16</f>
        <v>66666</v>
      </c>
      <c r="H120" s="309">
        <f>bal!J16</f>
        <v>55555</v>
      </c>
      <c r="I120" s="309">
        <f>bal!K16</f>
        <v>44444</v>
      </c>
      <c r="J120" s="303"/>
      <c r="K120" s="300"/>
    </row>
    <row r="121" spans="2:11" ht="12.75" customHeight="1">
      <c r="B121" s="13"/>
      <c r="C121" s="91"/>
      <c r="D121" s="91" t="s">
        <v>198</v>
      </c>
      <c r="E121" s="91"/>
      <c r="F121" s="309">
        <f>bal!H25</f>
        <v>1111</v>
      </c>
      <c r="G121" s="309">
        <f>bal!I25</f>
        <v>2222</v>
      </c>
      <c r="H121" s="309">
        <f>bal!J25</f>
        <v>3333</v>
      </c>
      <c r="I121" s="309">
        <f>bal!K25</f>
        <v>4444</v>
      </c>
      <c r="J121" s="303"/>
      <c r="K121" s="300"/>
    </row>
    <row r="122" spans="2:11" ht="12.75" customHeight="1">
      <c r="B122" s="13"/>
      <c r="C122" s="91"/>
      <c r="D122" s="91" t="s">
        <v>199</v>
      </c>
      <c r="E122" s="91"/>
      <c r="F122" s="309">
        <f>bal!H39</f>
        <v>-1112</v>
      </c>
      <c r="G122" s="309">
        <f>bal!I39</f>
        <v>-1112</v>
      </c>
      <c r="H122" s="309">
        <f>bal!J39</f>
        <v>-1112</v>
      </c>
      <c r="I122" s="309">
        <f>bal!K39</f>
        <v>-1112</v>
      </c>
      <c r="J122" s="303"/>
      <c r="K122" s="300"/>
    </row>
    <row r="123" spans="2:11" ht="12.75" customHeight="1">
      <c r="B123" s="13"/>
      <c r="C123" s="91"/>
      <c r="D123" s="91" t="s">
        <v>200</v>
      </c>
      <c r="E123" s="91"/>
      <c r="F123" s="309">
        <f>bal!H46</f>
        <v>80000</v>
      </c>
      <c r="G123" s="309">
        <f>bal!I46</f>
        <v>70000</v>
      </c>
      <c r="H123" s="309">
        <f>bal!J46</f>
        <v>60000</v>
      </c>
      <c r="I123" s="309">
        <f>bal!K46</f>
        <v>50000</v>
      </c>
      <c r="J123" s="303"/>
      <c r="K123" s="300"/>
    </row>
    <row r="124" spans="2:11" ht="12.75" customHeight="1">
      <c r="B124" s="13"/>
      <c r="C124" s="91"/>
      <c r="D124" s="91" t="s">
        <v>201</v>
      </c>
      <c r="E124" s="91"/>
      <c r="F124" s="309">
        <f>bal!H51</f>
        <v>0</v>
      </c>
      <c r="G124" s="309">
        <f>bal!I51</f>
        <v>0</v>
      </c>
      <c r="H124" s="309">
        <f>bal!J51</f>
        <v>0</v>
      </c>
      <c r="I124" s="309">
        <f>bal!K51</f>
        <v>0</v>
      </c>
      <c r="J124" s="303"/>
      <c r="K124" s="300"/>
    </row>
    <row r="125" spans="2:11" ht="12.75" customHeight="1">
      <c r="B125" s="13"/>
      <c r="C125" s="91"/>
      <c r="D125" s="91" t="s">
        <v>202</v>
      </c>
      <c r="E125" s="91"/>
      <c r="F125" s="309">
        <f>bal!H59</f>
        <v>0</v>
      </c>
      <c r="G125" s="309">
        <f>bal!I59</f>
        <v>0</v>
      </c>
      <c r="H125" s="309">
        <f>bal!J59</f>
        <v>0</v>
      </c>
      <c r="I125" s="309">
        <f>bal!K59</f>
        <v>0</v>
      </c>
      <c r="J125" s="303"/>
      <c r="K125" s="300"/>
    </row>
    <row r="126" spans="2:11" ht="12.75" customHeight="1">
      <c r="B126" s="13"/>
      <c r="C126" s="91"/>
      <c r="D126" s="91"/>
      <c r="E126" s="91"/>
      <c r="F126" s="309"/>
      <c r="G126" s="309"/>
      <c r="H126" s="309"/>
      <c r="I126" s="309"/>
      <c r="J126" s="303"/>
      <c r="K126" s="300"/>
    </row>
    <row r="127" spans="2:11" ht="12.75" customHeight="1">
      <c r="B127" s="13"/>
      <c r="C127" s="91"/>
      <c r="D127" s="91" t="s">
        <v>399</v>
      </c>
      <c r="E127" s="91"/>
      <c r="F127" s="309">
        <f>act!G28</f>
        <v>0</v>
      </c>
      <c r="G127" s="309">
        <f>act!H28</f>
        <v>0</v>
      </c>
      <c r="H127" s="309">
        <f>act!I28</f>
        <v>0</v>
      </c>
      <c r="I127" s="309">
        <f>act!J28</f>
        <v>0</v>
      </c>
      <c r="J127" s="25"/>
      <c r="K127" s="300"/>
    </row>
    <row r="128" spans="2:11" ht="12.75" customHeight="1">
      <c r="B128" s="13"/>
      <c r="C128" s="91"/>
      <c r="D128" s="91" t="s">
        <v>400</v>
      </c>
      <c r="E128" s="91"/>
      <c r="F128" s="309">
        <f>mop!G18</f>
        <v>20000</v>
      </c>
      <c r="G128" s="309">
        <f>mop!H18</f>
        <v>20000</v>
      </c>
      <c r="H128" s="309">
        <f>mop!I18</f>
        <v>20000</v>
      </c>
      <c r="I128" s="309">
        <f>mop!J18</f>
        <v>20000</v>
      </c>
      <c r="J128" s="25"/>
      <c r="K128" s="300"/>
    </row>
    <row r="129" spans="2:11" ht="12.75" customHeight="1">
      <c r="B129" s="13"/>
      <c r="C129" s="91"/>
      <c r="D129" s="91"/>
      <c r="E129" s="91"/>
      <c r="F129" s="309"/>
      <c r="G129" s="309"/>
      <c r="H129" s="309"/>
      <c r="I129" s="309"/>
      <c r="J129" s="25"/>
      <c r="K129" s="300"/>
    </row>
    <row r="130" spans="2:11" ht="12.75" customHeight="1">
      <c r="B130" s="13"/>
      <c r="C130" s="91"/>
      <c r="D130" s="91" t="s">
        <v>396</v>
      </c>
      <c r="E130" s="91"/>
      <c r="F130" s="309">
        <f>begr!G57</f>
        <v>41586.160987359995</v>
      </c>
      <c r="G130" s="309">
        <f>begr!H57</f>
        <v>41800.704207999996</v>
      </c>
      <c r="H130" s="309">
        <f>begr!I57</f>
        <v>41800.704207999996</v>
      </c>
      <c r="I130" s="309">
        <f>begr!J57</f>
        <v>41800.704207999996</v>
      </c>
      <c r="J130" s="303"/>
      <c r="K130" s="300"/>
    </row>
    <row r="131" spans="2:11" ht="12.75" customHeight="1">
      <c r="B131" s="13"/>
      <c r="C131" s="91"/>
      <c r="D131" s="91" t="s">
        <v>397</v>
      </c>
      <c r="E131" s="91"/>
      <c r="F131" s="309">
        <f>begr!G58</f>
        <v>0</v>
      </c>
      <c r="G131" s="309">
        <f>begr!H58</f>
        <v>0</v>
      </c>
      <c r="H131" s="309">
        <f>begr!I58</f>
        <v>0</v>
      </c>
      <c r="I131" s="309">
        <f>begr!J58</f>
        <v>0</v>
      </c>
      <c r="J131" s="303"/>
      <c r="K131" s="300"/>
    </row>
    <row r="132" spans="2:11" ht="12.75" customHeight="1">
      <c r="B132" s="13"/>
      <c r="C132" s="91"/>
      <c r="D132" s="91" t="s">
        <v>398</v>
      </c>
      <c r="E132" s="91"/>
      <c r="F132" s="309">
        <f>begr!G59</f>
        <v>0</v>
      </c>
      <c r="G132" s="309">
        <f>begr!H59</f>
        <v>0</v>
      </c>
      <c r="H132" s="309">
        <f>begr!I59</f>
        <v>0</v>
      </c>
      <c r="I132" s="309">
        <f>begr!J59</f>
        <v>0</v>
      </c>
      <c r="J132" s="303"/>
      <c r="K132" s="300"/>
    </row>
    <row r="133" spans="2:11" ht="12.75" customHeight="1">
      <c r="B133" s="13"/>
      <c r="C133" s="1"/>
      <c r="D133" s="91"/>
      <c r="E133" s="91"/>
      <c r="F133" s="181"/>
      <c r="G133" s="181"/>
      <c r="H133" s="181"/>
      <c r="I133" s="181"/>
      <c r="J133" s="303"/>
      <c r="K133" s="300"/>
    </row>
    <row r="134" spans="2:11" ht="12.75" customHeight="1">
      <c r="B134" s="13"/>
      <c r="D134" s="99"/>
      <c r="E134" s="99"/>
      <c r="F134" s="180"/>
      <c r="G134" s="180"/>
      <c r="H134" s="180"/>
      <c r="I134" s="180"/>
      <c r="J134" s="302"/>
      <c r="K134" s="300"/>
    </row>
    <row r="135" spans="2:11" ht="12.75" customHeight="1" thickBot="1">
      <c r="B135" s="48"/>
      <c r="C135" s="49"/>
      <c r="D135" s="49"/>
      <c r="E135" s="49"/>
      <c r="F135" s="314"/>
      <c r="G135" s="314"/>
      <c r="H135" s="315"/>
      <c r="I135" s="315"/>
      <c r="J135" s="50"/>
      <c r="K135" s="316"/>
    </row>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sheetData>
  <sheetProtection password="DE55" sheet="1" objects="1" scenarios="1"/>
  <printOptions/>
  <pageMargins left="0.75" right="0.75" top="1" bottom="1" header="0.5" footer="0.5"/>
  <pageSetup horizontalDpi="600" verticalDpi="600" orientation="portrait" paperSize="9" scale="40" r:id="rId2"/>
  <headerFooter alignWithMargins="0">
    <oddHeader>&amp;L&amp;"Arial,Vet"&amp;F&amp;R&amp;"Arial,Vet"&amp;A</oddHeader>
    <oddFooter>&amp;L&amp;"Arial,Vet"keizer / goedhart&amp;C&amp;"Arial,Vet"&amp;D&amp;R&amp;"Arial,Vet"pagina &amp;P</oddFooter>
  </headerFooter>
  <colBreaks count="1" manualBreakCount="1">
    <brk id="11" min="1" max="113" man="1"/>
  </colBreaks>
  <drawing r:id="rId1"/>
</worksheet>
</file>

<file path=xl/worksheets/sheet17.xml><?xml version="1.0" encoding="utf-8"?>
<worksheet xmlns="http://schemas.openxmlformats.org/spreadsheetml/2006/main" xmlns:r="http://schemas.openxmlformats.org/officeDocument/2006/relationships">
  <dimension ref="A2:O363"/>
  <sheetViews>
    <sheetView zoomScale="85" zoomScaleNormal="85" zoomScaleSheetLayoutView="70" workbookViewId="0" topLeftCell="A1">
      <pane ySplit="8" topLeftCell="BM9" activePane="bottomLeft" state="frozen"/>
      <selection pane="topLeft" activeCell="A1" sqref="A1"/>
      <selection pane="bottomLeft" activeCell="A1" sqref="A1"/>
    </sheetView>
  </sheetViews>
  <sheetFormatPr defaultColWidth="9.140625" defaultRowHeight="12.75"/>
  <cols>
    <col min="1" max="1" width="40.7109375" style="366" customWidth="1"/>
    <col min="2" max="15" width="14.7109375" style="366" customWidth="1"/>
    <col min="16" max="16384" width="9.140625" style="366" customWidth="1"/>
  </cols>
  <sheetData>
    <row r="1" ht="12.75"/>
    <row r="2" spans="1:12" ht="12.75">
      <c r="A2" s="366" t="s">
        <v>665</v>
      </c>
      <c r="B2" s="494" t="s">
        <v>672</v>
      </c>
      <c r="C2" s="494" t="s">
        <v>673</v>
      </c>
      <c r="D2" s="494" t="s">
        <v>674</v>
      </c>
      <c r="E2" s="494" t="s">
        <v>675</v>
      </c>
      <c r="F2" s="494" t="s">
        <v>210</v>
      </c>
      <c r="G2" s="494" t="s">
        <v>520</v>
      </c>
      <c r="H2" s="376"/>
      <c r="I2" s="386"/>
      <c r="J2" s="380"/>
      <c r="K2" s="380"/>
      <c r="L2" s="380"/>
    </row>
    <row r="3" spans="1:12" ht="12.75">
      <c r="A3" s="366" t="s">
        <v>671</v>
      </c>
      <c r="B3" s="368">
        <v>39356</v>
      </c>
      <c r="C3" s="368">
        <v>39722</v>
      </c>
      <c r="D3" s="368">
        <v>40087</v>
      </c>
      <c r="E3" s="368">
        <v>40452</v>
      </c>
      <c r="F3" s="368">
        <v>40817</v>
      </c>
      <c r="G3" s="368">
        <v>41183</v>
      </c>
      <c r="H3" s="377"/>
      <c r="I3" s="380"/>
      <c r="J3" s="419"/>
      <c r="K3" s="420"/>
      <c r="L3" s="420"/>
    </row>
    <row r="4" spans="1:12" ht="12.75">
      <c r="A4" s="366" t="s">
        <v>703</v>
      </c>
      <c r="B4" s="367">
        <v>2008</v>
      </c>
      <c r="C4" s="367">
        <v>2009</v>
      </c>
      <c r="D4" s="367">
        <v>2010</v>
      </c>
      <c r="E4" s="367">
        <v>2011</v>
      </c>
      <c r="F4" s="367">
        <v>2012</v>
      </c>
      <c r="G4" s="367">
        <v>2013</v>
      </c>
      <c r="I4" s="380"/>
      <c r="J4" s="419"/>
      <c r="K4" s="420"/>
      <c r="L4" s="420"/>
    </row>
    <row r="5" spans="1:12" ht="12.75">
      <c r="A5" s="366" t="s">
        <v>653</v>
      </c>
      <c r="B5" s="368">
        <v>39661</v>
      </c>
      <c r="C5" s="368">
        <v>40026</v>
      </c>
      <c r="D5" s="368">
        <v>40391</v>
      </c>
      <c r="E5" s="367"/>
      <c r="F5" s="367"/>
      <c r="G5" s="367"/>
      <c r="I5" s="380"/>
      <c r="J5" s="419"/>
      <c r="K5" s="420"/>
      <c r="L5" s="420"/>
    </row>
    <row r="6" spans="1:12" ht="12.75">
      <c r="A6" s="366" t="s">
        <v>654</v>
      </c>
      <c r="B6" s="368">
        <v>40025</v>
      </c>
      <c r="C6" s="368">
        <v>40390</v>
      </c>
      <c r="D6" s="368">
        <v>40755</v>
      </c>
      <c r="E6" s="367"/>
      <c r="F6" s="367"/>
      <c r="G6" s="367"/>
      <c r="I6" s="380"/>
      <c r="J6" s="419"/>
      <c r="K6" s="420"/>
      <c r="L6" s="420"/>
    </row>
    <row r="7" spans="2:12" ht="12.75">
      <c r="B7" s="495">
        <v>39463</v>
      </c>
      <c r="C7" s="495">
        <v>39829</v>
      </c>
      <c r="D7" s="495">
        <v>40194</v>
      </c>
      <c r="E7" s="495">
        <v>40559</v>
      </c>
      <c r="F7" s="495">
        <v>40924</v>
      </c>
      <c r="G7" s="495">
        <v>41290</v>
      </c>
      <c r="H7" s="377"/>
      <c r="I7" s="380"/>
      <c r="J7" s="419"/>
      <c r="K7" s="420"/>
      <c r="L7" s="420"/>
    </row>
    <row r="8" spans="9:12" ht="12.75">
      <c r="I8" s="380"/>
      <c r="J8" s="419"/>
      <c r="K8" s="420"/>
      <c r="L8" s="420"/>
    </row>
    <row r="9" spans="9:12" ht="12.75">
      <c r="I9" s="380"/>
      <c r="J9" s="419"/>
      <c r="K9" s="420"/>
      <c r="L9" s="420"/>
    </row>
    <row r="10" ht="12.75"/>
    <row r="11" spans="1:7" ht="12.75">
      <c r="A11" s="385" t="s">
        <v>332</v>
      </c>
      <c r="B11" s="379" t="s">
        <v>510</v>
      </c>
      <c r="C11" s="380"/>
      <c r="D11" s="380"/>
      <c r="E11" s="379" t="s">
        <v>511</v>
      </c>
      <c r="F11" s="380"/>
      <c r="G11" s="380"/>
    </row>
    <row r="12" spans="1:7" ht="12.75">
      <c r="A12" s="380" t="s">
        <v>514</v>
      </c>
      <c r="B12" s="379" t="s">
        <v>515</v>
      </c>
      <c r="C12" s="379" t="s">
        <v>517</v>
      </c>
      <c r="D12" s="380" t="s">
        <v>486</v>
      </c>
      <c r="E12" s="379" t="s">
        <v>515</v>
      </c>
      <c r="F12" s="379" t="s">
        <v>517</v>
      </c>
      <c r="G12" s="380" t="s">
        <v>486</v>
      </c>
    </row>
    <row r="13" spans="1:7" ht="12.75">
      <c r="A13" s="380" t="s">
        <v>473</v>
      </c>
      <c r="B13" s="488">
        <v>0.2141</v>
      </c>
      <c r="C13" s="488">
        <v>0.2117</v>
      </c>
      <c r="D13" s="488">
        <v>0.2226</v>
      </c>
      <c r="E13" s="488">
        <v>0.1993</v>
      </c>
      <c r="F13" s="488">
        <v>0.0531</v>
      </c>
      <c r="G13" s="488">
        <v>0.0471</v>
      </c>
    </row>
    <row r="14" spans="1:7" ht="12.75">
      <c r="A14" s="380" t="s">
        <v>474</v>
      </c>
      <c r="B14" s="488">
        <v>0.1173</v>
      </c>
      <c r="C14" s="488">
        <v>0.1157</v>
      </c>
      <c r="D14" s="488">
        <v>0.2</v>
      </c>
      <c r="E14" s="488">
        <v>0.1636</v>
      </c>
      <c r="F14" s="488">
        <v>0.0676</v>
      </c>
      <c r="G14" s="488">
        <v>0.0663</v>
      </c>
    </row>
    <row r="15" spans="1:7" ht="12.75">
      <c r="A15" s="380" t="s">
        <v>475</v>
      </c>
      <c r="B15" s="488">
        <v>0.1173</v>
      </c>
      <c r="C15" s="488">
        <v>0.1157</v>
      </c>
      <c r="D15" s="488">
        <v>0</v>
      </c>
      <c r="E15" s="488">
        <v>0.1573</v>
      </c>
      <c r="F15" s="488">
        <v>0.0613</v>
      </c>
      <c r="G15" s="488">
        <v>0</v>
      </c>
    </row>
    <row r="16" spans="1:7" ht="12.75">
      <c r="A16" s="380" t="s">
        <v>476</v>
      </c>
      <c r="B16" s="488">
        <v>0.1181</v>
      </c>
      <c r="C16" s="488">
        <v>0.1181</v>
      </c>
      <c r="D16" s="488">
        <v>0.2019</v>
      </c>
      <c r="E16" s="488">
        <v>0.2287</v>
      </c>
      <c r="F16" s="488">
        <v>0.2287</v>
      </c>
      <c r="G16" s="488">
        <v>0.1962</v>
      </c>
    </row>
    <row r="17" spans="1:7" ht="12.75">
      <c r="A17" s="379" t="s">
        <v>478</v>
      </c>
      <c r="B17" s="488">
        <v>0.1043</v>
      </c>
      <c r="C17" s="488">
        <v>0.1021</v>
      </c>
      <c r="D17" s="488">
        <v>0.1835</v>
      </c>
      <c r="E17" s="488">
        <v>0.2087</v>
      </c>
      <c r="F17" s="488">
        <v>0.0775</v>
      </c>
      <c r="G17" s="488">
        <v>0.0572</v>
      </c>
    </row>
    <row r="18" spans="1:7" ht="12.75">
      <c r="A18" s="379" t="s">
        <v>479</v>
      </c>
      <c r="B18" s="488">
        <v>0.1273</v>
      </c>
      <c r="C18" s="488">
        <v>0.1262</v>
      </c>
      <c r="D18" s="488">
        <v>0.1861</v>
      </c>
      <c r="E18" s="488">
        <v>0.1251</v>
      </c>
      <c r="F18" s="488">
        <v>0.0573</v>
      </c>
      <c r="G18" s="488">
        <v>0.0438</v>
      </c>
    </row>
    <row r="19" spans="1:7" ht="12.75">
      <c r="A19" s="380" t="s">
        <v>477</v>
      </c>
      <c r="B19" s="488">
        <v>0.109</v>
      </c>
      <c r="C19" s="488">
        <v>0.109</v>
      </c>
      <c r="D19" s="488">
        <v>0.1649</v>
      </c>
      <c r="E19" s="488">
        <v>0.0892</v>
      </c>
      <c r="F19" s="488">
        <v>0.0892</v>
      </c>
      <c r="G19" s="488">
        <v>0.0717</v>
      </c>
    </row>
    <row r="20" spans="1:7" ht="12.75">
      <c r="A20" s="380" t="s">
        <v>480</v>
      </c>
      <c r="B20" s="488">
        <v>0.1273</v>
      </c>
      <c r="C20" s="488">
        <v>0.1262</v>
      </c>
      <c r="D20" s="488">
        <v>0.1861</v>
      </c>
      <c r="E20" s="488">
        <v>0.1251</v>
      </c>
      <c r="F20" s="488">
        <v>0.0573</v>
      </c>
      <c r="G20" s="488">
        <v>0.0438</v>
      </c>
    </row>
    <row r="21" spans="1:7" ht="12.75">
      <c r="A21" s="380" t="s">
        <v>481</v>
      </c>
      <c r="B21" s="488">
        <v>0.1273</v>
      </c>
      <c r="C21" s="488">
        <v>0.1262</v>
      </c>
      <c r="D21" s="488">
        <v>0.1861</v>
      </c>
      <c r="E21" s="488">
        <v>0.1251</v>
      </c>
      <c r="F21" s="488">
        <v>0.0573</v>
      </c>
      <c r="G21" s="488">
        <v>0.0438</v>
      </c>
    </row>
    <row r="22" spans="1:7" ht="12.75">
      <c r="A22" s="381" t="s">
        <v>483</v>
      </c>
      <c r="B22" s="488">
        <v>0.4024</v>
      </c>
      <c r="C22" s="488">
        <v>0.4007</v>
      </c>
      <c r="D22" s="488">
        <v>0.4004</v>
      </c>
      <c r="E22" s="488">
        <v>0.2066</v>
      </c>
      <c r="F22" s="488">
        <v>0.1067</v>
      </c>
      <c r="G22" s="488">
        <v>0.0603</v>
      </c>
    </row>
    <row r="23" spans="1:7" ht="12.75">
      <c r="A23" s="381" t="s">
        <v>485</v>
      </c>
      <c r="B23" s="488">
        <v>0.6027</v>
      </c>
      <c r="C23" s="488">
        <v>0.6003</v>
      </c>
      <c r="D23" s="488">
        <v>0.6003</v>
      </c>
      <c r="E23" s="488">
        <v>0.2309</v>
      </c>
      <c r="F23" s="488">
        <v>0.0847</v>
      </c>
      <c r="G23" s="488">
        <v>0.0847</v>
      </c>
    </row>
    <row r="24" spans="1:7" ht="12.75">
      <c r="A24" s="381" t="s">
        <v>484</v>
      </c>
      <c r="B24" s="488">
        <v>0.1999</v>
      </c>
      <c r="C24" s="488">
        <v>0.1987</v>
      </c>
      <c r="D24" s="488">
        <v>0.203</v>
      </c>
      <c r="E24" s="488">
        <v>0.1724</v>
      </c>
      <c r="F24" s="488">
        <v>0.0993</v>
      </c>
      <c r="G24" s="488">
        <v>0.0831</v>
      </c>
    </row>
    <row r="25" spans="1:7" ht="12.75">
      <c r="A25" s="381" t="s">
        <v>482</v>
      </c>
      <c r="B25" s="488">
        <v>0.1869</v>
      </c>
      <c r="C25" s="488">
        <v>0.1869</v>
      </c>
      <c r="D25" s="488">
        <v>0.2062</v>
      </c>
      <c r="E25" s="488">
        <v>0.2896</v>
      </c>
      <c r="F25" s="488">
        <v>0.2896</v>
      </c>
      <c r="G25" s="488">
        <v>0.2892</v>
      </c>
    </row>
    <row r="26" ht="12.75"/>
    <row r="27" ht="12.75">
      <c r="O27" s="391"/>
    </row>
    <row r="28" spans="1:15" ht="12.75">
      <c r="A28" s="386" t="s">
        <v>512</v>
      </c>
      <c r="B28" s="379" t="s">
        <v>510</v>
      </c>
      <c r="C28" s="380"/>
      <c r="D28" s="386" t="s">
        <v>513</v>
      </c>
      <c r="E28" s="379" t="s">
        <v>510</v>
      </c>
      <c r="F28" s="380"/>
      <c r="G28" s="386" t="s">
        <v>518</v>
      </c>
      <c r="H28" s="379" t="s">
        <v>510</v>
      </c>
      <c r="I28" s="380"/>
      <c r="O28" s="392"/>
    </row>
    <row r="29" spans="1:15" ht="12.75">
      <c r="A29" s="380" t="s">
        <v>514</v>
      </c>
      <c r="B29" s="379" t="s">
        <v>469</v>
      </c>
      <c r="C29" s="380" t="s">
        <v>486</v>
      </c>
      <c r="D29" s="380" t="s">
        <v>514</v>
      </c>
      <c r="E29" s="379" t="s">
        <v>646</v>
      </c>
      <c r="F29" s="380" t="s">
        <v>647</v>
      </c>
      <c r="G29" s="380" t="s">
        <v>514</v>
      </c>
      <c r="H29" s="379" t="s">
        <v>646</v>
      </c>
      <c r="I29" s="380" t="s">
        <v>704</v>
      </c>
      <c r="O29" s="393"/>
    </row>
    <row r="30" spans="1:15" ht="12.75">
      <c r="A30" s="380" t="s">
        <v>473</v>
      </c>
      <c r="B30" s="488">
        <v>0</v>
      </c>
      <c r="C30" s="488">
        <v>0.0122</v>
      </c>
      <c r="D30" s="366" t="s">
        <v>473</v>
      </c>
      <c r="E30" s="488">
        <v>0.1892</v>
      </c>
      <c r="F30" s="488">
        <v>0.0872</v>
      </c>
      <c r="G30" s="366" t="s">
        <v>473</v>
      </c>
      <c r="H30" s="488">
        <v>0.1846</v>
      </c>
      <c r="I30" s="488">
        <v>0.0872</v>
      </c>
      <c r="O30" s="392"/>
    </row>
    <row r="31" spans="1:15" ht="12.75">
      <c r="A31" s="380" t="s">
        <v>474</v>
      </c>
      <c r="B31" s="488">
        <v>0.0114</v>
      </c>
      <c r="C31" s="488">
        <v>0</v>
      </c>
      <c r="D31" s="366" t="s">
        <v>474</v>
      </c>
      <c r="E31" s="488">
        <v>0.0851</v>
      </c>
      <c r="F31" s="488">
        <v>0.057</v>
      </c>
      <c r="G31" s="366" t="s">
        <v>474</v>
      </c>
      <c r="H31" s="488">
        <v>0.0821</v>
      </c>
      <c r="I31" s="488">
        <v>0.0564</v>
      </c>
      <c r="O31" s="394"/>
    </row>
    <row r="32" spans="1:15" ht="12.75">
      <c r="A32" s="380" t="s">
        <v>475</v>
      </c>
      <c r="B32" s="488">
        <v>0.0115</v>
      </c>
      <c r="C32" s="488">
        <v>0</v>
      </c>
      <c r="D32" s="366" t="s">
        <v>475</v>
      </c>
      <c r="E32" s="488">
        <v>0.0851</v>
      </c>
      <c r="F32" s="488">
        <v>0</v>
      </c>
      <c r="G32" s="366" t="s">
        <v>475</v>
      </c>
      <c r="H32" s="488">
        <v>0.0821</v>
      </c>
      <c r="I32" s="488">
        <v>0</v>
      </c>
      <c r="O32" s="394"/>
    </row>
    <row r="33" spans="1:15" ht="12.75">
      <c r="A33" s="380" t="s">
        <v>476</v>
      </c>
      <c r="B33" s="488">
        <v>0.0494</v>
      </c>
      <c r="C33" s="488">
        <v>0.0107</v>
      </c>
      <c r="D33" s="366" t="s">
        <v>476</v>
      </c>
      <c r="E33" s="488">
        <v>0.0851</v>
      </c>
      <c r="F33" s="488">
        <v>0.0872</v>
      </c>
      <c r="G33" s="366" t="s">
        <v>476</v>
      </c>
      <c r="H33" s="488">
        <v>0.0821</v>
      </c>
      <c r="I33" s="488">
        <v>0.0872</v>
      </c>
      <c r="O33" s="394"/>
    </row>
    <row r="34" spans="1:15" ht="12.75">
      <c r="A34" s="379" t="s">
        <v>478</v>
      </c>
      <c r="B34" s="488">
        <v>0.0005</v>
      </c>
      <c r="C34" s="488">
        <v>0</v>
      </c>
      <c r="D34" s="388" t="s">
        <v>478</v>
      </c>
      <c r="E34" s="488">
        <v>0.0851</v>
      </c>
      <c r="F34" s="488">
        <v>0.057</v>
      </c>
      <c r="G34" s="388" t="s">
        <v>478</v>
      </c>
      <c r="H34" s="488">
        <v>0.0821</v>
      </c>
      <c r="I34" s="488">
        <v>0.0564</v>
      </c>
      <c r="O34" s="394"/>
    </row>
    <row r="35" spans="1:15" ht="12.75">
      <c r="A35" s="379" t="s">
        <v>479</v>
      </c>
      <c r="B35" s="488">
        <v>0.003</v>
      </c>
      <c r="C35" s="488">
        <v>0.0051</v>
      </c>
      <c r="D35" s="388" t="s">
        <v>479</v>
      </c>
      <c r="E35" s="488">
        <v>0.0851</v>
      </c>
      <c r="F35" s="488">
        <v>0.057</v>
      </c>
      <c r="G35" s="388" t="s">
        <v>479</v>
      </c>
      <c r="H35" s="488">
        <v>0.0821</v>
      </c>
      <c r="I35" s="488">
        <v>0.0564</v>
      </c>
      <c r="O35" s="394"/>
    </row>
    <row r="36" spans="1:15" ht="12.75">
      <c r="A36" s="380" t="s">
        <v>477</v>
      </c>
      <c r="B36" s="488">
        <v>0.0012</v>
      </c>
      <c r="C36" s="488">
        <v>0</v>
      </c>
      <c r="D36" s="366" t="s">
        <v>477</v>
      </c>
      <c r="E36" s="488">
        <v>0.0851</v>
      </c>
      <c r="F36" s="488">
        <v>0.057</v>
      </c>
      <c r="G36" s="366" t="s">
        <v>477</v>
      </c>
      <c r="H36" s="488">
        <v>0.0821</v>
      </c>
      <c r="I36" s="488">
        <v>0.0564</v>
      </c>
      <c r="O36" s="394"/>
    </row>
    <row r="37" spans="1:15" ht="12.75">
      <c r="A37" s="380" t="s">
        <v>480</v>
      </c>
      <c r="B37" s="488">
        <v>0.003</v>
      </c>
      <c r="C37" s="488">
        <v>0.0051</v>
      </c>
      <c r="D37" s="366" t="s">
        <v>480</v>
      </c>
      <c r="E37" s="488">
        <v>0.0851</v>
      </c>
      <c r="F37" s="488">
        <v>0.057</v>
      </c>
      <c r="G37" s="366" t="s">
        <v>480</v>
      </c>
      <c r="H37" s="488">
        <v>0.0821</v>
      </c>
      <c r="I37" s="488">
        <v>0.0564</v>
      </c>
      <c r="O37" s="394"/>
    </row>
    <row r="38" spans="1:15" ht="12.75">
      <c r="A38" s="380" t="s">
        <v>481</v>
      </c>
      <c r="B38" s="488">
        <v>0.003</v>
      </c>
      <c r="C38" s="488">
        <v>0.0051</v>
      </c>
      <c r="D38" s="366" t="s">
        <v>481</v>
      </c>
      <c r="E38" s="488">
        <v>0.0851</v>
      </c>
      <c r="F38" s="488">
        <v>0.057</v>
      </c>
      <c r="G38" s="366" t="s">
        <v>481</v>
      </c>
      <c r="H38" s="488">
        <v>0.0821</v>
      </c>
      <c r="I38" s="488">
        <v>0.0564</v>
      </c>
      <c r="O38" s="394"/>
    </row>
    <row r="39" spans="1:15" ht="12.75">
      <c r="A39" s="381" t="s">
        <v>483</v>
      </c>
      <c r="B39" s="488">
        <v>0</v>
      </c>
      <c r="C39" s="488">
        <v>0</v>
      </c>
      <c r="D39" s="489" t="s">
        <v>483</v>
      </c>
      <c r="E39" s="488">
        <v>0.0851</v>
      </c>
      <c r="F39" s="488">
        <v>0.057</v>
      </c>
      <c r="G39" s="489" t="s">
        <v>483</v>
      </c>
      <c r="H39" s="488">
        <v>0.0821</v>
      </c>
      <c r="I39" s="488">
        <v>0.0564</v>
      </c>
      <c r="O39" s="394"/>
    </row>
    <row r="40" spans="1:15" ht="12.75">
      <c r="A40" s="381" t="s">
        <v>484</v>
      </c>
      <c r="B40" s="488">
        <v>0</v>
      </c>
      <c r="C40" s="488">
        <v>0</v>
      </c>
      <c r="D40" s="489" t="s">
        <v>484</v>
      </c>
      <c r="E40" s="488">
        <v>0.0851</v>
      </c>
      <c r="F40" s="488">
        <v>0.057</v>
      </c>
      <c r="G40" s="489" t="s">
        <v>484</v>
      </c>
      <c r="H40" s="488">
        <v>0.0821</v>
      </c>
      <c r="I40" s="488">
        <v>0.0564</v>
      </c>
      <c r="O40" s="394"/>
    </row>
    <row r="41" spans="1:15" ht="12.75">
      <c r="A41" s="381" t="s">
        <v>482</v>
      </c>
      <c r="B41" s="488">
        <v>0</v>
      </c>
      <c r="C41" s="488">
        <v>0</v>
      </c>
      <c r="D41" s="489" t="s">
        <v>482</v>
      </c>
      <c r="E41" s="488">
        <v>0.0851</v>
      </c>
      <c r="F41" s="488">
        <v>0.057</v>
      </c>
      <c r="G41" s="489" t="s">
        <v>482</v>
      </c>
      <c r="H41" s="488">
        <v>0.0821</v>
      </c>
      <c r="I41" s="488">
        <v>0.0564</v>
      </c>
      <c r="O41" s="394"/>
    </row>
    <row r="42" spans="1:15" ht="12.75">
      <c r="A42" s="381" t="s">
        <v>485</v>
      </c>
      <c r="B42" s="488">
        <v>0</v>
      </c>
      <c r="C42" s="488">
        <v>0</v>
      </c>
      <c r="D42" s="489" t="s">
        <v>485</v>
      </c>
      <c r="E42" s="488">
        <v>0.0851</v>
      </c>
      <c r="F42" s="488">
        <v>0.057</v>
      </c>
      <c r="G42" s="489" t="s">
        <v>485</v>
      </c>
      <c r="H42" s="488">
        <v>0.0821</v>
      </c>
      <c r="I42" s="488">
        <v>0.0564</v>
      </c>
      <c r="O42" s="394"/>
    </row>
    <row r="43" ht="12.75">
      <c r="O43" s="380"/>
    </row>
    <row r="44" spans="10:15" ht="12.75">
      <c r="J44" s="380"/>
      <c r="K44" s="380"/>
      <c r="L44" s="380"/>
      <c r="M44" s="380"/>
      <c r="N44" s="380"/>
      <c r="O44" s="380"/>
    </row>
    <row r="45" spans="1:15" ht="12.75">
      <c r="A45" s="380"/>
      <c r="B45" s="380" t="s">
        <v>539</v>
      </c>
      <c r="C45" s="391">
        <f>+tabel!C76</f>
        <v>40.55</v>
      </c>
      <c r="D45" s="391"/>
      <c r="E45" s="391"/>
      <c r="J45" s="380"/>
      <c r="K45" s="380"/>
      <c r="L45" s="380"/>
      <c r="M45" s="380"/>
      <c r="N45" s="380"/>
      <c r="O45" s="380"/>
    </row>
    <row r="46" spans="1:15" ht="12.75">
      <c r="A46" s="380" t="s">
        <v>518</v>
      </c>
      <c r="B46" s="380" t="s">
        <v>541</v>
      </c>
      <c r="C46" s="380"/>
      <c r="D46" s="380" t="s">
        <v>567</v>
      </c>
      <c r="E46" s="380"/>
      <c r="J46" s="380"/>
      <c r="K46" s="380"/>
      <c r="L46" s="380"/>
      <c r="M46" s="380"/>
      <c r="N46" s="380"/>
      <c r="O46" s="380"/>
    </row>
    <row r="47" spans="1:15" ht="12.75">
      <c r="A47" s="380" t="s">
        <v>514</v>
      </c>
      <c r="B47" s="379" t="s">
        <v>646</v>
      </c>
      <c r="C47" s="380" t="s">
        <v>704</v>
      </c>
      <c r="D47" s="379" t="s">
        <v>646</v>
      </c>
      <c r="E47" s="380" t="s">
        <v>704</v>
      </c>
      <c r="J47" s="380"/>
      <c r="K47" s="380"/>
      <c r="L47" s="380"/>
      <c r="M47" s="380"/>
      <c r="N47" s="380"/>
      <c r="O47" s="380"/>
    </row>
    <row r="48" spans="1:15" ht="12.75">
      <c r="A48" s="380" t="s">
        <v>473</v>
      </c>
      <c r="B48" s="421">
        <f>ROUND(+tabel!H30*tabel!$C$69,2)</f>
        <v>10923.3</v>
      </c>
      <c r="C48" s="421">
        <f>ROUND(+tabel!I30*tabel!$C$69,2)</f>
        <v>5159.87</v>
      </c>
      <c r="D48" s="493">
        <v>1391</v>
      </c>
      <c r="E48" s="493">
        <v>559</v>
      </c>
      <c r="J48" s="380"/>
      <c r="K48" s="380"/>
      <c r="L48" s="380"/>
      <c r="M48" s="380"/>
      <c r="N48" s="380"/>
      <c r="O48" s="380"/>
    </row>
    <row r="49" spans="1:15" ht="12.75">
      <c r="A49" s="380" t="s">
        <v>474</v>
      </c>
      <c r="B49" s="421">
        <f>ROUND(+tabel!H31*tabel!$C$69,2)</f>
        <v>4858.09</v>
      </c>
      <c r="C49" s="421">
        <f>ROUND(+tabel!I31*tabel!$C$69,2)</f>
        <v>3337.35</v>
      </c>
      <c r="D49" s="493">
        <v>512</v>
      </c>
      <c r="E49" s="493">
        <v>216</v>
      </c>
      <c r="J49" s="380"/>
      <c r="K49" s="380"/>
      <c r="L49" s="380"/>
      <c r="M49" s="380"/>
      <c r="N49" s="380"/>
      <c r="O49" s="380"/>
    </row>
    <row r="50" spans="1:15" ht="12.75">
      <c r="A50" s="380" t="s">
        <v>475</v>
      </c>
      <c r="B50" s="421">
        <f>ROUND(+tabel!H32*tabel!$C$69,2)</f>
        <v>4858.09</v>
      </c>
      <c r="C50" s="421">
        <f>ROUND(+tabel!I32*tabel!$C$69,2)</f>
        <v>0</v>
      </c>
      <c r="D50" s="493">
        <v>512</v>
      </c>
      <c r="E50" s="493">
        <v>0</v>
      </c>
      <c r="J50" s="380"/>
      <c r="K50" s="380"/>
      <c r="L50" s="380"/>
      <c r="M50" s="380"/>
      <c r="N50" s="380"/>
      <c r="O50" s="380"/>
    </row>
    <row r="51" spans="1:15" ht="12.75">
      <c r="A51" s="380" t="s">
        <v>476</v>
      </c>
      <c r="B51" s="421">
        <f>ROUND(+tabel!H33*tabel!$C$69,2)</f>
        <v>4858.09</v>
      </c>
      <c r="C51" s="421">
        <f>ROUND(+tabel!I33*tabel!$C$69,2)</f>
        <v>5159.87</v>
      </c>
      <c r="D51" s="493">
        <v>569</v>
      </c>
      <c r="E51" s="493">
        <v>469</v>
      </c>
      <c r="J51" s="380"/>
      <c r="K51" s="380"/>
      <c r="L51" s="380"/>
      <c r="M51" s="380"/>
      <c r="N51" s="380"/>
      <c r="O51" s="380"/>
    </row>
    <row r="52" spans="1:15" ht="12.75">
      <c r="A52" s="379" t="s">
        <v>478</v>
      </c>
      <c r="B52" s="421">
        <f>ROUND(+tabel!H34*tabel!$C$69,2)</f>
        <v>4858.09</v>
      </c>
      <c r="C52" s="421">
        <f>ROUND(+tabel!I34*tabel!$C$69,2)</f>
        <v>3337.35</v>
      </c>
      <c r="D52" s="493">
        <v>512</v>
      </c>
      <c r="E52" s="493">
        <v>274</v>
      </c>
      <c r="J52" s="380"/>
      <c r="K52" s="380"/>
      <c r="L52" s="380"/>
      <c r="M52" s="380"/>
      <c r="N52" s="380"/>
      <c r="O52" s="380"/>
    </row>
    <row r="53" spans="1:15" ht="12.75">
      <c r="A53" s="379" t="s">
        <v>479</v>
      </c>
      <c r="B53" s="421">
        <f>ROUND(+tabel!H35*tabel!$C$69,2)</f>
        <v>4858.09</v>
      </c>
      <c r="C53" s="421">
        <f>ROUND(+tabel!I35*tabel!$C$69,2)</f>
        <v>3337.35</v>
      </c>
      <c r="D53" s="493">
        <v>512</v>
      </c>
      <c r="E53" s="493">
        <v>274</v>
      </c>
      <c r="J53" s="380"/>
      <c r="K53" s="380"/>
      <c r="L53" s="380"/>
      <c r="M53" s="380"/>
      <c r="N53" s="380"/>
      <c r="O53" s="380"/>
    </row>
    <row r="54" spans="1:15" ht="12.75">
      <c r="A54" s="380" t="s">
        <v>477</v>
      </c>
      <c r="B54" s="421">
        <f>ROUND(+tabel!H36*tabel!$C$69,2)</f>
        <v>4858.09</v>
      </c>
      <c r="C54" s="421">
        <f>ROUND(+tabel!I36*tabel!$C$69,2)</f>
        <v>3337.35</v>
      </c>
      <c r="D54" s="493">
        <v>342</v>
      </c>
      <c r="E54" s="493">
        <v>149</v>
      </c>
      <c r="J54" s="380"/>
      <c r="K54" s="380"/>
      <c r="L54" s="380"/>
      <c r="M54" s="380"/>
      <c r="N54" s="380"/>
      <c r="O54" s="380"/>
    </row>
    <row r="55" spans="1:15" ht="12.75">
      <c r="A55" s="380" t="s">
        <v>480</v>
      </c>
      <c r="B55" s="421">
        <f>ROUND(+tabel!H37*tabel!$C$69,2)</f>
        <v>4858.09</v>
      </c>
      <c r="C55" s="421">
        <f>ROUND(+tabel!I37*tabel!$C$69,2)</f>
        <v>3337.35</v>
      </c>
      <c r="D55" s="493">
        <v>512</v>
      </c>
      <c r="E55" s="493">
        <v>274</v>
      </c>
      <c r="J55" s="380"/>
      <c r="K55" s="380"/>
      <c r="L55" s="380"/>
      <c r="M55" s="380"/>
      <c r="N55" s="380"/>
      <c r="O55" s="380"/>
    </row>
    <row r="56" spans="1:15" ht="12.75">
      <c r="A56" s="380" t="s">
        <v>481</v>
      </c>
      <c r="B56" s="421">
        <f>ROUND(+tabel!H38*tabel!$C$69,2)</f>
        <v>4858.09</v>
      </c>
      <c r="C56" s="421">
        <f>ROUND(+tabel!I38*tabel!$C$69,2)</f>
        <v>3337.35</v>
      </c>
      <c r="D56" s="493">
        <v>512</v>
      </c>
      <c r="E56" s="493">
        <v>274</v>
      </c>
      <c r="J56" s="380"/>
      <c r="K56" s="380"/>
      <c r="L56" s="380"/>
      <c r="M56" s="380"/>
      <c r="N56" s="380"/>
      <c r="O56" s="380"/>
    </row>
    <row r="57" spans="1:15" ht="12.75">
      <c r="A57" s="381" t="s">
        <v>483</v>
      </c>
      <c r="B57" s="421">
        <f>ROUND(+tabel!H39*tabel!$C$69,2)</f>
        <v>4858.09</v>
      </c>
      <c r="C57" s="421">
        <f>ROUND(+tabel!I39*tabel!$C$69,2)</f>
        <v>3337.35</v>
      </c>
      <c r="D57" s="493">
        <v>512</v>
      </c>
      <c r="E57" s="493">
        <v>274</v>
      </c>
      <c r="J57" s="380"/>
      <c r="K57" s="380"/>
      <c r="L57" s="380"/>
      <c r="M57" s="380"/>
      <c r="N57" s="380"/>
      <c r="O57" s="380"/>
    </row>
    <row r="58" spans="1:15" ht="12.75">
      <c r="A58" s="381" t="s">
        <v>484</v>
      </c>
      <c r="B58" s="421">
        <f>ROUND(+tabel!H40*tabel!$C$69,2)</f>
        <v>4858.09</v>
      </c>
      <c r="C58" s="421">
        <f>ROUND(+tabel!I40*tabel!$C$69,2)</f>
        <v>3337.35</v>
      </c>
      <c r="D58" s="493">
        <v>512</v>
      </c>
      <c r="E58" s="493">
        <v>274</v>
      </c>
      <c r="J58" s="380"/>
      <c r="K58" s="380"/>
      <c r="L58" s="380"/>
      <c r="M58" s="380"/>
      <c r="N58" s="380"/>
      <c r="O58" s="380"/>
    </row>
    <row r="59" spans="1:15" ht="12.75">
      <c r="A59" s="381" t="s">
        <v>482</v>
      </c>
      <c r="B59" s="421">
        <f>ROUND(+tabel!H41*tabel!$C$69,2)</f>
        <v>4858.09</v>
      </c>
      <c r="C59" s="421">
        <f>ROUND(+tabel!I41*tabel!$C$69,2)</f>
        <v>3337.35</v>
      </c>
      <c r="D59" s="493">
        <v>512</v>
      </c>
      <c r="E59" s="493">
        <v>274</v>
      </c>
      <c r="J59" s="380"/>
      <c r="K59" s="380"/>
      <c r="L59" s="380"/>
      <c r="M59" s="380"/>
      <c r="N59" s="380"/>
      <c r="O59" s="380"/>
    </row>
    <row r="60" spans="1:15" ht="12.75">
      <c r="A60" s="381" t="s">
        <v>485</v>
      </c>
      <c r="B60" s="421">
        <f>ROUND(+tabel!H42*tabel!$C$69,2)</f>
        <v>4858.09</v>
      </c>
      <c r="C60" s="421">
        <f>ROUND(+tabel!I42*tabel!$C$69,2)</f>
        <v>3337.35</v>
      </c>
      <c r="D60" s="493">
        <v>512</v>
      </c>
      <c r="E60" s="493">
        <v>274</v>
      </c>
      <c r="J60" s="380"/>
      <c r="K60" s="380"/>
      <c r="L60" s="380"/>
      <c r="M60" s="380"/>
      <c r="N60" s="380"/>
      <c r="O60" s="380"/>
    </row>
    <row r="61" spans="1:15" ht="12.75">
      <c r="A61" s="380"/>
      <c r="B61" s="380"/>
      <c r="C61" s="380"/>
      <c r="D61" s="380" t="s">
        <v>568</v>
      </c>
      <c r="E61" s="380"/>
      <c r="J61" s="380"/>
      <c r="K61" s="380"/>
      <c r="L61" s="380"/>
      <c r="M61" s="380"/>
      <c r="N61" s="380"/>
      <c r="O61" s="380"/>
    </row>
    <row r="62" ht="12.75"/>
    <row r="63" spans="1:4" ht="12.75">
      <c r="A63" s="379" t="s">
        <v>519</v>
      </c>
      <c r="B63" s="488">
        <v>0.0385</v>
      </c>
      <c r="C63" s="380"/>
      <c r="D63" s="380"/>
    </row>
    <row r="64" spans="1:4" ht="12.75">
      <c r="A64" s="388" t="s">
        <v>529</v>
      </c>
      <c r="B64" s="488">
        <v>1.1734</v>
      </c>
      <c r="C64" s="380"/>
      <c r="D64" s="380"/>
    </row>
    <row r="65" spans="1:4" ht="12.75">
      <c r="A65" s="380"/>
      <c r="B65" s="380"/>
      <c r="C65" s="380"/>
      <c r="D65" s="380"/>
    </row>
    <row r="66" ht="12.75"/>
    <row r="67" ht="12.75">
      <c r="A67" s="382" t="s">
        <v>531</v>
      </c>
    </row>
    <row r="68" spans="1:4" ht="12.75">
      <c r="A68" s="383" t="s">
        <v>532</v>
      </c>
      <c r="C68" s="371">
        <v>75228.98</v>
      </c>
      <c r="D68" s="371">
        <v>75228.98</v>
      </c>
    </row>
    <row r="69" spans="1:4" ht="12.75">
      <c r="A69" s="383" t="s">
        <v>533</v>
      </c>
      <c r="C69" s="371">
        <v>59172.8</v>
      </c>
      <c r="D69" s="371">
        <v>59172.8</v>
      </c>
    </row>
    <row r="70" spans="1:4" ht="12.75">
      <c r="A70" s="383" t="s">
        <v>534</v>
      </c>
      <c r="C70" s="370">
        <f>+C68-C69</f>
        <v>16056.179999999993</v>
      </c>
      <c r="D70" s="370">
        <f>+D68-D69</f>
        <v>16056.179999999993</v>
      </c>
    </row>
    <row r="71" spans="1:4" ht="12.75">
      <c r="A71" s="383" t="s">
        <v>297</v>
      </c>
      <c r="C71" s="371">
        <v>4765</v>
      </c>
      <c r="D71" s="371">
        <v>4765</v>
      </c>
    </row>
    <row r="72" spans="1:4" ht="12.75">
      <c r="A72" s="383"/>
      <c r="C72" s="370"/>
      <c r="D72" s="370"/>
    </row>
    <row r="73" spans="1:4" ht="12.75">
      <c r="A73" s="383" t="s">
        <v>535</v>
      </c>
      <c r="C73" s="371">
        <v>35820.89</v>
      </c>
      <c r="D73" s="371">
        <v>35820.89</v>
      </c>
    </row>
    <row r="74" spans="1:4" ht="12.75">
      <c r="A74" s="383" t="s">
        <v>536</v>
      </c>
      <c r="C74" s="371">
        <v>20858.57</v>
      </c>
      <c r="D74" s="371">
        <v>20858.57</v>
      </c>
    </row>
    <row r="75" spans="1:4" ht="12.75">
      <c r="A75" s="389" t="s">
        <v>537</v>
      </c>
      <c r="C75" s="371">
        <v>944.86</v>
      </c>
      <c r="D75" s="371">
        <v>944.86</v>
      </c>
    </row>
    <row r="76" spans="1:4" ht="12.75">
      <c r="A76" s="389" t="s">
        <v>333</v>
      </c>
      <c r="C76" s="399">
        <v>40.55</v>
      </c>
      <c r="D76" s="399">
        <v>41.55</v>
      </c>
    </row>
    <row r="77" spans="1:4" ht="12.75">
      <c r="A77" s="366" t="s">
        <v>656</v>
      </c>
      <c r="C77" s="390">
        <f>+geg!I24</f>
        <v>43.06</v>
      </c>
      <c r="D77" s="390">
        <f>geg!L24</f>
        <v>43.06</v>
      </c>
    </row>
    <row r="78" spans="1:4" ht="12.75">
      <c r="A78" s="366" t="s">
        <v>657</v>
      </c>
      <c r="C78" s="370">
        <f>ROUND(+C74+C77*C75,2)</f>
        <v>61544.24</v>
      </c>
      <c r="D78" s="370">
        <f>ROUND(+D74+D77*D75,2)</f>
        <v>61544.24</v>
      </c>
    </row>
    <row r="79" ht="12.75"/>
    <row r="80" ht="12.75"/>
    <row r="81" spans="1:7" ht="12.75">
      <c r="A81" s="380"/>
      <c r="B81" s="380"/>
      <c r="C81" s="380" t="s">
        <v>470</v>
      </c>
      <c r="D81" s="380" t="s">
        <v>542</v>
      </c>
      <c r="E81" s="380"/>
      <c r="F81" s="380"/>
      <c r="G81" s="380"/>
    </row>
    <row r="82" spans="1:7" ht="12.75">
      <c r="A82" s="380" t="s">
        <v>543</v>
      </c>
      <c r="B82" s="380"/>
      <c r="C82" s="396">
        <f>ROUND(tabel!C74*tabel!$B$64,2)</f>
        <v>24475.45</v>
      </c>
      <c r="D82" s="396">
        <f>ROUND(tabel!C75*tabel!$B$64,2)</f>
        <v>1108.7</v>
      </c>
      <c r="E82" s="421">
        <f>+C82+D82*tabel!C76</f>
        <v>69433.235</v>
      </c>
      <c r="F82" s="380"/>
      <c r="G82" s="380"/>
    </row>
    <row r="83" spans="1:7" ht="12.75">
      <c r="A83" s="366" t="s">
        <v>544</v>
      </c>
      <c r="B83" s="380"/>
      <c r="C83" s="380">
        <f>ROUND(tabel!$B$63*tabel!C74,2)</f>
        <v>803.05</v>
      </c>
      <c r="D83" s="391">
        <f>ROUND(tabel!$B$63*tabel!C75,2)</f>
        <v>36.38</v>
      </c>
      <c r="E83" s="380"/>
      <c r="F83" s="380"/>
      <c r="G83" s="380"/>
    </row>
    <row r="84" spans="2:7" ht="12.75">
      <c r="B84" s="380"/>
      <c r="C84" s="380"/>
      <c r="D84" s="391"/>
      <c r="E84" s="380"/>
      <c r="F84" s="380"/>
      <c r="G84" s="380"/>
    </row>
    <row r="85" spans="1:7" ht="12.75">
      <c r="A85" s="380"/>
      <c r="B85" s="380"/>
      <c r="C85" s="380"/>
      <c r="D85" s="380"/>
      <c r="E85" s="380"/>
      <c r="F85" s="380"/>
      <c r="G85" s="380"/>
    </row>
    <row r="86" spans="1:8" ht="12.75">
      <c r="A86" s="380"/>
      <c r="C86" s="380" t="s">
        <v>470</v>
      </c>
      <c r="D86" s="380"/>
      <c r="E86" s="380"/>
      <c r="F86" s="380" t="s">
        <v>538</v>
      </c>
      <c r="G86" s="380"/>
      <c r="H86" s="380"/>
    </row>
    <row r="87" spans="1:8" ht="12.75">
      <c r="A87" s="380" t="s">
        <v>514</v>
      </c>
      <c r="C87" s="379" t="s">
        <v>515</v>
      </c>
      <c r="D87" s="379" t="s">
        <v>517</v>
      </c>
      <c r="E87" s="380" t="s">
        <v>486</v>
      </c>
      <c r="F87" s="379" t="s">
        <v>515</v>
      </c>
      <c r="G87" s="379" t="s">
        <v>517</v>
      </c>
      <c r="H87" s="380" t="s">
        <v>486</v>
      </c>
    </row>
    <row r="88" spans="1:8" ht="12.75">
      <c r="A88" s="380" t="s">
        <v>473</v>
      </c>
      <c r="C88" s="421">
        <f>ROUND(tabel!$C74*tabel!B$13+tabel!$C73*tabel!E$13,2)</f>
        <v>11604.92</v>
      </c>
      <c r="D88" s="421">
        <f>ROUND(tabel!$C74*tabel!C$13+tabel!$C73*tabel!F$13,2)</f>
        <v>6317.85</v>
      </c>
      <c r="E88" s="421">
        <f>ROUND(tabel!$C74*tabel!D$13+tabel!$C73*tabel!G$13,2)</f>
        <v>6330.28</v>
      </c>
      <c r="F88" s="421">
        <f>ROUND(tabel!B$13*tabel!$C75,2)</f>
        <v>202.29</v>
      </c>
      <c r="G88" s="421">
        <f>ROUND(tabel!C$13*tabel!$C75,2)</f>
        <v>200.03</v>
      </c>
      <c r="H88" s="421">
        <f>ROUND(tabel!D$13*tabel!$C75,2)</f>
        <v>210.33</v>
      </c>
    </row>
    <row r="89" spans="1:8" ht="12.75">
      <c r="A89" s="380" t="s">
        <v>474</v>
      </c>
      <c r="C89" s="421">
        <f>ROUND(tabel!$C74*tabel!B$14+tabel!$C73*tabel!E$14,2)</f>
        <v>8307.01</v>
      </c>
      <c r="D89" s="421">
        <f>ROUND(tabel!$C74*tabel!C$14+tabel!$C73*tabel!F$14,2)</f>
        <v>4834.83</v>
      </c>
      <c r="E89" s="421">
        <f>ROUND(tabel!$C74*tabel!D$14+tabel!$C73*tabel!G$14,2)</f>
        <v>6546.64</v>
      </c>
      <c r="F89" s="421">
        <f>ROUND(tabel!B$14*tabel!$C75,2)</f>
        <v>110.83</v>
      </c>
      <c r="G89" s="421">
        <f>ROUND(tabel!C$14*tabel!$C75,2)</f>
        <v>109.32</v>
      </c>
      <c r="H89" s="421">
        <f>ROUND(tabel!D$14*tabel!$C75,2)</f>
        <v>188.97</v>
      </c>
    </row>
    <row r="90" spans="1:8" ht="12.75">
      <c r="A90" s="380" t="s">
        <v>475</v>
      </c>
      <c r="C90" s="421">
        <f>ROUND(tabel!$C74*tabel!B$15+tabel!$C73*tabel!E$15,2)</f>
        <v>8081.34</v>
      </c>
      <c r="D90" s="421">
        <f>ROUND(tabel!$C74*tabel!C$15+tabel!$C73*tabel!F$15,2)</f>
        <v>4609.16</v>
      </c>
      <c r="E90" s="421">
        <f>ROUND(tabel!$C74*tabel!D$15+tabel!$C73*tabel!G$15,2)</f>
        <v>0</v>
      </c>
      <c r="F90" s="421">
        <f>ROUND(tabel!B$15*tabel!$C75,2)</f>
        <v>110.83</v>
      </c>
      <c r="G90" s="421">
        <f>ROUND(tabel!C$15*tabel!$C75,2)</f>
        <v>109.32</v>
      </c>
      <c r="H90" s="421">
        <f>ROUND(tabel!D$15*tabel!$C75,2)</f>
        <v>0</v>
      </c>
    </row>
    <row r="91" spans="1:8" ht="12.75">
      <c r="A91" s="380" t="s">
        <v>476</v>
      </c>
      <c r="C91" s="421">
        <f>ROUND(tabel!$C74*tabel!B$16+tabel!$C73*tabel!E$16,2)</f>
        <v>10655.63</v>
      </c>
      <c r="D91" s="421">
        <f>ROUND(tabel!$C74*tabel!C$16+tabel!$C73*tabel!F$16,2)</f>
        <v>10655.63</v>
      </c>
      <c r="E91" s="421">
        <f>ROUND(tabel!$C74*tabel!D$16+tabel!$C73*tabel!G$16,2)</f>
        <v>11239.4</v>
      </c>
      <c r="F91" s="421">
        <f>ROUND(tabel!B$16*tabel!$C75,2)</f>
        <v>111.59</v>
      </c>
      <c r="G91" s="421">
        <f>ROUND(tabel!C$16*tabel!$C75,2)</f>
        <v>111.59</v>
      </c>
      <c r="H91" s="421">
        <f>ROUND(tabel!D$16*tabel!$C75,2)</f>
        <v>190.77</v>
      </c>
    </row>
    <row r="92" spans="1:8" ht="12.75">
      <c r="A92" s="379" t="s">
        <v>478</v>
      </c>
      <c r="C92" s="421">
        <f>ROUND(tabel!$C74*tabel!B$17+tabel!$C73*tabel!E$17,2)</f>
        <v>9651.37</v>
      </c>
      <c r="D92" s="421">
        <f>ROUND(tabel!$C74*tabel!C$17+tabel!$C73*tabel!F$17,2)</f>
        <v>4905.78</v>
      </c>
      <c r="E92" s="421">
        <f>ROUND(tabel!$C74*tabel!D$17+tabel!$C73*tabel!G$17,2)</f>
        <v>5876.5</v>
      </c>
      <c r="F92" s="421">
        <f>ROUND(tabel!B$17*tabel!$C75,2)</f>
        <v>98.55</v>
      </c>
      <c r="G92" s="421">
        <f>ROUND(tabel!C$17*tabel!$C75,2)</f>
        <v>96.47</v>
      </c>
      <c r="H92" s="421">
        <f>ROUND(tabel!D$17*tabel!$C75,2)</f>
        <v>173.38</v>
      </c>
    </row>
    <row r="93" spans="1:8" ht="12.75">
      <c r="A93" s="379" t="s">
        <v>479</v>
      </c>
      <c r="C93" s="421">
        <f>ROUND(tabel!$C74*tabel!B$18+tabel!$C73*tabel!E$18,2)</f>
        <v>7136.49</v>
      </c>
      <c r="D93" s="421">
        <f>ROUND(tabel!$C74*tabel!C$18+tabel!$C73*tabel!F$18,2)</f>
        <v>4684.89</v>
      </c>
      <c r="E93" s="421">
        <f>ROUND(tabel!$C74*tabel!D$18+tabel!$C73*tabel!G$18,2)</f>
        <v>5450.73</v>
      </c>
      <c r="F93" s="421">
        <f>ROUND(tabel!B$18*tabel!$C75,2)</f>
        <v>120.28</v>
      </c>
      <c r="G93" s="421">
        <f>ROUND(tabel!C$18*tabel!$C75,2)</f>
        <v>119.24</v>
      </c>
      <c r="H93" s="421">
        <f>ROUND(tabel!D$18*tabel!$C75,2)</f>
        <v>175.84</v>
      </c>
    </row>
    <row r="94" spans="1:8" ht="12.75">
      <c r="A94" s="380" t="s">
        <v>477</v>
      </c>
      <c r="C94" s="421">
        <f>ROUND(tabel!$C74*tabel!B$19+tabel!$C73*tabel!E$19,2)</f>
        <v>5468.81</v>
      </c>
      <c r="D94" s="421">
        <f>ROUND(tabel!$C74*tabel!C$19+tabel!$C73*tabel!F$19,2)</f>
        <v>5468.81</v>
      </c>
      <c r="E94" s="421">
        <f>ROUND(tabel!$C74*tabel!D$19+tabel!$C73*tabel!G$19,2)</f>
        <v>6007.94</v>
      </c>
      <c r="F94" s="421">
        <f>ROUND(tabel!B$19*tabel!$C75,2)</f>
        <v>102.99</v>
      </c>
      <c r="G94" s="421">
        <f>ROUND(tabel!C$19*tabel!$C75,2)</f>
        <v>102.99</v>
      </c>
      <c r="H94" s="421">
        <f>ROUND(tabel!D$19*tabel!$C75,2)</f>
        <v>155.81</v>
      </c>
    </row>
    <row r="95" spans="1:8" ht="12.75">
      <c r="A95" s="380" t="s">
        <v>480</v>
      </c>
      <c r="C95" s="421">
        <f>ROUND(tabel!$C74*tabel!B$20+tabel!$C73*tabel!E$20,2)</f>
        <v>7136.49</v>
      </c>
      <c r="D95" s="421">
        <f>ROUND(tabel!$C74*tabel!C$20+tabel!$C73*tabel!F$20,2)</f>
        <v>4684.89</v>
      </c>
      <c r="E95" s="421">
        <f>ROUND(tabel!$C74*tabel!D$20+tabel!$C73*tabel!G$20,2)</f>
        <v>5450.73</v>
      </c>
      <c r="F95" s="421">
        <f>ROUND(tabel!B$20*tabel!$C75,2)</f>
        <v>120.28</v>
      </c>
      <c r="G95" s="421">
        <f>ROUND(tabel!C$20*tabel!$C75,2)</f>
        <v>119.24</v>
      </c>
      <c r="H95" s="421">
        <f>ROUND(tabel!D$20*tabel!$C75,2)</f>
        <v>175.84</v>
      </c>
    </row>
    <row r="96" spans="1:8" ht="12.75">
      <c r="A96" s="380" t="s">
        <v>481</v>
      </c>
      <c r="C96" s="421">
        <f>ROUND(tabel!$C74*tabel!B$21+tabel!$C73*tabel!E$21,2)</f>
        <v>7136.49</v>
      </c>
      <c r="D96" s="421">
        <f>ROUND(tabel!$C74*tabel!C$21+tabel!$C73*tabel!F$21,2)</f>
        <v>4684.89</v>
      </c>
      <c r="E96" s="421">
        <f>ROUND(tabel!$C74*tabel!D$21+tabel!$C73*tabel!G$21,2)</f>
        <v>5450.73</v>
      </c>
      <c r="F96" s="421">
        <f>ROUND(tabel!B$21*tabel!$C75,2)</f>
        <v>120.28</v>
      </c>
      <c r="G96" s="421">
        <f>ROUND(tabel!C$21*tabel!$C75,2)</f>
        <v>119.24</v>
      </c>
      <c r="H96" s="421">
        <f>ROUND(tabel!D$21*tabel!$C75,2)</f>
        <v>175.84</v>
      </c>
    </row>
    <row r="97" spans="1:8" ht="12.75">
      <c r="A97" s="381" t="s">
        <v>483</v>
      </c>
      <c r="B97" s="380" t="s">
        <v>662</v>
      </c>
      <c r="C97" s="421">
        <f>ROUND(tabel!$C74*tabel!B$22+tabel!$C73*tabel!E$22,2)</f>
        <v>15794.08</v>
      </c>
      <c r="D97" s="421">
        <f>ROUND(tabel!$C74*tabel!C$22+tabel!$C73*tabel!F$22,2)</f>
        <v>12180.12</v>
      </c>
      <c r="E97" s="421">
        <f>ROUND(tabel!$C74*tabel!D$22+tabel!$C73*tabel!G$22,2)</f>
        <v>10511.77</v>
      </c>
      <c r="F97" s="421">
        <f>ROUND(tabel!B$22*tabel!$C75,2)</f>
        <v>380.21</v>
      </c>
      <c r="G97" s="421">
        <f>ROUND(tabel!C$22*tabel!$C75,2)</f>
        <v>378.61</v>
      </c>
      <c r="H97" s="421">
        <f>ROUND(tabel!D$22*tabel!$C75,2)</f>
        <v>378.32</v>
      </c>
    </row>
    <row r="98" spans="1:8" ht="12.75">
      <c r="A98" s="381" t="s">
        <v>485</v>
      </c>
      <c r="B98" s="380"/>
      <c r="C98" s="421">
        <f>ROUND(tabel!$C74*tabel!B$23+tabel!$C73*tabel!E$23,2)</f>
        <v>20842.5</v>
      </c>
      <c r="D98" s="421">
        <f>ROUND(tabel!$C74*tabel!C$23+tabel!$C73*tabel!F$23,2)</f>
        <v>15555.43</v>
      </c>
      <c r="E98" s="421">
        <f>ROUND(tabel!$C74*tabel!D$23+tabel!$C73*tabel!G$23,2)</f>
        <v>15555.43</v>
      </c>
      <c r="F98" s="421">
        <f>ROUND(tabel!B$23*tabel!$C75,2)</f>
        <v>569.47</v>
      </c>
      <c r="G98" s="421">
        <f>ROUND(tabel!C$23*tabel!$C75,2)</f>
        <v>567.2</v>
      </c>
      <c r="H98" s="421">
        <f>ROUND(tabel!D$23*tabel!$C75,2)</f>
        <v>567.2</v>
      </c>
    </row>
    <row r="99" spans="1:8" ht="12.75">
      <c r="A99" s="381" t="s">
        <v>484</v>
      </c>
      <c r="B99" s="380" t="s">
        <v>663</v>
      </c>
      <c r="C99" s="421">
        <f>ROUND(tabel!$C74*tabel!B$24+tabel!$C73*tabel!E$24,2)</f>
        <v>10345.15</v>
      </c>
      <c r="D99" s="421">
        <f>ROUND(tabel!$C74*tabel!C$24+tabel!$C73*tabel!F$24,2)</f>
        <v>7701.61</v>
      </c>
      <c r="E99" s="421">
        <f>ROUND(tabel!$C74*tabel!D$24+tabel!$C73*tabel!G$24,2)</f>
        <v>7211.01</v>
      </c>
      <c r="F99" s="421">
        <f>ROUND(tabel!B$24*tabel!$C75,2)</f>
        <v>188.88</v>
      </c>
      <c r="G99" s="421">
        <f>ROUND(tabel!C$24*tabel!$C75,2)</f>
        <v>187.74</v>
      </c>
      <c r="H99" s="421">
        <f>ROUND(tabel!D$24*tabel!$C75,2)</f>
        <v>191.81</v>
      </c>
    </row>
    <row r="100" spans="1:8" ht="12.75">
      <c r="A100" s="381" t="s">
        <v>482</v>
      </c>
      <c r="B100" s="380" t="s">
        <v>664</v>
      </c>
      <c r="C100" s="421">
        <f>ROUND(tabel!$C74*tabel!B$25+tabel!$C73*tabel!E$25,2)</f>
        <v>14272.2</v>
      </c>
      <c r="D100" s="421">
        <f>ROUND(tabel!$C74*tabel!C$25+tabel!$C73*tabel!F$25,2)</f>
        <v>14272.2</v>
      </c>
      <c r="E100" s="421">
        <f>ROUND(tabel!$C74*tabel!D$25+tabel!$C73*tabel!G$25,2)</f>
        <v>14660.44</v>
      </c>
      <c r="F100" s="421">
        <f>ROUND(tabel!B$25*tabel!$C75,2)</f>
        <v>176.59</v>
      </c>
      <c r="G100" s="421">
        <f>ROUND(tabel!C$25*tabel!$C75,2)</f>
        <v>176.59</v>
      </c>
      <c r="H100" s="421">
        <f>ROUND(tabel!D$25*tabel!$C75,2)</f>
        <v>194.83</v>
      </c>
    </row>
    <row r="101" ht="12.75"/>
    <row r="102" ht="12.75"/>
    <row r="103" spans="1:8" ht="12.75">
      <c r="A103" s="386" t="s">
        <v>493</v>
      </c>
      <c r="B103" s="380"/>
      <c r="C103" s="380"/>
      <c r="D103" s="380"/>
      <c r="E103" s="380"/>
      <c r="F103" s="380" t="s">
        <v>539</v>
      </c>
      <c r="G103" s="391">
        <f>+tabel!C76</f>
        <v>40.55</v>
      </c>
      <c r="H103" s="380"/>
    </row>
    <row r="104" spans="1:8" ht="12.75">
      <c r="A104" s="386" t="s">
        <v>512</v>
      </c>
      <c r="B104" s="380" t="s">
        <v>470</v>
      </c>
      <c r="C104" s="380"/>
      <c r="D104" s="380" t="s">
        <v>538</v>
      </c>
      <c r="E104" s="380"/>
      <c r="F104" s="380" t="s">
        <v>512</v>
      </c>
      <c r="G104" s="380" t="s">
        <v>540</v>
      </c>
      <c r="H104" s="380"/>
    </row>
    <row r="105" spans="1:8" ht="12.75">
      <c r="A105" s="380" t="s">
        <v>514</v>
      </c>
      <c r="B105" s="379" t="s">
        <v>469</v>
      </c>
      <c r="C105" s="380" t="s">
        <v>486</v>
      </c>
      <c r="D105" s="379" t="s">
        <v>469</v>
      </c>
      <c r="E105" s="380" t="s">
        <v>486</v>
      </c>
      <c r="F105" s="380" t="s">
        <v>514</v>
      </c>
      <c r="G105" s="379" t="s">
        <v>469</v>
      </c>
      <c r="H105" s="380" t="s">
        <v>486</v>
      </c>
    </row>
    <row r="106" spans="1:8" ht="12.75">
      <c r="A106" s="380" t="s">
        <v>473</v>
      </c>
      <c r="B106" s="421">
        <f>ROUND(tabel!$C74*tabel!B$30,2)</f>
        <v>0</v>
      </c>
      <c r="C106" s="421">
        <f>ROUND(tabel!$C$74*tabel!C30,2)</f>
        <v>254.47</v>
      </c>
      <c r="D106" s="421">
        <f>ROUND(tabel!B$30*tabel!$C75,2)</f>
        <v>0</v>
      </c>
      <c r="E106" s="421">
        <f>ROUND(tabel!C$30*tabel!$C75,2)</f>
        <v>11.53</v>
      </c>
      <c r="F106" s="380" t="s">
        <v>473</v>
      </c>
      <c r="G106" s="421">
        <f>+tabel!B106+ROUND(tabel!D106*$G$103,2)</f>
        <v>0</v>
      </c>
      <c r="H106" s="421">
        <f>+tabel!C106+ROUND(tabel!E106*$G$103,2)</f>
        <v>722.01</v>
      </c>
    </row>
    <row r="107" spans="1:8" ht="12.75">
      <c r="A107" s="380" t="s">
        <v>474</v>
      </c>
      <c r="B107" s="421">
        <f>ROUND(tabel!$C74*tabel!B$31,2)</f>
        <v>237.79</v>
      </c>
      <c r="C107" s="421">
        <f>ROUND(tabel!$C$74*tabel!C31,2)</f>
        <v>0</v>
      </c>
      <c r="D107" s="421">
        <f>ROUND(tabel!B$31*tabel!$C75,2)</f>
        <v>10.77</v>
      </c>
      <c r="E107" s="421">
        <f>ROUND(tabel!C$31*tabel!$C75,2)</f>
        <v>0</v>
      </c>
      <c r="F107" s="380" t="s">
        <v>474</v>
      </c>
      <c r="G107" s="421">
        <f>+tabel!B107+ROUND(tabel!D107*$G$103,2)</f>
        <v>674.51</v>
      </c>
      <c r="H107" s="421">
        <f>+tabel!C107+ROUND(tabel!E107*$G$103,2)</f>
        <v>0</v>
      </c>
    </row>
    <row r="108" spans="1:8" ht="12.75">
      <c r="A108" s="380" t="s">
        <v>475</v>
      </c>
      <c r="B108" s="421">
        <f>ROUND(tabel!$C74*tabel!B$32,2)</f>
        <v>239.87</v>
      </c>
      <c r="C108" s="421">
        <f>ROUND(tabel!$C$74*tabel!C32,2)</f>
        <v>0</v>
      </c>
      <c r="D108" s="421">
        <f>ROUND(tabel!B$32*tabel!$C75,2)</f>
        <v>10.87</v>
      </c>
      <c r="E108" s="421">
        <f>ROUND(tabel!C$32*tabel!$C75,2)</f>
        <v>0</v>
      </c>
      <c r="F108" s="380" t="s">
        <v>475</v>
      </c>
      <c r="G108" s="421">
        <f>+tabel!B108+ROUND(tabel!D108*$G$103,2)</f>
        <v>680.65</v>
      </c>
      <c r="H108" s="421">
        <f>+tabel!C108+ROUND(tabel!E108*$G$103,2)</f>
        <v>0</v>
      </c>
    </row>
    <row r="109" spans="1:8" ht="12.75">
      <c r="A109" s="380" t="s">
        <v>476</v>
      </c>
      <c r="B109" s="421">
        <f>ROUND(tabel!$C74*tabel!B$33,2)</f>
        <v>1030.41</v>
      </c>
      <c r="C109" s="421">
        <f>ROUND(tabel!$C$74*tabel!C33,2)</f>
        <v>223.19</v>
      </c>
      <c r="D109" s="421">
        <f>ROUND(tabel!B$33*tabel!$C75,2)</f>
        <v>46.68</v>
      </c>
      <c r="E109" s="421">
        <f>ROUND(tabel!C$33*tabel!$C75,2)</f>
        <v>10.11</v>
      </c>
      <c r="F109" s="380" t="s">
        <v>476</v>
      </c>
      <c r="G109" s="421">
        <f>+tabel!B109+ROUND(tabel!D109*$G$103,2)</f>
        <v>2923.2799999999997</v>
      </c>
      <c r="H109" s="421">
        <f>+tabel!C109+ROUND(tabel!E109*$G$103,2)</f>
        <v>633.15</v>
      </c>
    </row>
    <row r="110" spans="1:8" ht="12.75">
      <c r="A110" s="379" t="s">
        <v>478</v>
      </c>
      <c r="B110" s="421">
        <f>ROUND(tabel!$C74*tabel!B$34,2)</f>
        <v>10.43</v>
      </c>
      <c r="C110" s="421">
        <f>ROUND(tabel!$C$74*tabel!C34,2)</f>
        <v>0</v>
      </c>
      <c r="D110" s="421">
        <f>ROUND(tabel!B$34*tabel!$C75,2)</f>
        <v>0.47</v>
      </c>
      <c r="E110" s="421">
        <f>ROUND(tabel!C$34*tabel!$C75,2)</f>
        <v>0</v>
      </c>
      <c r="F110" s="379" t="s">
        <v>478</v>
      </c>
      <c r="G110" s="421">
        <f>+tabel!B110+ROUND(tabel!D110*$G$103,2)</f>
        <v>29.49</v>
      </c>
      <c r="H110" s="421">
        <f>+tabel!C110+ROUND(tabel!E110*$G$103,2)</f>
        <v>0</v>
      </c>
    </row>
    <row r="111" spans="1:8" ht="12.75">
      <c r="A111" s="379" t="s">
        <v>479</v>
      </c>
      <c r="B111" s="421">
        <f>ROUND(tabel!$C74*tabel!B$35,2)</f>
        <v>62.58</v>
      </c>
      <c r="C111" s="421">
        <f>ROUND(tabel!$C$74*tabel!C35,2)</f>
        <v>106.38</v>
      </c>
      <c r="D111" s="421">
        <f>ROUND(tabel!B$35*tabel!$C75,2)</f>
        <v>2.83</v>
      </c>
      <c r="E111" s="421">
        <f>ROUND(tabel!C$35*tabel!$C75,2)</f>
        <v>4.82</v>
      </c>
      <c r="F111" s="379" t="s">
        <v>479</v>
      </c>
      <c r="G111" s="421">
        <f>+tabel!B111+ROUND(tabel!D111*$G$103,2)</f>
        <v>177.34</v>
      </c>
      <c r="H111" s="421">
        <f>+tabel!C111+ROUND(tabel!E111*$G$103,2)</f>
        <v>301.83</v>
      </c>
    </row>
    <row r="112" spans="1:8" ht="12.75">
      <c r="A112" s="380" t="s">
        <v>477</v>
      </c>
      <c r="B112" s="421">
        <f>ROUND(tabel!$C74*tabel!B$36,2)</f>
        <v>25.03</v>
      </c>
      <c r="C112" s="421">
        <f>ROUND(tabel!$C$74*tabel!C36,2)</f>
        <v>0</v>
      </c>
      <c r="D112" s="421">
        <f>ROUND(tabel!B$36*tabel!$C75,2)</f>
        <v>1.13</v>
      </c>
      <c r="E112" s="421">
        <f>ROUND(tabel!C$36*tabel!$C75,2)</f>
        <v>0</v>
      </c>
      <c r="F112" s="380" t="s">
        <v>477</v>
      </c>
      <c r="G112" s="421">
        <f>+tabel!B112+ROUND(tabel!D112*$G$103,2)</f>
        <v>70.85</v>
      </c>
      <c r="H112" s="421">
        <f>+tabel!C112+ROUND(tabel!E112*$G$103,2)</f>
        <v>0</v>
      </c>
    </row>
    <row r="113" spans="1:8" ht="12.75">
      <c r="A113" s="380" t="s">
        <v>480</v>
      </c>
      <c r="B113" s="421">
        <f>ROUND(tabel!$C74*tabel!B$37,2)</f>
        <v>62.58</v>
      </c>
      <c r="C113" s="421">
        <f>ROUND(tabel!$C$74*tabel!C37,2)</f>
        <v>106.38</v>
      </c>
      <c r="D113" s="421">
        <f>ROUND(tabel!B$37*tabel!$C75,2)</f>
        <v>2.83</v>
      </c>
      <c r="E113" s="421">
        <f>ROUND(tabel!C$37*tabel!$C75,2)</f>
        <v>4.82</v>
      </c>
      <c r="F113" s="380" t="s">
        <v>480</v>
      </c>
      <c r="G113" s="421">
        <f>+tabel!B113+ROUND(tabel!D113*$G$103,2)</f>
        <v>177.34</v>
      </c>
      <c r="H113" s="421">
        <f>+tabel!C113+ROUND(tabel!E113*$G$103,2)</f>
        <v>301.83</v>
      </c>
    </row>
    <row r="114" spans="1:8" ht="12.75">
      <c r="A114" s="380" t="s">
        <v>481</v>
      </c>
      <c r="B114" s="421">
        <f>ROUND(tabel!$C74*tabel!B$38,2)</f>
        <v>62.58</v>
      </c>
      <c r="C114" s="421">
        <f>ROUND(tabel!$C$74*tabel!C38,2)</f>
        <v>106.38</v>
      </c>
      <c r="D114" s="421">
        <f>ROUND(tabel!B$38*tabel!$C75,2)</f>
        <v>2.83</v>
      </c>
      <c r="E114" s="421">
        <f>ROUND(tabel!C$38*tabel!$C75,2)</f>
        <v>4.82</v>
      </c>
      <c r="F114" s="380" t="s">
        <v>481</v>
      </c>
      <c r="G114" s="421">
        <f>+tabel!B114+ROUND(tabel!D114*$G$103,2)</f>
        <v>177.34</v>
      </c>
      <c r="H114" s="421">
        <f>+tabel!C114+ROUND(tabel!E114*$G$103,2)</f>
        <v>301.83</v>
      </c>
    </row>
    <row r="115" spans="1:8" ht="12.75">
      <c r="A115" s="381" t="s">
        <v>483</v>
      </c>
      <c r="B115" s="421">
        <f>ROUND(tabel!$C$74*tabel!B39,2)</f>
        <v>0</v>
      </c>
      <c r="C115" s="421">
        <f>ROUND(tabel!$C$74*tabel!C39,2)</f>
        <v>0</v>
      </c>
      <c r="D115" s="421">
        <f>ROUND(tabel!B39*tabel!$C$75,2)</f>
        <v>0</v>
      </c>
      <c r="E115" s="421">
        <f>ROUND(tabel!C39*tabel!$C$75,2)</f>
        <v>0</v>
      </c>
      <c r="F115" s="381" t="s">
        <v>484</v>
      </c>
      <c r="G115" s="421">
        <f>+tabel!B115+ROUND(tabel!D115*$G$103,2)</f>
        <v>0</v>
      </c>
      <c r="H115" s="421">
        <f>+tabel!C115+ROUND(tabel!E115*$G$103,2)</f>
        <v>0</v>
      </c>
    </row>
    <row r="116" spans="1:8" ht="12.75">
      <c r="A116" s="381" t="s">
        <v>484</v>
      </c>
      <c r="B116" s="421">
        <f>ROUND(tabel!$C$74*tabel!B40,2)</f>
        <v>0</v>
      </c>
      <c r="C116" s="421">
        <f>ROUND(tabel!$C$74*tabel!C40,2)</f>
        <v>0</v>
      </c>
      <c r="D116" s="421">
        <f>ROUND(tabel!B40*tabel!$C$75,2)</f>
        <v>0</v>
      </c>
      <c r="E116" s="421">
        <f>ROUND(tabel!C40*tabel!$C$75,2)</f>
        <v>0</v>
      </c>
      <c r="F116" s="381" t="s">
        <v>484</v>
      </c>
      <c r="G116" s="421">
        <f>+tabel!B116+ROUND(tabel!D116*$G$103,2)</f>
        <v>0</v>
      </c>
      <c r="H116" s="421">
        <f>+tabel!C116+ROUND(tabel!E116*$G$103,2)</f>
        <v>0</v>
      </c>
    </row>
    <row r="117" spans="1:8" ht="12.75">
      <c r="A117" s="381" t="s">
        <v>482</v>
      </c>
      <c r="B117" s="421">
        <f>ROUND(tabel!$C$74*tabel!B41,2)</f>
        <v>0</v>
      </c>
      <c r="C117" s="421">
        <f>ROUND(tabel!$C$74*tabel!C41,2)</f>
        <v>0</v>
      </c>
      <c r="D117" s="421">
        <f>ROUND(tabel!B41*tabel!$C$75,2)</f>
        <v>0</v>
      </c>
      <c r="E117" s="421">
        <f>ROUND(tabel!C41*tabel!$C$75,2)</f>
        <v>0</v>
      </c>
      <c r="F117" s="381" t="s">
        <v>482</v>
      </c>
      <c r="G117" s="421">
        <f>+tabel!B117+ROUND(tabel!D117*$G$103,2)</f>
        <v>0</v>
      </c>
      <c r="H117" s="421">
        <f>+tabel!C117+ROUND(tabel!E117*$G$103,2)</f>
        <v>0</v>
      </c>
    </row>
    <row r="118" spans="1:8" ht="12.75">
      <c r="A118" s="381" t="s">
        <v>485</v>
      </c>
      <c r="B118" s="421">
        <f>ROUND(tabel!$C$74*tabel!B42,2)</f>
        <v>0</v>
      </c>
      <c r="C118" s="421">
        <f>ROUND(tabel!$C$74*tabel!C42,2)</f>
        <v>0</v>
      </c>
      <c r="D118" s="421">
        <f>ROUND(tabel!B42*tabel!$C$75,2)</f>
        <v>0</v>
      </c>
      <c r="E118" s="421">
        <f>ROUND(tabel!C42*tabel!$C$75,2)</f>
        <v>0</v>
      </c>
      <c r="F118" s="381" t="s">
        <v>485</v>
      </c>
      <c r="G118" s="421">
        <f>+tabel!B118+ROUND(tabel!D118*$G$103,2)</f>
        <v>0</v>
      </c>
      <c r="H118" s="421">
        <f>+tabel!C118+ROUND(tabel!E118*$G$103,2)</f>
        <v>0</v>
      </c>
    </row>
    <row r="119" ht="12.75"/>
    <row r="120" ht="12.75"/>
    <row r="121" spans="1:15" ht="12.75">
      <c r="A121" s="386" t="s">
        <v>493</v>
      </c>
      <c r="B121" s="380"/>
      <c r="C121" s="380"/>
      <c r="D121" s="380"/>
      <c r="E121" s="380"/>
      <c r="F121" s="380"/>
      <c r="O121" s="380"/>
    </row>
    <row r="122" spans="1:15" ht="12.75">
      <c r="A122" s="386" t="s">
        <v>513</v>
      </c>
      <c r="B122" s="380" t="s">
        <v>470</v>
      </c>
      <c r="C122" s="380"/>
      <c r="D122" s="380" t="s">
        <v>538</v>
      </c>
      <c r="E122" s="380"/>
      <c r="F122" s="380" t="s">
        <v>567</v>
      </c>
      <c r="G122" s="380"/>
      <c r="I122" s="380" t="s">
        <v>513</v>
      </c>
      <c r="J122" s="380" t="s">
        <v>540</v>
      </c>
      <c r="K122" s="380"/>
      <c r="O122" s="392"/>
    </row>
    <row r="123" spans="1:15" ht="12.75">
      <c r="A123" s="380" t="s">
        <v>514</v>
      </c>
      <c r="B123" s="379" t="s">
        <v>646</v>
      </c>
      <c r="C123" s="380" t="s">
        <v>647</v>
      </c>
      <c r="D123" s="379" t="s">
        <v>646</v>
      </c>
      <c r="E123" s="380" t="s">
        <v>647</v>
      </c>
      <c r="F123" s="379" t="s">
        <v>646</v>
      </c>
      <c r="G123" s="380" t="s">
        <v>647</v>
      </c>
      <c r="I123" s="380" t="s">
        <v>514</v>
      </c>
      <c r="J123" s="379" t="s">
        <v>469</v>
      </c>
      <c r="K123" s="380" t="s">
        <v>486</v>
      </c>
      <c r="O123" s="393"/>
    </row>
    <row r="124" spans="1:15" ht="12.75">
      <c r="A124" s="380" t="s">
        <v>473</v>
      </c>
      <c r="B124" s="421">
        <f>ROUND(tabel!$C$74*tabel!E30,2)</f>
        <v>3946.44</v>
      </c>
      <c r="C124" s="421">
        <f>ROUND(tabel!$C$74*tabel!F30,2)</f>
        <v>1818.87</v>
      </c>
      <c r="D124" s="421">
        <f>ROUND(tabel!E30*tabel!$C$75,2)</f>
        <v>178.77</v>
      </c>
      <c r="E124" s="421">
        <f>ROUND(tabel!F30*tabel!$C$75,2)</f>
        <v>82.39</v>
      </c>
      <c r="F124" s="422">
        <v>1241.51</v>
      </c>
      <c r="G124" s="422">
        <v>568.15</v>
      </c>
      <c r="I124" s="380" t="s">
        <v>473</v>
      </c>
      <c r="J124" s="421">
        <f>+B124+ROUND(D124*tabel!$G$103,2)</f>
        <v>11195.56</v>
      </c>
      <c r="K124" s="421">
        <f>+C124+ROUND(E124*tabel!$G$103,2)</f>
        <v>5159.78</v>
      </c>
      <c r="O124" s="423"/>
    </row>
    <row r="125" spans="1:15" ht="12.75">
      <c r="A125" s="380" t="s">
        <v>474</v>
      </c>
      <c r="B125" s="421">
        <f>ROUND(tabel!$C$74*tabel!E31,2)</f>
        <v>1775.06</v>
      </c>
      <c r="C125" s="421">
        <f>ROUND(tabel!$C$74*tabel!F31,2)</f>
        <v>1188.94</v>
      </c>
      <c r="D125" s="421">
        <f>ROUND(tabel!E31*tabel!$C$75,2)</f>
        <v>80.41</v>
      </c>
      <c r="E125" s="421">
        <f>ROUND(tabel!F31*tabel!$C$75,2)</f>
        <v>53.86</v>
      </c>
      <c r="F125" s="422">
        <v>378.76</v>
      </c>
      <c r="G125" s="422">
        <v>189.39</v>
      </c>
      <c r="I125" s="380" t="s">
        <v>474</v>
      </c>
      <c r="J125" s="421">
        <f>+B125+ROUND(D125*tabel!$G$103,2)</f>
        <v>5035.6900000000005</v>
      </c>
      <c r="K125" s="421">
        <f>+C125+ROUND(E125*tabel!$G$103,2)</f>
        <v>3372.96</v>
      </c>
      <c r="O125" s="424"/>
    </row>
    <row r="126" spans="1:15" ht="12.75">
      <c r="A126" s="380" t="s">
        <v>475</v>
      </c>
      <c r="B126" s="421">
        <f>ROUND(tabel!$C$74*tabel!E32,2)</f>
        <v>1775.06</v>
      </c>
      <c r="C126" s="421">
        <f>ROUND(tabel!$C$74*tabel!F32,2)</f>
        <v>0</v>
      </c>
      <c r="D126" s="421">
        <f>ROUND(tabel!E32*tabel!$C$75,2)</f>
        <v>80.41</v>
      </c>
      <c r="E126" s="421">
        <f>ROUND(tabel!F32*tabel!$C$75,2)</f>
        <v>0</v>
      </c>
      <c r="F126" s="422">
        <v>378.76</v>
      </c>
      <c r="G126" s="422">
        <v>189.39</v>
      </c>
      <c r="I126" s="380" t="s">
        <v>475</v>
      </c>
      <c r="J126" s="421">
        <f>+B126+ROUND(D126*tabel!$G$103,2)</f>
        <v>5035.6900000000005</v>
      </c>
      <c r="K126" s="421">
        <f>+C126+ROUND(E126*tabel!$G$103,2)</f>
        <v>0</v>
      </c>
      <c r="O126" s="424"/>
    </row>
    <row r="127" spans="1:15" ht="12.75">
      <c r="A127" s="380" t="s">
        <v>476</v>
      </c>
      <c r="B127" s="421">
        <f>ROUND(tabel!$C$74*tabel!E33,2)</f>
        <v>1775.06</v>
      </c>
      <c r="C127" s="421">
        <f>ROUND(tabel!$C$74*tabel!F33,2)</f>
        <v>1818.87</v>
      </c>
      <c r="D127" s="421">
        <f>ROUND(tabel!E33*tabel!$C$75,2)</f>
        <v>80.41</v>
      </c>
      <c r="E127" s="421">
        <f>ROUND(tabel!F33*tabel!$C$75,2)</f>
        <v>82.39</v>
      </c>
      <c r="F127" s="422">
        <v>475.55</v>
      </c>
      <c r="G127" s="422">
        <v>475.54</v>
      </c>
      <c r="I127" s="380" t="s">
        <v>476</v>
      </c>
      <c r="J127" s="421">
        <f>+B127+ROUND(D127*tabel!$G$103,2)</f>
        <v>5035.6900000000005</v>
      </c>
      <c r="K127" s="421">
        <f>+C127+ROUND(E127*tabel!$G$103,2)</f>
        <v>5159.78</v>
      </c>
      <c r="O127" s="424"/>
    </row>
    <row r="128" spans="1:15" ht="12.75">
      <c r="A128" s="379" t="s">
        <v>478</v>
      </c>
      <c r="B128" s="421">
        <f>ROUND(tabel!$C$74*tabel!E34,2)</f>
        <v>1775.06</v>
      </c>
      <c r="C128" s="421">
        <f>ROUND(tabel!$C$74*tabel!F34,2)</f>
        <v>1188.94</v>
      </c>
      <c r="D128" s="421">
        <f>ROUND(tabel!E34*tabel!$C$75,2)</f>
        <v>80.41</v>
      </c>
      <c r="E128" s="421">
        <f>ROUND(tabel!F34*tabel!$C$75,2)</f>
        <v>53.86</v>
      </c>
      <c r="F128" s="422">
        <v>370.36</v>
      </c>
      <c r="G128" s="422">
        <v>247.9</v>
      </c>
      <c r="I128" s="379" t="s">
        <v>478</v>
      </c>
      <c r="J128" s="421">
        <f>+B128+ROUND(D128*tabel!$G$103,2)</f>
        <v>5035.6900000000005</v>
      </c>
      <c r="K128" s="421">
        <f>+C128+ROUND(E128*tabel!$G$103,2)</f>
        <v>3372.96</v>
      </c>
      <c r="O128" s="424"/>
    </row>
    <row r="129" spans="1:15" ht="12.75">
      <c r="A129" s="379" t="s">
        <v>479</v>
      </c>
      <c r="B129" s="421">
        <f>ROUND(tabel!$C$74*tabel!E35,2)</f>
        <v>1775.06</v>
      </c>
      <c r="C129" s="421">
        <f>ROUND(tabel!$C$74*tabel!F35,2)</f>
        <v>1188.94</v>
      </c>
      <c r="D129" s="421">
        <f>ROUND(tabel!E35*tabel!$C$75,2)</f>
        <v>80.41</v>
      </c>
      <c r="E129" s="421">
        <f>ROUND(tabel!F35*tabel!$C$75,2)</f>
        <v>53.86</v>
      </c>
      <c r="F129" s="422">
        <v>455.75</v>
      </c>
      <c r="G129" s="422">
        <v>253.77</v>
      </c>
      <c r="I129" s="379" t="s">
        <v>479</v>
      </c>
      <c r="J129" s="421">
        <f>+B129+ROUND(D129*tabel!$G$103,2)</f>
        <v>5035.6900000000005</v>
      </c>
      <c r="K129" s="421">
        <f>+C129+ROUND(E129*tabel!$G$103,2)</f>
        <v>3372.96</v>
      </c>
      <c r="O129" s="424"/>
    </row>
    <row r="130" spans="1:15" ht="12.75">
      <c r="A130" s="380" t="s">
        <v>477</v>
      </c>
      <c r="B130" s="421">
        <f>ROUND(tabel!$C$74*tabel!E36,2)</f>
        <v>1775.06</v>
      </c>
      <c r="C130" s="421">
        <f>ROUND(tabel!$C$74*tabel!F36,2)</f>
        <v>1188.94</v>
      </c>
      <c r="D130" s="421">
        <f>ROUND(tabel!E36*tabel!$C$75,2)</f>
        <v>80.41</v>
      </c>
      <c r="E130" s="421">
        <f>ROUND(tabel!F36*tabel!$C$75,2)</f>
        <v>53.86</v>
      </c>
      <c r="F130" s="422">
        <v>185.17</v>
      </c>
      <c r="G130" s="422">
        <v>122.03</v>
      </c>
      <c r="I130" s="380" t="s">
        <v>477</v>
      </c>
      <c r="J130" s="421">
        <f>+B130+ROUND(D130*tabel!$G$103,2)</f>
        <v>5035.6900000000005</v>
      </c>
      <c r="K130" s="421">
        <f>+C130+ROUND(E130*tabel!$G$103,2)</f>
        <v>3372.96</v>
      </c>
      <c r="O130" s="424"/>
    </row>
    <row r="131" spans="1:15" ht="12.75">
      <c r="A131" s="380" t="s">
        <v>480</v>
      </c>
      <c r="B131" s="421">
        <f>ROUND(tabel!$C$74*tabel!E37,2)</f>
        <v>1775.06</v>
      </c>
      <c r="C131" s="421">
        <f>ROUND(tabel!$C$74*tabel!F37,2)</f>
        <v>1188.94</v>
      </c>
      <c r="D131" s="421">
        <f>ROUND(tabel!E37*tabel!$C$75,2)</f>
        <v>80.41</v>
      </c>
      <c r="E131" s="421">
        <f>ROUND(tabel!F37*tabel!$C$75,2)</f>
        <v>53.86</v>
      </c>
      <c r="F131" s="422">
        <v>455.75</v>
      </c>
      <c r="G131" s="422">
        <v>253.77</v>
      </c>
      <c r="I131" s="380" t="s">
        <v>480</v>
      </c>
      <c r="J131" s="421">
        <f>+B131+ROUND(D131*tabel!$G$103,2)</f>
        <v>5035.6900000000005</v>
      </c>
      <c r="K131" s="421">
        <f>+C131+ROUND(E131*tabel!$G$103,2)</f>
        <v>3372.96</v>
      </c>
      <c r="O131" s="424"/>
    </row>
    <row r="132" spans="1:15" ht="12.75">
      <c r="A132" s="380" t="s">
        <v>481</v>
      </c>
      <c r="B132" s="421">
        <f>ROUND(tabel!$C$74*tabel!E38,2)</f>
        <v>1775.06</v>
      </c>
      <c r="C132" s="421">
        <f>ROUND(tabel!$C$74*tabel!F38,2)</f>
        <v>1188.94</v>
      </c>
      <c r="D132" s="421">
        <f>ROUND(tabel!E38*tabel!$C$75,2)</f>
        <v>80.41</v>
      </c>
      <c r="E132" s="421">
        <f>ROUND(tabel!F38*tabel!$C$75,2)</f>
        <v>53.86</v>
      </c>
      <c r="F132" s="422">
        <v>455.75</v>
      </c>
      <c r="G132" s="422">
        <v>253.77</v>
      </c>
      <c r="I132" s="380" t="s">
        <v>481</v>
      </c>
      <c r="J132" s="421">
        <f>+B132+ROUND(D132*tabel!$G$103,2)</f>
        <v>5035.6900000000005</v>
      </c>
      <c r="K132" s="421">
        <f>+C132+ROUND(E132*tabel!$G$103,2)</f>
        <v>3372.96</v>
      </c>
      <c r="O132" s="424"/>
    </row>
    <row r="133" spans="1:15" ht="12.75">
      <c r="A133" s="381" t="s">
        <v>483</v>
      </c>
      <c r="B133" s="421">
        <f>ROUND(tabel!$C$74*tabel!E39,2)</f>
        <v>1775.06</v>
      </c>
      <c r="C133" s="421">
        <f>ROUND(tabel!$C$74*tabel!F39,2)</f>
        <v>1188.94</v>
      </c>
      <c r="D133" s="421">
        <f>ROUND(tabel!E39*tabel!$C$75,2)</f>
        <v>80.41</v>
      </c>
      <c r="E133" s="421">
        <f>ROUND(tabel!F39*tabel!$C$75,2)</f>
        <v>53.86</v>
      </c>
      <c r="F133" s="422">
        <v>370.36</v>
      </c>
      <c r="G133" s="422">
        <v>247.9</v>
      </c>
      <c r="I133" s="381" t="s">
        <v>483</v>
      </c>
      <c r="J133" s="421">
        <f>+B133+ROUND(D133*tabel!$G$103,2)</f>
        <v>5035.6900000000005</v>
      </c>
      <c r="K133" s="421">
        <f>+C133+ROUND(E133*tabel!$G$103,2)</f>
        <v>3372.96</v>
      </c>
      <c r="O133" s="424"/>
    </row>
    <row r="134" spans="1:15" ht="12.75">
      <c r="A134" s="381" t="s">
        <v>484</v>
      </c>
      <c r="B134" s="421">
        <f>ROUND(tabel!$C$74*tabel!E40,2)</f>
        <v>1775.06</v>
      </c>
      <c r="C134" s="421">
        <f>ROUND(tabel!$C$74*tabel!F40,2)</f>
        <v>1188.94</v>
      </c>
      <c r="D134" s="421">
        <f>ROUND(tabel!E40*tabel!$C$75,2)</f>
        <v>80.41</v>
      </c>
      <c r="E134" s="421">
        <f>ROUND(tabel!F40*tabel!$C$75,2)</f>
        <v>53.86</v>
      </c>
      <c r="F134" s="422">
        <v>370.36</v>
      </c>
      <c r="G134" s="422">
        <v>247.9</v>
      </c>
      <c r="I134" s="381" t="s">
        <v>484</v>
      </c>
      <c r="J134" s="421">
        <f>+B134+ROUND(D134*tabel!$G$103,2)</f>
        <v>5035.6900000000005</v>
      </c>
      <c r="K134" s="421">
        <f>+C134+ROUND(E134*tabel!$G$103,2)</f>
        <v>3372.96</v>
      </c>
      <c r="O134" s="424"/>
    </row>
    <row r="135" spans="1:15" ht="12.75">
      <c r="A135" s="381" t="s">
        <v>482</v>
      </c>
      <c r="B135" s="421">
        <f>ROUND(tabel!$C$74*tabel!E41,2)</f>
        <v>1775.06</v>
      </c>
      <c r="C135" s="421">
        <f>ROUND(tabel!$C$74*tabel!F41,2)</f>
        <v>1188.94</v>
      </c>
      <c r="D135" s="421">
        <f>ROUND(tabel!E41*tabel!$C$75,2)</f>
        <v>80.41</v>
      </c>
      <c r="E135" s="421">
        <f>ROUND(tabel!F41*tabel!$C$75,2)</f>
        <v>53.86</v>
      </c>
      <c r="F135" s="422">
        <v>370.36</v>
      </c>
      <c r="G135" s="422">
        <v>247.9</v>
      </c>
      <c r="I135" s="381" t="s">
        <v>482</v>
      </c>
      <c r="J135" s="421">
        <f>+B135+ROUND(D135*tabel!$G$103,2)</f>
        <v>5035.6900000000005</v>
      </c>
      <c r="K135" s="421">
        <f>+C135+ROUND(E135*tabel!$G$103,2)</f>
        <v>3372.96</v>
      </c>
      <c r="O135" s="424"/>
    </row>
    <row r="136" spans="1:15" ht="12.75">
      <c r="A136" s="381" t="s">
        <v>485</v>
      </c>
      <c r="B136" s="421">
        <f>ROUND(tabel!$C$74*tabel!E42,2)</f>
        <v>1775.06</v>
      </c>
      <c r="C136" s="421">
        <f>ROUND(tabel!$C$74*tabel!F42,2)</f>
        <v>1188.94</v>
      </c>
      <c r="D136" s="421">
        <f>ROUND(tabel!E42*tabel!$C$75,2)</f>
        <v>80.41</v>
      </c>
      <c r="E136" s="421">
        <f>ROUND(tabel!F42*tabel!$C$75,2)</f>
        <v>53.86</v>
      </c>
      <c r="F136" s="422">
        <v>370.36</v>
      </c>
      <c r="G136" s="422">
        <v>247.9</v>
      </c>
      <c r="I136" s="381" t="s">
        <v>485</v>
      </c>
      <c r="J136" s="421">
        <f>+B136+ROUND(D136*tabel!$G$103,2)</f>
        <v>5035.6900000000005</v>
      </c>
      <c r="K136" s="421">
        <f>+C136+ROUND(E136*tabel!$G$103,2)</f>
        <v>3372.96</v>
      </c>
      <c r="O136" s="424"/>
    </row>
    <row r="137" ht="12.75">
      <c r="F137" s="366" t="s">
        <v>568</v>
      </c>
    </row>
    <row r="138" spans="1:7" ht="12.75">
      <c r="A138" s="383"/>
      <c r="B138" s="383"/>
      <c r="C138" s="383"/>
      <c r="D138" s="383"/>
      <c r="E138" s="383"/>
      <c r="F138" s="383"/>
      <c r="G138" s="383"/>
    </row>
    <row r="139" spans="1:7" ht="12.75">
      <c r="A139" s="384" t="s">
        <v>162</v>
      </c>
      <c r="B139" s="383"/>
      <c r="C139" s="380"/>
      <c r="D139" s="383"/>
      <c r="E139" s="383"/>
      <c r="F139" s="383"/>
      <c r="G139" s="383"/>
    </row>
    <row r="140" spans="1:7" ht="12.75">
      <c r="A140" s="383" t="s">
        <v>701</v>
      </c>
      <c r="B140" s="383"/>
      <c r="C140" s="371">
        <v>30343.81</v>
      </c>
      <c r="D140" s="383"/>
      <c r="E140" s="383"/>
      <c r="F140" s="383"/>
      <c r="G140" s="383"/>
    </row>
    <row r="141" spans="1:7" ht="12.75">
      <c r="A141" s="383" t="s">
        <v>493</v>
      </c>
      <c r="B141" s="383"/>
      <c r="C141" s="371">
        <v>448.44</v>
      </c>
      <c r="D141" s="383"/>
      <c r="E141" s="383"/>
      <c r="F141" s="383"/>
      <c r="G141" s="383"/>
    </row>
    <row r="142" ht="12.75"/>
    <row r="143" ht="12.75"/>
    <row r="144" spans="1:8" ht="12.75">
      <c r="A144" s="386" t="s">
        <v>28</v>
      </c>
      <c r="B144" s="396"/>
      <c r="C144" s="380"/>
      <c r="D144" s="380"/>
      <c r="E144" s="383"/>
      <c r="F144" s="383"/>
      <c r="G144" s="383"/>
      <c r="H144" s="383"/>
    </row>
    <row r="145" spans="1:8" ht="12.75">
      <c r="A145" s="380" t="s">
        <v>545</v>
      </c>
      <c r="B145" s="396"/>
      <c r="D145" s="366" t="s">
        <v>567</v>
      </c>
      <c r="F145" s="383"/>
      <c r="G145" s="383"/>
      <c r="H145" s="380"/>
    </row>
    <row r="146" spans="1:8" ht="12.75">
      <c r="A146" s="380" t="s">
        <v>514</v>
      </c>
      <c r="B146" s="396" t="s">
        <v>16</v>
      </c>
      <c r="C146" s="396" t="s">
        <v>17</v>
      </c>
      <c r="D146" s="388" t="s">
        <v>646</v>
      </c>
      <c r="E146" s="366" t="s">
        <v>704</v>
      </c>
      <c r="F146" s="383"/>
      <c r="G146" s="383"/>
      <c r="H146" s="380"/>
    </row>
    <row r="147" spans="1:5" ht="12.75">
      <c r="A147" s="380" t="s">
        <v>473</v>
      </c>
      <c r="B147" s="371">
        <v>5063.67</v>
      </c>
      <c r="C147" s="371">
        <v>3375.78</v>
      </c>
      <c r="D147" s="371">
        <v>559</v>
      </c>
      <c r="E147" s="371">
        <v>373</v>
      </c>
    </row>
    <row r="148" spans="1:5" ht="12.75">
      <c r="A148" s="380" t="s">
        <v>474</v>
      </c>
      <c r="B148" s="371">
        <v>3275.13</v>
      </c>
      <c r="C148" s="371">
        <v>2183.42</v>
      </c>
      <c r="D148" s="371">
        <v>216</v>
      </c>
      <c r="E148" s="371">
        <v>144</v>
      </c>
    </row>
    <row r="149" spans="1:5" ht="12.75">
      <c r="A149" s="380" t="s">
        <v>475</v>
      </c>
      <c r="B149" s="371">
        <v>3275.13</v>
      </c>
      <c r="C149" s="371">
        <v>2183.42</v>
      </c>
      <c r="D149" s="371">
        <v>274</v>
      </c>
      <c r="E149" s="371">
        <v>183</v>
      </c>
    </row>
    <row r="150" spans="1:5" ht="12.75">
      <c r="A150" s="380" t="s">
        <v>476</v>
      </c>
      <c r="B150" s="371">
        <v>5063.67</v>
      </c>
      <c r="C150" s="371">
        <v>3375.78</v>
      </c>
      <c r="D150" s="371">
        <v>469</v>
      </c>
      <c r="E150" s="371">
        <v>313</v>
      </c>
    </row>
    <row r="151" spans="1:5" ht="12.75">
      <c r="A151" s="380" t="s">
        <v>478</v>
      </c>
      <c r="B151" s="371">
        <v>3275.13</v>
      </c>
      <c r="C151" s="371">
        <v>2183.42</v>
      </c>
      <c r="D151" s="371">
        <v>274</v>
      </c>
      <c r="E151" s="371">
        <v>183</v>
      </c>
    </row>
    <row r="152" spans="1:5" ht="12.75">
      <c r="A152" s="380" t="s">
        <v>479</v>
      </c>
      <c r="B152" s="371">
        <v>3275.13</v>
      </c>
      <c r="C152" s="371">
        <v>2183.42</v>
      </c>
      <c r="D152" s="371">
        <v>274</v>
      </c>
      <c r="E152" s="371">
        <v>183</v>
      </c>
    </row>
    <row r="153" spans="1:5" ht="12.75">
      <c r="A153" s="380" t="s">
        <v>477</v>
      </c>
      <c r="B153" s="371">
        <v>3275.13</v>
      </c>
      <c r="C153" s="371">
        <v>2183.42</v>
      </c>
      <c r="D153" s="371">
        <v>149</v>
      </c>
      <c r="E153" s="371">
        <v>99</v>
      </c>
    </row>
    <row r="154" spans="1:5" ht="12.75">
      <c r="A154" s="380" t="s">
        <v>480</v>
      </c>
      <c r="B154" s="371">
        <v>3275.13</v>
      </c>
      <c r="C154" s="371">
        <v>2183.42</v>
      </c>
      <c r="D154" s="371">
        <v>274</v>
      </c>
      <c r="E154" s="371">
        <v>183</v>
      </c>
    </row>
    <row r="155" spans="1:5" ht="12.75">
      <c r="A155" s="380" t="s">
        <v>481</v>
      </c>
      <c r="B155" s="371">
        <v>3275.13</v>
      </c>
      <c r="C155" s="371">
        <v>2183.42</v>
      </c>
      <c r="D155" s="371">
        <v>274</v>
      </c>
      <c r="E155" s="371">
        <v>183</v>
      </c>
    </row>
    <row r="156" spans="1:5" ht="12.75">
      <c r="A156" s="401" t="s">
        <v>483</v>
      </c>
      <c r="B156" s="371">
        <v>3275.13</v>
      </c>
      <c r="C156" s="371">
        <v>2183.42</v>
      </c>
      <c r="D156" s="371">
        <v>274</v>
      </c>
      <c r="E156" s="371">
        <v>183</v>
      </c>
    </row>
    <row r="157" spans="1:8" ht="12.75">
      <c r="A157" s="401" t="s">
        <v>485</v>
      </c>
      <c r="B157" s="371">
        <v>3275.13</v>
      </c>
      <c r="C157" s="371">
        <v>2183.42</v>
      </c>
      <c r="D157" s="371">
        <v>274</v>
      </c>
      <c r="E157" s="371">
        <v>183</v>
      </c>
      <c r="F157" s="383"/>
      <c r="G157" s="383"/>
      <c r="H157" s="396"/>
    </row>
    <row r="158" spans="1:8" ht="12.75">
      <c r="A158" s="401" t="s">
        <v>484</v>
      </c>
      <c r="B158" s="371">
        <v>3275.13</v>
      </c>
      <c r="C158" s="371">
        <v>2183.42</v>
      </c>
      <c r="D158" s="371">
        <v>274</v>
      </c>
      <c r="E158" s="371">
        <v>183</v>
      </c>
      <c r="F158" s="383"/>
      <c r="G158" s="383"/>
      <c r="H158" s="396"/>
    </row>
    <row r="159" spans="1:8" ht="12.75">
      <c r="A159" s="401" t="s">
        <v>482</v>
      </c>
      <c r="B159" s="371">
        <v>3275.13</v>
      </c>
      <c r="C159" s="371">
        <v>2183.42</v>
      </c>
      <c r="D159" s="371">
        <v>274</v>
      </c>
      <c r="E159" s="371">
        <v>183</v>
      </c>
      <c r="F159" s="383"/>
      <c r="G159" s="383"/>
      <c r="H159" s="396"/>
    </row>
    <row r="160" ht="12.75">
      <c r="D160" s="366" t="s">
        <v>568</v>
      </c>
    </row>
    <row r="161" ht="12.75"/>
    <row r="162" spans="1:4" ht="12.75">
      <c r="A162" s="425" t="s">
        <v>265</v>
      </c>
      <c r="C162" s="490"/>
      <c r="D162" s="396"/>
    </row>
    <row r="163" spans="1:4" ht="12.75">
      <c r="A163" s="383" t="s">
        <v>546</v>
      </c>
      <c r="B163" s="383"/>
      <c r="C163" s="491">
        <v>31509</v>
      </c>
      <c r="D163" s="396"/>
    </row>
    <row r="164" spans="1:4" ht="12.75">
      <c r="A164" s="383" t="s">
        <v>547</v>
      </c>
      <c r="B164" s="383"/>
      <c r="C164" s="491">
        <v>10542</v>
      </c>
      <c r="D164" s="396"/>
    </row>
    <row r="165" spans="1:4" ht="12.75">
      <c r="A165" s="383" t="s">
        <v>548</v>
      </c>
      <c r="B165" s="383"/>
      <c r="C165" s="491">
        <v>179</v>
      </c>
      <c r="D165" s="396"/>
    </row>
    <row r="166" spans="1:4" ht="12.75">
      <c r="A166" s="383" t="s">
        <v>549</v>
      </c>
      <c r="B166" s="383"/>
      <c r="C166" s="496">
        <v>0.15</v>
      </c>
      <c r="D166" s="396"/>
    </row>
    <row r="167" spans="1:4" ht="12.75">
      <c r="A167" s="383"/>
      <c r="B167" s="383"/>
      <c r="C167" s="383"/>
      <c r="D167" s="396"/>
    </row>
    <row r="168" spans="1:4" ht="12.75">
      <c r="A168" s="383"/>
      <c r="B168" s="383"/>
      <c r="C168" s="383"/>
      <c r="D168" s="396"/>
    </row>
    <row r="169" spans="1:4" ht="12.75">
      <c r="A169" s="384" t="s">
        <v>705</v>
      </c>
      <c r="B169" s="383"/>
      <c r="C169" s="383"/>
      <c r="D169" s="396"/>
    </row>
    <row r="170" spans="1:3" ht="12.75">
      <c r="A170" s="383" t="s">
        <v>706</v>
      </c>
      <c r="B170" s="383"/>
      <c r="C170" s="397">
        <v>100</v>
      </c>
    </row>
    <row r="171" spans="1:4" ht="12.75">
      <c r="A171" s="383" t="s">
        <v>707</v>
      </c>
      <c r="C171" s="383">
        <f>ROUND(+C170/195,4)</f>
        <v>0.5128</v>
      </c>
      <c r="D171" s="396"/>
    </row>
    <row r="172" spans="1:4" ht="12.75">
      <c r="A172" s="383" t="s">
        <v>708</v>
      </c>
      <c r="C172" s="395">
        <f>+C171*tabel!C69</f>
        <v>30343.811840000002</v>
      </c>
      <c r="D172" s="396"/>
    </row>
    <row r="173" ht="12.75"/>
    <row r="174" ht="12.75"/>
    <row r="175" spans="2:8" ht="12.75">
      <c r="B175" s="369" t="s">
        <v>723</v>
      </c>
      <c r="D175" s="369" t="s">
        <v>724</v>
      </c>
      <c r="F175" s="386"/>
      <c r="G175" s="380"/>
      <c r="H175" s="386"/>
    </row>
    <row r="176" spans="2:8" ht="12.75">
      <c r="B176" s="369" t="s">
        <v>725</v>
      </c>
      <c r="D176" s="369" t="s">
        <v>725</v>
      </c>
      <c r="F176" s="386"/>
      <c r="G176" s="380"/>
      <c r="H176" s="380"/>
    </row>
    <row r="177" spans="1:6" ht="12.75">
      <c r="A177" s="366" t="s">
        <v>726</v>
      </c>
      <c r="B177" s="380" t="s">
        <v>666</v>
      </c>
      <c r="C177" s="387" t="s">
        <v>727</v>
      </c>
      <c r="D177" s="380" t="s">
        <v>666</v>
      </c>
      <c r="E177" s="387" t="s">
        <v>727</v>
      </c>
      <c r="F177" s="380"/>
    </row>
    <row r="178" spans="1:5" ht="12.75">
      <c r="A178" s="366">
        <v>10</v>
      </c>
      <c r="B178" s="366" t="s">
        <v>728</v>
      </c>
      <c r="C178" s="485">
        <v>1.14</v>
      </c>
      <c r="D178" s="366" t="s">
        <v>728</v>
      </c>
      <c r="E178" s="485">
        <v>1.03</v>
      </c>
    </row>
    <row r="179" spans="1:5" ht="12.75">
      <c r="A179" s="366">
        <v>13</v>
      </c>
      <c r="B179" s="366" t="s">
        <v>729</v>
      </c>
      <c r="C179" s="485">
        <v>1.2</v>
      </c>
      <c r="D179" s="366" t="s">
        <v>729</v>
      </c>
      <c r="E179" s="485">
        <v>1.09</v>
      </c>
    </row>
    <row r="180" spans="1:5" ht="12.75">
      <c r="A180" s="366">
        <v>15</v>
      </c>
      <c r="B180" s="366" t="s">
        <v>730</v>
      </c>
      <c r="C180" s="485">
        <v>1.35</v>
      </c>
      <c r="D180" s="366" t="s">
        <v>730</v>
      </c>
      <c r="E180" s="485">
        <v>1.23</v>
      </c>
    </row>
    <row r="181" spans="1:5" ht="12.75">
      <c r="A181" s="366">
        <v>17</v>
      </c>
      <c r="B181" s="366" t="s">
        <v>731</v>
      </c>
      <c r="C181" s="485">
        <v>1.41</v>
      </c>
      <c r="D181" s="366" t="s">
        <v>731</v>
      </c>
      <c r="E181" s="485">
        <v>1.29</v>
      </c>
    </row>
    <row r="182" spans="1:5" ht="12.75">
      <c r="A182" s="366">
        <v>10</v>
      </c>
      <c r="B182" s="366" t="s">
        <v>693</v>
      </c>
      <c r="C182" s="485">
        <v>1.2</v>
      </c>
      <c r="D182" s="366" t="s">
        <v>693</v>
      </c>
      <c r="E182" s="485">
        <v>1.09</v>
      </c>
    </row>
    <row r="183" spans="1:5" ht="12.75">
      <c r="A183" s="366">
        <v>11</v>
      </c>
      <c r="B183" s="366" t="s">
        <v>694</v>
      </c>
      <c r="C183" s="485">
        <v>1.23</v>
      </c>
      <c r="D183" s="366" t="s">
        <v>694</v>
      </c>
      <c r="E183" s="485">
        <v>1.12</v>
      </c>
    </row>
    <row r="184" spans="1:6" ht="12.75">
      <c r="A184" s="372">
        <v>13</v>
      </c>
      <c r="B184" s="366" t="s">
        <v>732</v>
      </c>
      <c r="C184" s="485">
        <v>1.41</v>
      </c>
      <c r="D184" s="366" t="s">
        <v>732</v>
      </c>
      <c r="E184" s="485">
        <v>1.29</v>
      </c>
      <c r="F184" s="372"/>
    </row>
    <row r="185" spans="1:6" ht="12.75">
      <c r="A185" s="372">
        <v>15</v>
      </c>
      <c r="B185" s="366" t="s">
        <v>695</v>
      </c>
      <c r="C185" s="485">
        <v>1.47</v>
      </c>
      <c r="D185" s="366" t="s">
        <v>695</v>
      </c>
      <c r="E185" s="485">
        <v>1.34</v>
      </c>
      <c r="F185" s="372"/>
    </row>
    <row r="186" spans="1:6" ht="12.75">
      <c r="A186" s="366">
        <v>13</v>
      </c>
      <c r="B186" s="366" t="s">
        <v>681</v>
      </c>
      <c r="C186" s="485">
        <v>1.23</v>
      </c>
      <c r="D186" s="366" t="s">
        <v>681</v>
      </c>
      <c r="E186" s="485">
        <v>1.11</v>
      </c>
      <c r="F186" s="380"/>
    </row>
    <row r="187" spans="1:6" ht="12.75">
      <c r="A187" s="366">
        <v>15</v>
      </c>
      <c r="B187" s="366" t="s">
        <v>682</v>
      </c>
      <c r="C187" s="485">
        <v>1.38</v>
      </c>
      <c r="D187" s="366" t="s">
        <v>682</v>
      </c>
      <c r="E187" s="485">
        <v>1.26</v>
      </c>
      <c r="F187" s="380"/>
    </row>
    <row r="188" spans="1:6" ht="12.75">
      <c r="A188" s="366">
        <v>17</v>
      </c>
      <c r="B188" s="366" t="s">
        <v>683</v>
      </c>
      <c r="C188" s="485">
        <v>1.44</v>
      </c>
      <c r="D188" s="366" t="s">
        <v>683</v>
      </c>
      <c r="E188" s="485">
        <v>1.31</v>
      </c>
      <c r="F188" s="380"/>
    </row>
    <row r="189" spans="1:6" ht="12.75">
      <c r="A189" s="366">
        <v>16</v>
      </c>
      <c r="B189" s="366" t="s">
        <v>669</v>
      </c>
      <c r="C189" s="485">
        <v>1.54</v>
      </c>
      <c r="D189" s="366" t="s">
        <v>669</v>
      </c>
      <c r="E189" s="485">
        <v>1.4</v>
      </c>
      <c r="F189" s="380"/>
    </row>
    <row r="190" spans="1:6" ht="12.75">
      <c r="A190" s="366">
        <v>18</v>
      </c>
      <c r="B190" s="366" t="s">
        <v>684</v>
      </c>
      <c r="C190" s="485">
        <v>1.6</v>
      </c>
      <c r="D190" s="366" t="s">
        <v>684</v>
      </c>
      <c r="E190" s="485">
        <v>1.46</v>
      </c>
      <c r="F190" s="380"/>
    </row>
    <row r="191" spans="1:6" ht="12.75">
      <c r="A191" s="366">
        <v>18</v>
      </c>
      <c r="B191" s="366" t="s">
        <v>685</v>
      </c>
      <c r="C191" s="485">
        <v>1.56</v>
      </c>
      <c r="D191" s="366" t="s">
        <v>685</v>
      </c>
      <c r="E191" s="485">
        <v>1.42</v>
      </c>
      <c r="F191" s="380"/>
    </row>
    <row r="192" spans="1:6" ht="12.75">
      <c r="A192" s="366">
        <v>18</v>
      </c>
      <c r="B192" s="366" t="s">
        <v>686</v>
      </c>
      <c r="C192" s="485">
        <v>1.72</v>
      </c>
      <c r="D192" s="366" t="s">
        <v>686</v>
      </c>
      <c r="E192" s="485">
        <v>1.56</v>
      </c>
      <c r="F192" s="380"/>
    </row>
    <row r="193" spans="1:6" ht="12.75">
      <c r="A193" s="366">
        <v>11</v>
      </c>
      <c r="B193" s="366" t="s">
        <v>676</v>
      </c>
      <c r="C193" s="485">
        <v>1.02</v>
      </c>
      <c r="D193" s="366" t="s">
        <v>676</v>
      </c>
      <c r="E193" s="485">
        <v>0.93</v>
      </c>
      <c r="F193" s="380"/>
    </row>
    <row r="194" spans="1:6" ht="12.75">
      <c r="A194" s="366">
        <v>13</v>
      </c>
      <c r="B194" s="366" t="s">
        <v>677</v>
      </c>
      <c r="C194" s="485">
        <v>1.11</v>
      </c>
      <c r="D194" s="366" t="s">
        <v>677</v>
      </c>
      <c r="E194" s="485">
        <v>1</v>
      </c>
      <c r="F194" s="380"/>
    </row>
    <row r="195" spans="1:6" ht="12.75">
      <c r="A195" s="366">
        <v>18</v>
      </c>
      <c r="B195" s="366" t="s">
        <v>678</v>
      </c>
      <c r="C195" s="485">
        <v>1.27</v>
      </c>
      <c r="D195" s="366" t="s">
        <v>678</v>
      </c>
      <c r="E195" s="485">
        <v>1.15</v>
      </c>
      <c r="F195" s="380"/>
    </row>
    <row r="196" spans="1:6" ht="12.75">
      <c r="A196" s="366">
        <v>20</v>
      </c>
      <c r="B196" s="366" t="s">
        <v>679</v>
      </c>
      <c r="C196" s="485">
        <v>1.44</v>
      </c>
      <c r="D196" s="366" t="s">
        <v>679</v>
      </c>
      <c r="E196" s="485">
        <v>1.31</v>
      </c>
      <c r="F196" s="380"/>
    </row>
    <row r="197" spans="1:6" ht="12.75">
      <c r="A197" s="366">
        <v>19</v>
      </c>
      <c r="B197" s="366" t="s">
        <v>680</v>
      </c>
      <c r="C197" s="485">
        <v>1.56</v>
      </c>
      <c r="D197" s="366" t="s">
        <v>680</v>
      </c>
      <c r="E197" s="485">
        <v>1.42</v>
      </c>
      <c r="F197" s="380"/>
    </row>
    <row r="198" spans="1:6" ht="12.75">
      <c r="A198" s="366">
        <v>16</v>
      </c>
      <c r="B198" s="369" t="s">
        <v>687</v>
      </c>
      <c r="C198" s="532">
        <v>1</v>
      </c>
      <c r="D198" s="366" t="s">
        <v>687</v>
      </c>
      <c r="E198" s="485">
        <v>0.91</v>
      </c>
      <c r="F198" s="380"/>
    </row>
    <row r="199" spans="1:6" ht="12.75">
      <c r="A199" s="366">
        <v>16</v>
      </c>
      <c r="B199" s="366" t="s">
        <v>670</v>
      </c>
      <c r="C199" s="485">
        <v>1.1</v>
      </c>
      <c r="D199" s="369" t="s">
        <v>670</v>
      </c>
      <c r="E199" s="532">
        <v>1</v>
      </c>
      <c r="F199" s="380"/>
    </row>
    <row r="200" spans="1:6" ht="12.75">
      <c r="A200" s="366">
        <v>16</v>
      </c>
      <c r="B200" s="366" t="s">
        <v>688</v>
      </c>
      <c r="C200" s="485">
        <v>1.28</v>
      </c>
      <c r="D200" s="366" t="s">
        <v>688</v>
      </c>
      <c r="E200" s="485">
        <v>1.16</v>
      </c>
      <c r="F200" s="380"/>
    </row>
    <row r="201" spans="1:6" ht="12.75">
      <c r="A201" s="366">
        <v>16</v>
      </c>
      <c r="B201" s="366" t="s">
        <v>689</v>
      </c>
      <c r="C201" s="485">
        <v>1.46</v>
      </c>
      <c r="D201" s="366" t="s">
        <v>689</v>
      </c>
      <c r="E201" s="485">
        <v>1.32</v>
      </c>
      <c r="F201" s="380"/>
    </row>
    <row r="202" spans="1:6" ht="12.75">
      <c r="A202" s="366">
        <v>16</v>
      </c>
      <c r="B202" s="366" t="s">
        <v>690</v>
      </c>
      <c r="C202" s="485">
        <v>1.58</v>
      </c>
      <c r="D202" s="366" t="s">
        <v>690</v>
      </c>
      <c r="E202" s="485">
        <v>1.43</v>
      </c>
      <c r="F202" s="380"/>
    </row>
    <row r="203" spans="1:6" ht="12.75">
      <c r="A203" s="366">
        <v>7</v>
      </c>
      <c r="B203" s="366">
        <v>1</v>
      </c>
      <c r="C203" s="485">
        <v>0.5</v>
      </c>
      <c r="D203" s="366">
        <v>1</v>
      </c>
      <c r="E203" s="485">
        <v>0.46</v>
      </c>
      <c r="F203" s="380"/>
    </row>
    <row r="204" spans="1:6" ht="12.75">
      <c r="A204" s="366">
        <v>8</v>
      </c>
      <c r="B204" s="366">
        <v>2</v>
      </c>
      <c r="C204" s="485">
        <v>0.55</v>
      </c>
      <c r="D204" s="366">
        <v>2</v>
      </c>
      <c r="E204" s="485">
        <v>0.5</v>
      </c>
      <c r="F204" s="380"/>
    </row>
    <row r="205" spans="1:6" ht="12.75">
      <c r="A205" s="366">
        <v>9</v>
      </c>
      <c r="B205" s="366">
        <v>3</v>
      </c>
      <c r="C205" s="485">
        <v>0.6</v>
      </c>
      <c r="D205" s="366">
        <v>3</v>
      </c>
      <c r="E205" s="485">
        <v>0.55</v>
      </c>
      <c r="F205" s="380"/>
    </row>
    <row r="206" spans="1:6" ht="12.75">
      <c r="A206" s="366">
        <v>11</v>
      </c>
      <c r="B206" s="366">
        <v>4</v>
      </c>
      <c r="C206" s="485">
        <v>0.63</v>
      </c>
      <c r="D206" s="366">
        <v>4</v>
      </c>
      <c r="E206" s="485">
        <v>0.58</v>
      </c>
      <c r="F206" s="380"/>
    </row>
    <row r="207" spans="1:6" ht="12.75">
      <c r="A207" s="366">
        <v>12</v>
      </c>
      <c r="B207" s="366">
        <v>5</v>
      </c>
      <c r="C207" s="485">
        <v>0.67</v>
      </c>
      <c r="D207" s="366">
        <v>5</v>
      </c>
      <c r="E207" s="485">
        <v>0.61</v>
      </c>
      <c r="F207" s="380"/>
    </row>
    <row r="208" spans="1:6" ht="12.75">
      <c r="A208" s="366">
        <v>11</v>
      </c>
      <c r="B208" s="366">
        <v>6</v>
      </c>
      <c r="C208" s="485">
        <v>0.7</v>
      </c>
      <c r="D208" s="366">
        <v>6</v>
      </c>
      <c r="E208" s="485">
        <v>0.64</v>
      </c>
      <c r="F208" s="380"/>
    </row>
    <row r="209" spans="1:6" ht="12.75">
      <c r="A209" s="366">
        <v>12</v>
      </c>
      <c r="B209" s="366">
        <v>7</v>
      </c>
      <c r="C209" s="485">
        <v>0.77</v>
      </c>
      <c r="D209" s="366">
        <v>7</v>
      </c>
      <c r="E209" s="485">
        <v>0.7</v>
      </c>
      <c r="F209" s="380"/>
    </row>
    <row r="210" spans="1:6" ht="12.75">
      <c r="A210" s="366">
        <v>13</v>
      </c>
      <c r="B210" s="366">
        <v>8</v>
      </c>
      <c r="C210" s="485">
        <v>0.87</v>
      </c>
      <c r="D210" s="366">
        <v>8</v>
      </c>
      <c r="E210" s="485">
        <v>0.8</v>
      </c>
      <c r="F210" s="380"/>
    </row>
    <row r="211" spans="1:6" ht="12.75">
      <c r="A211" s="366">
        <v>10</v>
      </c>
      <c r="B211" s="366">
        <v>9</v>
      </c>
      <c r="C211" s="485">
        <v>0.99</v>
      </c>
      <c r="D211" s="366">
        <v>9</v>
      </c>
      <c r="E211" s="485">
        <v>0.9</v>
      </c>
      <c r="F211" s="380"/>
    </row>
    <row r="212" spans="1:6" ht="12.75">
      <c r="A212" s="366">
        <v>13</v>
      </c>
      <c r="B212" s="366">
        <v>10</v>
      </c>
      <c r="C212" s="485">
        <v>1.09</v>
      </c>
      <c r="D212" s="366">
        <v>10</v>
      </c>
      <c r="E212" s="485">
        <v>0.99</v>
      </c>
      <c r="F212" s="380"/>
    </row>
    <row r="213" spans="1:6" ht="12.75">
      <c r="A213" s="366">
        <v>18</v>
      </c>
      <c r="B213" s="366">
        <v>11</v>
      </c>
      <c r="C213" s="485">
        <v>1.27</v>
      </c>
      <c r="D213" s="366">
        <v>11</v>
      </c>
      <c r="E213" s="485">
        <v>1.15</v>
      </c>
      <c r="F213" s="380"/>
    </row>
    <row r="214" spans="1:6" ht="12.75">
      <c r="A214" s="366">
        <v>16</v>
      </c>
      <c r="B214" s="366">
        <v>12</v>
      </c>
      <c r="C214" s="485">
        <v>1.44</v>
      </c>
      <c r="D214" s="366">
        <v>12</v>
      </c>
      <c r="E214" s="485">
        <v>1.31</v>
      </c>
      <c r="F214" s="380"/>
    </row>
    <row r="215" spans="1:6" ht="12.75">
      <c r="A215" s="366">
        <v>13</v>
      </c>
      <c r="B215" s="366">
        <v>13</v>
      </c>
      <c r="C215" s="485">
        <v>1.56</v>
      </c>
      <c r="D215" s="366">
        <v>13</v>
      </c>
      <c r="E215" s="485">
        <v>1.42</v>
      </c>
      <c r="F215" s="380"/>
    </row>
    <row r="216" spans="1:6" ht="12.75">
      <c r="A216" s="366">
        <v>11</v>
      </c>
      <c r="B216" s="366">
        <v>14</v>
      </c>
      <c r="C216" s="485">
        <v>1.72</v>
      </c>
      <c r="D216" s="366">
        <v>14</v>
      </c>
      <c r="E216" s="485">
        <v>1.56</v>
      </c>
      <c r="F216" s="380"/>
    </row>
    <row r="217" spans="1:6" ht="12.75">
      <c r="A217" s="366">
        <v>12</v>
      </c>
      <c r="B217" s="366">
        <v>15</v>
      </c>
      <c r="C217" s="485">
        <v>1.89</v>
      </c>
      <c r="D217" s="366">
        <v>15</v>
      </c>
      <c r="E217" s="485">
        <v>1.71</v>
      </c>
      <c r="F217" s="380"/>
    </row>
    <row r="218" spans="1:6" ht="12.75">
      <c r="A218" s="366">
        <v>1</v>
      </c>
      <c r="B218" s="366" t="s">
        <v>691</v>
      </c>
      <c r="C218" s="485">
        <v>0.35</v>
      </c>
      <c r="D218" s="366" t="s">
        <v>691</v>
      </c>
      <c r="E218" s="485">
        <v>0.32</v>
      </c>
      <c r="F218" s="380"/>
    </row>
    <row r="219" spans="1:6" ht="12.75">
      <c r="A219" s="366">
        <v>1</v>
      </c>
      <c r="B219" s="366" t="s">
        <v>692</v>
      </c>
      <c r="C219" s="485">
        <v>0.36</v>
      </c>
      <c r="D219" s="366" t="s">
        <v>692</v>
      </c>
      <c r="E219" s="485">
        <v>0.33</v>
      </c>
      <c r="F219" s="380"/>
    </row>
    <row r="220" ht="12.75"/>
    <row r="221" ht="12.75"/>
    <row r="222" spans="1:4" ht="12.75">
      <c r="A222" s="366" t="s">
        <v>745</v>
      </c>
      <c r="B222" s="373">
        <v>0.02</v>
      </c>
      <c r="C222" s="373">
        <v>0.03</v>
      </c>
      <c r="D222" s="373"/>
    </row>
    <row r="223" spans="1:4" ht="12.75">
      <c r="A223" s="366" t="s">
        <v>746</v>
      </c>
      <c r="B223" s="373">
        <v>0.024</v>
      </c>
      <c r="C223" s="374">
        <v>0.05</v>
      </c>
      <c r="D223" s="373"/>
    </row>
    <row r="224" ht="12.75"/>
    <row r="225" ht="12.75"/>
    <row r="226" s="369" customFormat="1" ht="12.75">
      <c r="A226" s="369" t="s">
        <v>5</v>
      </c>
    </row>
    <row r="227" spans="1:8" ht="12.75">
      <c r="A227" s="384"/>
      <c r="B227" s="383"/>
      <c r="C227" s="398"/>
      <c r="D227" s="384" t="s">
        <v>554</v>
      </c>
      <c r="E227" s="384"/>
      <c r="F227" s="383" t="s">
        <v>555</v>
      </c>
      <c r="G227" s="383"/>
      <c r="H227" s="383"/>
    </row>
    <row r="228" spans="1:8" ht="12.75">
      <c r="A228" s="383"/>
      <c r="B228" s="384" t="s">
        <v>469</v>
      </c>
      <c r="C228" s="384" t="s">
        <v>486</v>
      </c>
      <c r="D228" s="383" t="s">
        <v>556</v>
      </c>
      <c r="E228" s="383" t="s">
        <v>557</v>
      </c>
      <c r="F228" s="383" t="s">
        <v>558</v>
      </c>
      <c r="G228" s="383"/>
      <c r="H228" s="383"/>
    </row>
    <row r="229" spans="1:8" ht="12.75">
      <c r="A229" s="380"/>
      <c r="B229" s="380" t="s">
        <v>560</v>
      </c>
      <c r="C229" s="380" t="s">
        <v>560</v>
      </c>
      <c r="D229" s="380" t="s">
        <v>561</v>
      </c>
      <c r="E229" s="380" t="s">
        <v>562</v>
      </c>
      <c r="F229" s="380" t="s">
        <v>563</v>
      </c>
      <c r="G229" s="380" t="s">
        <v>559</v>
      </c>
      <c r="H229" s="380" t="s">
        <v>564</v>
      </c>
    </row>
    <row r="230" spans="1:8" ht="12.75">
      <c r="A230" s="380" t="s">
        <v>473</v>
      </c>
      <c r="B230" s="508">
        <v>1048.26</v>
      </c>
      <c r="C230" s="508">
        <v>1048.26</v>
      </c>
      <c r="D230" s="508">
        <v>172.41</v>
      </c>
      <c r="E230" s="508">
        <v>122.91</v>
      </c>
      <c r="F230" s="508">
        <v>127.07</v>
      </c>
      <c r="G230" s="508">
        <v>136.05</v>
      </c>
      <c r="H230" s="508">
        <v>29.49</v>
      </c>
    </row>
    <row r="231" spans="1:8" ht="12.75">
      <c r="A231" s="380" t="s">
        <v>474</v>
      </c>
      <c r="B231" s="508">
        <v>788.79</v>
      </c>
      <c r="C231" s="508">
        <v>888.63</v>
      </c>
      <c r="D231" s="508">
        <v>172.41</v>
      </c>
      <c r="E231" s="508">
        <v>122.91</v>
      </c>
      <c r="F231" s="508">
        <v>74.75</v>
      </c>
      <c r="G231" s="508">
        <v>136.05</v>
      </c>
      <c r="H231" s="508">
        <v>29.49</v>
      </c>
    </row>
    <row r="232" spans="1:8" ht="12.75">
      <c r="A232" s="380" t="s">
        <v>475</v>
      </c>
      <c r="B232" s="508">
        <v>772.15</v>
      </c>
      <c r="C232" s="508">
        <v>0</v>
      </c>
      <c r="D232" s="508">
        <v>172.41</v>
      </c>
      <c r="E232" s="508">
        <v>122.91</v>
      </c>
      <c r="F232" s="508">
        <v>74.75</v>
      </c>
      <c r="G232" s="508">
        <v>136.05</v>
      </c>
      <c r="H232" s="508">
        <v>29.49</v>
      </c>
    </row>
    <row r="233" spans="1:8" ht="12.75">
      <c r="A233" s="380" t="s">
        <v>476</v>
      </c>
      <c r="B233" s="508">
        <v>915.13</v>
      </c>
      <c r="C233" s="508">
        <v>1014.96</v>
      </c>
      <c r="D233" s="508">
        <v>172.41</v>
      </c>
      <c r="E233" s="508">
        <v>122.91</v>
      </c>
      <c r="F233" s="508">
        <v>124.71</v>
      </c>
      <c r="G233" s="508">
        <v>136.05</v>
      </c>
      <c r="H233" s="508">
        <v>29.49</v>
      </c>
    </row>
    <row r="234" spans="1:8" ht="12.75">
      <c r="A234" s="380" t="s">
        <v>478</v>
      </c>
      <c r="B234" s="508">
        <v>772.15</v>
      </c>
      <c r="C234" s="508">
        <v>872</v>
      </c>
      <c r="D234" s="508">
        <v>172.41</v>
      </c>
      <c r="E234" s="508">
        <v>122.91</v>
      </c>
      <c r="F234" s="508">
        <v>74.75</v>
      </c>
      <c r="G234" s="508">
        <v>136.05</v>
      </c>
      <c r="H234" s="508">
        <v>29.49</v>
      </c>
    </row>
    <row r="235" spans="1:8" ht="12.75">
      <c r="A235" s="380" t="s">
        <v>479</v>
      </c>
      <c r="B235" s="508">
        <v>788.79</v>
      </c>
      <c r="C235" s="508">
        <v>872</v>
      </c>
      <c r="D235" s="508">
        <v>172.41</v>
      </c>
      <c r="E235" s="508">
        <v>122.91</v>
      </c>
      <c r="F235" s="508">
        <v>74.75</v>
      </c>
      <c r="G235" s="508">
        <v>136.05</v>
      </c>
      <c r="H235" s="508">
        <v>29.49</v>
      </c>
    </row>
    <row r="236" spans="1:8" ht="12.75">
      <c r="A236" s="380" t="s">
        <v>477</v>
      </c>
      <c r="B236" s="508">
        <v>772.15</v>
      </c>
      <c r="C236" s="508">
        <v>788.79</v>
      </c>
      <c r="D236" s="508">
        <v>172.41</v>
      </c>
      <c r="E236" s="508">
        <v>122.91</v>
      </c>
      <c r="F236" s="508">
        <v>74.75</v>
      </c>
      <c r="G236" s="508">
        <v>136.05</v>
      </c>
      <c r="H236" s="508">
        <v>29.49</v>
      </c>
    </row>
    <row r="237" spans="1:8" ht="12.75">
      <c r="A237" s="380" t="s">
        <v>480</v>
      </c>
      <c r="B237" s="508">
        <v>788.79</v>
      </c>
      <c r="C237" s="508">
        <v>872</v>
      </c>
      <c r="D237" s="508">
        <v>172.41</v>
      </c>
      <c r="E237" s="508">
        <v>122.91</v>
      </c>
      <c r="F237" s="508">
        <v>74.75</v>
      </c>
      <c r="G237" s="508">
        <v>136.05</v>
      </c>
      <c r="H237" s="508">
        <v>29.49</v>
      </c>
    </row>
    <row r="238" spans="1:8" ht="12.75">
      <c r="A238" s="380" t="s">
        <v>481</v>
      </c>
      <c r="B238" s="508">
        <v>788.79</v>
      </c>
      <c r="C238" s="508">
        <v>872</v>
      </c>
      <c r="D238" s="508">
        <v>172.41</v>
      </c>
      <c r="E238" s="508">
        <v>122.91</v>
      </c>
      <c r="F238" s="508">
        <v>74.75</v>
      </c>
      <c r="G238" s="508">
        <v>136.05</v>
      </c>
      <c r="H238" s="508">
        <v>29.49</v>
      </c>
    </row>
    <row r="239" spans="1:8" ht="12.75">
      <c r="A239" s="381" t="s">
        <v>483</v>
      </c>
      <c r="B239" s="508">
        <v>1479.74</v>
      </c>
      <c r="C239" s="508">
        <v>1479.74</v>
      </c>
      <c r="D239" s="508">
        <v>172.41</v>
      </c>
      <c r="E239" s="508">
        <v>122.91</v>
      </c>
      <c r="F239" s="508">
        <v>209.3</v>
      </c>
      <c r="G239" s="508">
        <v>136.05</v>
      </c>
      <c r="H239" s="508">
        <v>29.49</v>
      </c>
    </row>
    <row r="240" spans="1:8" ht="12.75">
      <c r="A240" s="381" t="s">
        <v>485</v>
      </c>
      <c r="B240" s="508">
        <v>1950.14</v>
      </c>
      <c r="C240" s="508">
        <v>1950.14</v>
      </c>
      <c r="D240" s="508">
        <v>172.41</v>
      </c>
      <c r="E240" s="508">
        <v>122.91</v>
      </c>
      <c r="F240" s="508">
        <v>287.64</v>
      </c>
      <c r="G240" s="508">
        <v>136.05</v>
      </c>
      <c r="H240" s="508">
        <v>29.49</v>
      </c>
    </row>
    <row r="241" spans="1:8" ht="12.75">
      <c r="A241" s="381" t="s">
        <v>484</v>
      </c>
      <c r="B241" s="508">
        <v>998.35</v>
      </c>
      <c r="C241" s="508">
        <v>1014.96</v>
      </c>
      <c r="D241" s="508">
        <v>172.41</v>
      </c>
      <c r="E241" s="508">
        <v>122.91</v>
      </c>
      <c r="F241" s="508">
        <v>127.07</v>
      </c>
      <c r="G241" s="508">
        <v>136.05</v>
      </c>
      <c r="H241" s="508">
        <v>29.49</v>
      </c>
    </row>
    <row r="242" spans="1:8" ht="12.75">
      <c r="A242" s="381" t="s">
        <v>482</v>
      </c>
      <c r="B242" s="508">
        <v>1124.67</v>
      </c>
      <c r="C242" s="508">
        <v>1141.3</v>
      </c>
      <c r="D242" s="508">
        <v>172.41</v>
      </c>
      <c r="E242" s="508">
        <v>122.91</v>
      </c>
      <c r="F242" s="508">
        <v>179.4</v>
      </c>
      <c r="G242" s="508">
        <v>136.05</v>
      </c>
      <c r="H242" s="508">
        <v>29.49</v>
      </c>
    </row>
    <row r="243" spans="1:7" ht="12.75">
      <c r="A243" s="492" t="s">
        <v>264</v>
      </c>
      <c r="B243" s="380"/>
      <c r="C243" s="380"/>
      <c r="D243" s="380"/>
      <c r="E243" s="380"/>
      <c r="F243" s="380"/>
      <c r="G243" s="380"/>
    </row>
    <row r="244" ht="12.75"/>
    <row r="245" ht="12.75"/>
    <row r="246" ht="12.75">
      <c r="A246" s="369" t="s">
        <v>655</v>
      </c>
    </row>
    <row r="247" spans="1:8" ht="12.75">
      <c r="A247" s="383" t="s">
        <v>550</v>
      </c>
      <c r="C247" s="371">
        <v>2067.58</v>
      </c>
      <c r="E247" s="487"/>
      <c r="F247" s="487"/>
      <c r="G247" s="487"/>
      <c r="H247" s="487"/>
    </row>
    <row r="248" spans="1:8" ht="12.75">
      <c r="A248" s="383" t="s">
        <v>551</v>
      </c>
      <c r="C248" s="371">
        <v>34.84</v>
      </c>
      <c r="E248" s="487"/>
      <c r="F248" s="487"/>
      <c r="G248" s="487"/>
      <c r="H248" s="487"/>
    </row>
    <row r="249" ht="12.75"/>
    <row r="250" ht="12.75"/>
    <row r="251" spans="1:2" ht="12.75">
      <c r="A251" s="386" t="s">
        <v>516</v>
      </c>
      <c r="B251" s="401" t="s">
        <v>658</v>
      </c>
    </row>
    <row r="252" spans="1:3" ht="12.75">
      <c r="A252" s="402" t="s">
        <v>302</v>
      </c>
      <c r="B252" s="402" t="s">
        <v>469</v>
      </c>
      <c r="C252" s="402" t="s">
        <v>486</v>
      </c>
    </row>
    <row r="253" spans="1:3" ht="12.75">
      <c r="A253" s="403" t="s">
        <v>471</v>
      </c>
      <c r="B253" s="497">
        <v>1</v>
      </c>
      <c r="C253" s="497">
        <v>1</v>
      </c>
    </row>
    <row r="254" spans="1:3" ht="12.75">
      <c r="A254" s="403" t="s">
        <v>472</v>
      </c>
      <c r="B254" s="497">
        <v>1</v>
      </c>
      <c r="C254" s="497">
        <v>1</v>
      </c>
    </row>
    <row r="255" spans="1:3" ht="12.75">
      <c r="A255" s="404" t="s">
        <v>473</v>
      </c>
      <c r="B255" s="497">
        <v>6</v>
      </c>
      <c r="C255" s="497">
        <v>6</v>
      </c>
    </row>
    <row r="256" spans="1:3" ht="12.75">
      <c r="A256" s="404" t="s">
        <v>474</v>
      </c>
      <c r="B256" s="497">
        <v>12</v>
      </c>
      <c r="C256" s="497">
        <v>7</v>
      </c>
    </row>
    <row r="257" spans="1:3" ht="12.75">
      <c r="A257" s="404" t="s">
        <v>475</v>
      </c>
      <c r="B257" s="497">
        <v>12</v>
      </c>
      <c r="C257" s="497">
        <v>7</v>
      </c>
    </row>
    <row r="258" spans="1:3" ht="12.75">
      <c r="A258" s="404" t="s">
        <v>476</v>
      </c>
      <c r="B258" s="497">
        <v>12</v>
      </c>
      <c r="C258" s="497">
        <v>7</v>
      </c>
    </row>
    <row r="259" spans="1:3" ht="12.75">
      <c r="A259" s="404" t="s">
        <v>477</v>
      </c>
      <c r="B259" s="497">
        <v>12</v>
      </c>
      <c r="C259" s="497">
        <v>7</v>
      </c>
    </row>
    <row r="260" spans="1:3" ht="12.75">
      <c r="A260" s="404" t="s">
        <v>478</v>
      </c>
      <c r="B260" s="497">
        <v>13</v>
      </c>
      <c r="C260" s="497">
        <v>7</v>
      </c>
    </row>
    <row r="261" spans="1:3" ht="12.75">
      <c r="A261" s="404" t="s">
        <v>479</v>
      </c>
      <c r="B261" s="497">
        <v>12</v>
      </c>
      <c r="C261" s="497">
        <v>7</v>
      </c>
    </row>
    <row r="262" spans="1:3" ht="12.75">
      <c r="A262" s="404" t="s">
        <v>480</v>
      </c>
      <c r="B262" s="497">
        <v>12</v>
      </c>
      <c r="C262" s="497">
        <v>7</v>
      </c>
    </row>
    <row r="263" spans="1:3" ht="12.75">
      <c r="A263" s="404" t="s">
        <v>481</v>
      </c>
      <c r="B263" s="497">
        <v>12</v>
      </c>
      <c r="C263" s="497">
        <v>7</v>
      </c>
    </row>
    <row r="264" spans="1:3" ht="12.75">
      <c r="A264" s="404" t="s">
        <v>482</v>
      </c>
      <c r="B264" s="497">
        <v>7</v>
      </c>
      <c r="C264" s="497">
        <v>7</v>
      </c>
    </row>
    <row r="265" spans="1:3" ht="12.75">
      <c r="A265" s="404" t="s">
        <v>483</v>
      </c>
      <c r="B265" s="497">
        <v>3</v>
      </c>
      <c r="C265" s="497">
        <v>3</v>
      </c>
    </row>
    <row r="266" spans="1:3" ht="12.75">
      <c r="A266" s="404" t="s">
        <v>484</v>
      </c>
      <c r="B266" s="497">
        <v>7</v>
      </c>
      <c r="C266" s="497">
        <v>7</v>
      </c>
    </row>
    <row r="267" spans="1:3" ht="12.75">
      <c r="A267" s="404" t="s">
        <v>485</v>
      </c>
      <c r="B267" s="497">
        <v>2</v>
      </c>
      <c r="C267" s="497">
        <v>2</v>
      </c>
    </row>
    <row r="268" ht="12.75"/>
    <row r="269" spans="1:5" ht="12.75">
      <c r="A269" s="386" t="s">
        <v>266</v>
      </c>
      <c r="B269" s="386"/>
      <c r="C269" s="386"/>
      <c r="D269" s="405"/>
      <c r="E269" s="405"/>
    </row>
    <row r="270" spans="1:6" ht="12.75">
      <c r="A270" s="381" t="s">
        <v>487</v>
      </c>
      <c r="B270" s="381" t="s">
        <v>489</v>
      </c>
      <c r="C270" s="406" t="s">
        <v>490</v>
      </c>
      <c r="D270" s="406"/>
      <c r="E270" s="406" t="s">
        <v>491</v>
      </c>
      <c r="F270" s="407"/>
    </row>
    <row r="271" spans="1:6" ht="12.75">
      <c r="A271" s="401"/>
      <c r="B271" s="401"/>
      <c r="C271" s="381" t="s">
        <v>470</v>
      </c>
      <c r="D271" s="381" t="s">
        <v>488</v>
      </c>
      <c r="E271" s="381" t="s">
        <v>470</v>
      </c>
      <c r="F271" s="381" t="s">
        <v>488</v>
      </c>
    </row>
    <row r="272" spans="1:6" ht="12.75">
      <c r="A272" s="401" t="s">
        <v>471</v>
      </c>
      <c r="B272" s="422">
        <v>0</v>
      </c>
      <c r="C272" s="422">
        <v>0</v>
      </c>
      <c r="D272" s="422">
        <v>0</v>
      </c>
      <c r="E272" s="422">
        <v>0</v>
      </c>
      <c r="F272" s="422">
        <v>0</v>
      </c>
    </row>
    <row r="273" spans="1:6" ht="12.75">
      <c r="A273" s="401" t="s">
        <v>472</v>
      </c>
      <c r="B273" s="422">
        <v>0</v>
      </c>
      <c r="C273" s="422">
        <v>0</v>
      </c>
      <c r="D273" s="422">
        <v>0</v>
      </c>
      <c r="E273" s="422">
        <v>0</v>
      </c>
      <c r="F273" s="422">
        <v>0</v>
      </c>
    </row>
    <row r="274" spans="1:6" ht="12.75">
      <c r="A274" s="381" t="s">
        <v>473</v>
      </c>
      <c r="B274" s="501">
        <v>16311.12</v>
      </c>
      <c r="C274" s="501">
        <v>3067.52</v>
      </c>
      <c r="D274" s="501">
        <v>3821.94</v>
      </c>
      <c r="E274" s="501">
        <v>4724.02</v>
      </c>
      <c r="F274" s="501">
        <v>3767.71</v>
      </c>
    </row>
    <row r="275" spans="1:6" ht="12.75">
      <c r="A275" s="381" t="s">
        <v>474</v>
      </c>
      <c r="B275" s="501">
        <v>7664.22</v>
      </c>
      <c r="C275" s="501">
        <v>3036.51</v>
      </c>
      <c r="D275" s="501">
        <v>4933.47</v>
      </c>
      <c r="E275" s="501">
        <v>4954.02</v>
      </c>
      <c r="F275" s="501">
        <v>3783.47</v>
      </c>
    </row>
    <row r="276" spans="1:6" ht="12.75">
      <c r="A276" s="381" t="s">
        <v>475</v>
      </c>
      <c r="B276" s="501">
        <v>7735.73</v>
      </c>
      <c r="C276" s="501">
        <v>3086.2</v>
      </c>
      <c r="D276" s="501">
        <v>5014.21</v>
      </c>
      <c r="E276" s="501">
        <v>0</v>
      </c>
      <c r="F276" s="501">
        <v>0</v>
      </c>
    </row>
    <row r="277" spans="1:6" ht="12.75">
      <c r="A277" s="381" t="s">
        <v>476</v>
      </c>
      <c r="B277" s="501">
        <v>14060.33</v>
      </c>
      <c r="C277" s="501">
        <v>7127.07</v>
      </c>
      <c r="D277" s="501">
        <v>6806.94</v>
      </c>
      <c r="E277" s="501">
        <v>5966.55</v>
      </c>
      <c r="F277" s="501">
        <v>5251.33</v>
      </c>
    </row>
    <row r="278" spans="1:6" ht="12.75">
      <c r="A278" s="381" t="s">
        <v>477</v>
      </c>
      <c r="B278" s="501">
        <v>7584.86</v>
      </c>
      <c r="C278" s="501">
        <v>4033.14</v>
      </c>
      <c r="D278" s="501">
        <v>4913.14</v>
      </c>
      <c r="E278" s="501">
        <v>5445.12</v>
      </c>
      <c r="F278" s="501">
        <v>4707.72</v>
      </c>
    </row>
    <row r="279" spans="1:6" ht="12.75">
      <c r="A279" s="381" t="s">
        <v>478</v>
      </c>
      <c r="B279" s="501">
        <v>8210.84</v>
      </c>
      <c r="C279" s="501">
        <v>4415.56</v>
      </c>
      <c r="D279" s="501">
        <v>5575.07</v>
      </c>
      <c r="E279" s="501">
        <v>5369.79</v>
      </c>
      <c r="F279" s="501">
        <v>4428.88</v>
      </c>
    </row>
    <row r="280" spans="1:6" ht="12.75">
      <c r="A280" s="404" t="s">
        <v>479</v>
      </c>
      <c r="B280" s="501">
        <v>6460.96</v>
      </c>
      <c r="C280" s="501">
        <v>4212.06</v>
      </c>
      <c r="D280" s="501">
        <v>4902.48</v>
      </c>
      <c r="E280" s="501">
        <v>6261.64</v>
      </c>
      <c r="F280" s="501">
        <v>3496.22</v>
      </c>
    </row>
    <row r="281" spans="1:6" ht="12.75">
      <c r="A281" s="404" t="s">
        <v>480</v>
      </c>
      <c r="B281" s="501">
        <v>6460.96</v>
      </c>
      <c r="C281" s="501">
        <v>4212.06</v>
      </c>
      <c r="D281" s="501">
        <v>4902.48</v>
      </c>
      <c r="E281" s="501">
        <v>6261.64</v>
      </c>
      <c r="F281" s="501">
        <v>3496.22</v>
      </c>
    </row>
    <row r="282" spans="1:6" ht="12.75">
      <c r="A282" s="404" t="s">
        <v>481</v>
      </c>
      <c r="B282" s="501">
        <v>6460.96</v>
      </c>
      <c r="C282" s="501">
        <v>4212.06</v>
      </c>
      <c r="D282" s="501">
        <v>4902.48</v>
      </c>
      <c r="E282" s="501">
        <v>6261.64</v>
      </c>
      <c r="F282" s="501">
        <v>3496.22</v>
      </c>
    </row>
    <row r="283" spans="1:6" ht="12.75">
      <c r="A283" s="381" t="s">
        <v>482</v>
      </c>
      <c r="B283" s="501">
        <v>11758.29</v>
      </c>
      <c r="C283" s="501">
        <v>3037.76</v>
      </c>
      <c r="D283" s="501">
        <v>6138.71</v>
      </c>
      <c r="E283" s="501">
        <v>5321.71</v>
      </c>
      <c r="F283" s="501">
        <v>5320.85</v>
      </c>
    </row>
    <row r="284" spans="1:6" ht="12.75">
      <c r="A284" s="381" t="s">
        <v>483</v>
      </c>
      <c r="B284" s="501">
        <v>12820.62</v>
      </c>
      <c r="C284" s="501">
        <v>3453.77</v>
      </c>
      <c r="D284" s="501">
        <v>4258.42</v>
      </c>
      <c r="E284" s="501">
        <v>5012.46</v>
      </c>
      <c r="F284" s="501">
        <v>4143.71</v>
      </c>
    </row>
    <row r="285" spans="1:6" ht="12.75">
      <c r="A285" s="381" t="s">
        <v>484</v>
      </c>
      <c r="B285" s="501">
        <v>7632.47</v>
      </c>
      <c r="C285" s="501">
        <v>3435.16</v>
      </c>
      <c r="D285" s="501">
        <v>4925.34</v>
      </c>
      <c r="E285" s="501">
        <v>5150.46</v>
      </c>
      <c r="F285" s="501">
        <v>4153.17</v>
      </c>
    </row>
    <row r="286" spans="1:6" ht="12.75">
      <c r="A286" s="381" t="s">
        <v>485</v>
      </c>
      <c r="B286" s="501">
        <v>16311.12</v>
      </c>
      <c r="C286" s="501">
        <v>3067.52</v>
      </c>
      <c r="D286" s="501">
        <v>3821.94</v>
      </c>
      <c r="E286" s="501">
        <v>4724.02</v>
      </c>
      <c r="F286" s="501">
        <v>3767.71</v>
      </c>
    </row>
    <row r="287" spans="1:5" ht="12.75">
      <c r="A287" s="403"/>
      <c r="B287" s="403"/>
      <c r="C287" s="403"/>
      <c r="D287" s="403"/>
      <c r="E287" s="403"/>
    </row>
    <row r="288" spans="1:5" ht="12.75">
      <c r="A288" s="403"/>
      <c r="B288" s="403"/>
      <c r="C288" s="403"/>
      <c r="D288" s="403"/>
      <c r="E288" s="403"/>
    </row>
    <row r="289" spans="1:5" ht="12.75">
      <c r="A289" s="411" t="s">
        <v>267</v>
      </c>
      <c r="B289" s="386"/>
      <c r="C289" s="403"/>
      <c r="D289" s="403"/>
      <c r="E289" s="403"/>
    </row>
    <row r="290" spans="1:6" ht="12.75">
      <c r="A290" s="408" t="s">
        <v>487</v>
      </c>
      <c r="B290" s="408" t="s">
        <v>492</v>
      </c>
      <c r="C290" s="409" t="s">
        <v>490</v>
      </c>
      <c r="D290" s="409"/>
      <c r="E290" s="409" t="s">
        <v>491</v>
      </c>
      <c r="F290" s="407"/>
    </row>
    <row r="291" spans="1:6" ht="12.75">
      <c r="A291" s="410"/>
      <c r="B291" s="410"/>
      <c r="C291" s="408" t="s">
        <v>470</v>
      </c>
      <c r="D291" s="408" t="s">
        <v>493</v>
      </c>
      <c r="E291" s="408" t="s">
        <v>470</v>
      </c>
      <c r="F291" s="408" t="s">
        <v>493</v>
      </c>
    </row>
    <row r="292" spans="1:6" ht="12.75">
      <c r="A292" s="401" t="s">
        <v>471</v>
      </c>
      <c r="B292" s="422">
        <v>0</v>
      </c>
      <c r="C292" s="422">
        <v>0</v>
      </c>
      <c r="D292" s="422">
        <v>0</v>
      </c>
      <c r="E292" s="422">
        <v>0</v>
      </c>
      <c r="F292" s="422">
        <v>0</v>
      </c>
    </row>
    <row r="293" spans="1:6" ht="12.75">
      <c r="A293" s="401" t="s">
        <v>472</v>
      </c>
      <c r="B293" s="422">
        <v>0</v>
      </c>
      <c r="C293" s="422">
        <v>0</v>
      </c>
      <c r="D293" s="422">
        <v>0</v>
      </c>
      <c r="E293" s="422">
        <v>0</v>
      </c>
      <c r="F293" s="422">
        <v>0</v>
      </c>
    </row>
    <row r="294" spans="1:6" ht="12.75">
      <c r="A294" s="408" t="s">
        <v>473</v>
      </c>
      <c r="B294" s="502">
        <v>11227.09</v>
      </c>
      <c r="C294" s="502">
        <v>6284</v>
      </c>
      <c r="D294" s="502">
        <v>1003.61</v>
      </c>
      <c r="E294" s="502">
        <v>6744</v>
      </c>
      <c r="F294" s="502">
        <v>1107.12</v>
      </c>
    </row>
    <row r="295" spans="1:6" ht="12.75">
      <c r="A295" s="408" t="s">
        <v>474</v>
      </c>
      <c r="B295" s="502">
        <v>11227.09</v>
      </c>
      <c r="C295" s="502">
        <v>5483</v>
      </c>
      <c r="D295" s="502">
        <v>854.06</v>
      </c>
      <c r="E295" s="502">
        <v>6153</v>
      </c>
      <c r="F295" s="502">
        <v>1054.35</v>
      </c>
    </row>
    <row r="296" spans="1:6" ht="12.75">
      <c r="A296" s="408" t="s">
        <v>475</v>
      </c>
      <c r="B296" s="502">
        <v>11227.09</v>
      </c>
      <c r="C296" s="502">
        <v>4688</v>
      </c>
      <c r="D296" s="502">
        <v>711.89</v>
      </c>
      <c r="E296" s="502">
        <v>0</v>
      </c>
      <c r="F296" s="502">
        <v>0</v>
      </c>
    </row>
    <row r="297" spans="1:6" ht="12.75">
      <c r="A297" s="408" t="s">
        <v>476</v>
      </c>
      <c r="B297" s="502">
        <v>11227.09</v>
      </c>
      <c r="C297" s="502">
        <v>11976</v>
      </c>
      <c r="D297" s="502">
        <v>832.1</v>
      </c>
      <c r="E297" s="502">
        <v>13053</v>
      </c>
      <c r="F297" s="502">
        <v>931.8</v>
      </c>
    </row>
    <row r="298" spans="1:6" ht="12.75">
      <c r="A298" s="408" t="s">
        <v>477</v>
      </c>
      <c r="B298" s="502">
        <v>11227.09</v>
      </c>
      <c r="C298" s="502">
        <v>5692</v>
      </c>
      <c r="D298" s="502">
        <v>575.39</v>
      </c>
      <c r="E298" s="502">
        <v>6758</v>
      </c>
      <c r="F298" s="502">
        <v>889.94</v>
      </c>
    </row>
    <row r="299" spans="1:6" ht="12.75">
      <c r="A299" s="408" t="s">
        <v>478</v>
      </c>
      <c r="B299" s="502">
        <v>11227.09</v>
      </c>
      <c r="C299" s="502">
        <v>3665</v>
      </c>
      <c r="D299" s="502">
        <v>566.73</v>
      </c>
      <c r="E299" s="502">
        <v>7234</v>
      </c>
      <c r="F299" s="502">
        <v>1007.02</v>
      </c>
    </row>
    <row r="300" spans="1:6" ht="12.75">
      <c r="A300" s="404" t="s">
        <v>479</v>
      </c>
      <c r="B300" s="502">
        <v>11227.09</v>
      </c>
      <c r="C300" s="502">
        <v>3425</v>
      </c>
      <c r="D300" s="502">
        <v>560.93</v>
      </c>
      <c r="E300" s="502">
        <v>7213</v>
      </c>
      <c r="F300" s="502">
        <v>764.22</v>
      </c>
    </row>
    <row r="301" spans="1:6" ht="12.75">
      <c r="A301" s="404" t="s">
        <v>480</v>
      </c>
      <c r="B301" s="502">
        <v>11227.09</v>
      </c>
      <c r="C301" s="502">
        <v>3425</v>
      </c>
      <c r="D301" s="502">
        <v>560.93</v>
      </c>
      <c r="E301" s="502">
        <v>7213</v>
      </c>
      <c r="F301" s="502">
        <v>764.22</v>
      </c>
    </row>
    <row r="302" spans="1:6" ht="12.75">
      <c r="A302" s="404" t="s">
        <v>481</v>
      </c>
      <c r="B302" s="502">
        <v>11227.09</v>
      </c>
      <c r="C302" s="502">
        <v>3425</v>
      </c>
      <c r="D302" s="502">
        <v>560.93</v>
      </c>
      <c r="E302" s="502">
        <v>7213</v>
      </c>
      <c r="F302" s="502">
        <v>764.22</v>
      </c>
    </row>
    <row r="303" spans="1:6" ht="12.75">
      <c r="A303" s="408" t="s">
        <v>482</v>
      </c>
      <c r="B303" s="502">
        <v>11227.09</v>
      </c>
      <c r="C303" s="502">
        <v>3716</v>
      </c>
      <c r="D303" s="502">
        <v>891.55</v>
      </c>
      <c r="E303" s="502">
        <v>3968</v>
      </c>
      <c r="F303" s="502">
        <v>1106.41</v>
      </c>
    </row>
    <row r="304" spans="1:6" ht="12.75">
      <c r="A304" s="408" t="s">
        <v>483</v>
      </c>
      <c r="B304" s="502">
        <v>11227.09</v>
      </c>
      <c r="C304" s="502">
        <v>9983.8</v>
      </c>
      <c r="D304" s="502">
        <v>1377.61</v>
      </c>
      <c r="E304" s="502">
        <v>11136.7</v>
      </c>
      <c r="F304" s="502">
        <v>1685.58</v>
      </c>
    </row>
    <row r="305" spans="1:6" ht="12.75">
      <c r="A305" s="408" t="s">
        <v>484</v>
      </c>
      <c r="B305" s="502">
        <v>11227.09</v>
      </c>
      <c r="C305" s="502">
        <v>9182.8</v>
      </c>
      <c r="D305" s="502">
        <v>1228.06</v>
      </c>
      <c r="E305" s="502">
        <v>10545.7</v>
      </c>
      <c r="F305" s="502">
        <v>1632.81</v>
      </c>
    </row>
    <row r="306" spans="1:6" ht="12.75">
      <c r="A306" s="408" t="s">
        <v>485</v>
      </c>
      <c r="B306" s="502">
        <v>11227.09</v>
      </c>
      <c r="C306" s="502">
        <v>10368.6</v>
      </c>
      <c r="D306" s="502">
        <v>1655.96</v>
      </c>
      <c r="E306" s="502">
        <v>11127.6</v>
      </c>
      <c r="F306" s="502">
        <v>1826.75</v>
      </c>
    </row>
    <row r="307" ht="12.75"/>
    <row r="308" ht="12.75"/>
    <row r="309" spans="1:6" ht="12.75">
      <c r="A309" s="403" t="s">
        <v>637</v>
      </c>
      <c r="B309" s="386" t="s">
        <v>638</v>
      </c>
      <c r="E309" s="386"/>
      <c r="F309" s="373"/>
    </row>
    <row r="310" spans="1:2" ht="12.75">
      <c r="A310" s="403" t="s">
        <v>471</v>
      </c>
      <c r="B310" s="498">
        <v>0</v>
      </c>
    </row>
    <row r="311" spans="1:2" ht="12.75">
      <c r="A311" s="403" t="s">
        <v>472</v>
      </c>
      <c r="B311" s="498">
        <v>0</v>
      </c>
    </row>
    <row r="312" spans="1:6" ht="12.75">
      <c r="A312" s="404" t="s">
        <v>473</v>
      </c>
      <c r="B312" s="503">
        <v>599</v>
      </c>
      <c r="F312" s="537"/>
    </row>
    <row r="313" spans="1:2" ht="12.75">
      <c r="A313" s="404" t="s">
        <v>474</v>
      </c>
      <c r="B313" s="503">
        <v>0</v>
      </c>
    </row>
    <row r="314" spans="1:2" ht="12.75">
      <c r="A314" s="404" t="s">
        <v>475</v>
      </c>
      <c r="B314" s="503">
        <v>0</v>
      </c>
    </row>
    <row r="315" spans="1:6" ht="12.75">
      <c r="A315" s="404" t="s">
        <v>476</v>
      </c>
      <c r="B315" s="503">
        <v>2962</v>
      </c>
      <c r="F315" s="537"/>
    </row>
    <row r="316" spans="1:6" ht="12.75">
      <c r="A316" s="404" t="s">
        <v>477</v>
      </c>
      <c r="B316" s="503">
        <v>74</v>
      </c>
      <c r="F316" s="537"/>
    </row>
    <row r="317" spans="1:6" ht="12.75">
      <c r="A317" s="404" t="s">
        <v>478</v>
      </c>
      <c r="B317" s="503">
        <v>48</v>
      </c>
      <c r="F317" s="537"/>
    </row>
    <row r="318" spans="1:6" ht="12.75">
      <c r="A318" s="404" t="s">
        <v>479</v>
      </c>
      <c r="B318" s="503">
        <v>11</v>
      </c>
      <c r="F318" s="537"/>
    </row>
    <row r="319" spans="1:6" ht="12.75">
      <c r="A319" s="404" t="s">
        <v>480</v>
      </c>
      <c r="B319" s="503">
        <v>11</v>
      </c>
      <c r="F319" s="537"/>
    </row>
    <row r="320" spans="1:6" ht="12.75">
      <c r="A320" s="404" t="s">
        <v>481</v>
      </c>
      <c r="B320" s="503">
        <v>11</v>
      </c>
      <c r="F320" s="537"/>
    </row>
    <row r="321" spans="1:6" ht="12.75">
      <c r="A321" s="404" t="s">
        <v>482</v>
      </c>
      <c r="B321" s="503">
        <v>1607</v>
      </c>
      <c r="F321" s="537"/>
    </row>
    <row r="322" spans="1:2" ht="12.75">
      <c r="A322" s="404" t="s">
        <v>483</v>
      </c>
      <c r="B322" s="498">
        <v>0</v>
      </c>
    </row>
    <row r="323" spans="1:2" ht="12.75">
      <c r="A323" s="404" t="s">
        <v>484</v>
      </c>
      <c r="B323" s="498">
        <v>0</v>
      </c>
    </row>
    <row r="324" spans="1:2" ht="12.75">
      <c r="A324" s="404" t="s">
        <v>485</v>
      </c>
      <c r="B324" s="498">
        <v>0</v>
      </c>
    </row>
    <row r="325" ht="12.75"/>
    <row r="326" ht="12.75"/>
    <row r="327" spans="1:9" ht="12.75">
      <c r="A327" s="411" t="s">
        <v>494</v>
      </c>
      <c r="B327" s="386"/>
      <c r="C327" s="400"/>
      <c r="D327" s="400"/>
      <c r="E327" s="400"/>
      <c r="F327" s="380"/>
      <c r="G327" s="380"/>
      <c r="H327" s="380"/>
      <c r="I327" s="380"/>
    </row>
    <row r="328" spans="1:9" ht="25.5">
      <c r="A328" s="408" t="s">
        <v>487</v>
      </c>
      <c r="B328" s="408"/>
      <c r="C328" s="408" t="s">
        <v>495</v>
      </c>
      <c r="D328" s="408" t="s">
        <v>578</v>
      </c>
      <c r="E328" s="408" t="s">
        <v>496</v>
      </c>
      <c r="F328" s="408" t="s">
        <v>220</v>
      </c>
      <c r="G328" s="408" t="s">
        <v>497</v>
      </c>
      <c r="H328" s="412" t="s">
        <v>498</v>
      </c>
      <c r="I328" s="412" t="s">
        <v>499</v>
      </c>
    </row>
    <row r="329" spans="1:9" ht="12.75">
      <c r="A329" s="401" t="s">
        <v>471</v>
      </c>
      <c r="B329" s="413">
        <v>0</v>
      </c>
      <c r="C329" s="408"/>
      <c r="D329" s="408"/>
      <c r="E329" s="408"/>
      <c r="F329" s="408"/>
      <c r="G329" s="408"/>
      <c r="H329" s="412"/>
      <c r="I329" s="412"/>
    </row>
    <row r="330" spans="1:9" ht="12.75">
      <c r="A330" s="401" t="s">
        <v>472</v>
      </c>
      <c r="B330" s="413">
        <v>0</v>
      </c>
      <c r="C330" s="408"/>
      <c r="D330" s="408"/>
      <c r="E330" s="408"/>
      <c r="F330" s="408"/>
      <c r="G330" s="408"/>
      <c r="H330" s="412"/>
      <c r="I330" s="412"/>
    </row>
    <row r="331" spans="1:9" ht="12.75">
      <c r="A331" s="408" t="s">
        <v>473</v>
      </c>
      <c r="B331" s="408">
        <v>0</v>
      </c>
      <c r="C331" s="408"/>
      <c r="D331" s="408"/>
      <c r="E331" s="408"/>
      <c r="F331" s="408"/>
      <c r="G331" s="408"/>
      <c r="H331" s="412"/>
      <c r="I331" s="412"/>
    </row>
    <row r="332" spans="1:9" ht="12.75">
      <c r="A332" s="408" t="s">
        <v>474</v>
      </c>
      <c r="B332" s="408">
        <v>0</v>
      </c>
      <c r="C332" s="408"/>
      <c r="D332" s="408"/>
      <c r="E332" s="408"/>
      <c r="F332" s="408"/>
      <c r="G332" s="408"/>
      <c r="H332" s="412"/>
      <c r="I332" s="412"/>
    </row>
    <row r="333" spans="1:9" ht="12.75">
      <c r="A333" s="408" t="s">
        <v>475</v>
      </c>
      <c r="B333" s="408">
        <v>0</v>
      </c>
      <c r="C333" s="408"/>
      <c r="D333" s="408"/>
      <c r="E333" s="408"/>
      <c r="F333" s="408"/>
      <c r="G333" s="408"/>
      <c r="H333" s="412"/>
      <c r="I333" s="412"/>
    </row>
    <row r="334" spans="1:9" ht="12.75">
      <c r="A334" s="408" t="s">
        <v>476</v>
      </c>
      <c r="B334" s="412">
        <f aca="true" t="shared" si="0" ref="B334:B343">+H334+I334</f>
        <v>38791.84</v>
      </c>
      <c r="C334" s="408" t="s">
        <v>500</v>
      </c>
      <c r="D334" s="414">
        <v>85</v>
      </c>
      <c r="E334" s="502">
        <v>9119.89</v>
      </c>
      <c r="F334" s="502">
        <v>265.51</v>
      </c>
      <c r="G334" s="414">
        <v>85</v>
      </c>
      <c r="H334" s="375">
        <f>+E334+F334*G334</f>
        <v>31688.239999999998</v>
      </c>
      <c r="I334" s="375">
        <f>+D$344+E$344*G334</f>
        <v>7103.599999999999</v>
      </c>
    </row>
    <row r="335" spans="1:9" ht="12.75">
      <c r="A335" s="408" t="s">
        <v>477</v>
      </c>
      <c r="B335" s="412">
        <f t="shared" si="0"/>
        <v>24981.73</v>
      </c>
      <c r="C335" s="408" t="s">
        <v>501</v>
      </c>
      <c r="D335" s="414">
        <v>19</v>
      </c>
      <c r="E335" s="502">
        <v>19718.98</v>
      </c>
      <c r="F335" s="502">
        <v>154.33</v>
      </c>
      <c r="G335" s="414">
        <v>19</v>
      </c>
      <c r="H335" s="375">
        <f>+E335+F335*G335</f>
        <v>22651.25</v>
      </c>
      <c r="I335" s="375">
        <f>+D$344+E$344*G335</f>
        <v>2330.48</v>
      </c>
    </row>
    <row r="336" spans="1:6" ht="12.75">
      <c r="A336" s="412" t="s">
        <v>478</v>
      </c>
      <c r="B336" s="408">
        <f t="shared" si="0"/>
        <v>0</v>
      </c>
      <c r="C336" s="380"/>
      <c r="E336" s="380"/>
      <c r="F336" s="380"/>
    </row>
    <row r="337" spans="1:6" ht="12.75">
      <c r="A337" s="412" t="s">
        <v>479</v>
      </c>
      <c r="B337" s="408">
        <f t="shared" si="0"/>
        <v>0</v>
      </c>
      <c r="C337" s="380"/>
      <c r="E337" s="380"/>
      <c r="F337" s="380"/>
    </row>
    <row r="338" spans="1:6" ht="12.75">
      <c r="A338" s="412" t="s">
        <v>480</v>
      </c>
      <c r="B338" s="408">
        <f t="shared" si="0"/>
        <v>0</v>
      </c>
      <c r="C338" s="380"/>
      <c r="E338" s="380"/>
      <c r="F338" s="380"/>
    </row>
    <row r="339" spans="1:6" ht="12.75">
      <c r="A339" s="412" t="s">
        <v>481</v>
      </c>
      <c r="B339" s="408">
        <f t="shared" si="0"/>
        <v>0</v>
      </c>
      <c r="C339" s="380"/>
      <c r="E339" s="380"/>
      <c r="F339" s="380"/>
    </row>
    <row r="340" spans="1:9" ht="12.75">
      <c r="A340" s="408" t="s">
        <v>482</v>
      </c>
      <c r="B340" s="412">
        <f t="shared" si="0"/>
        <v>38791.84</v>
      </c>
      <c r="C340" s="408" t="s">
        <v>500</v>
      </c>
      <c r="D340" s="414">
        <v>85</v>
      </c>
      <c r="E340" s="507">
        <f>+E334</f>
        <v>9119.89</v>
      </c>
      <c r="F340" s="507">
        <f>+F334</f>
        <v>265.51</v>
      </c>
      <c r="G340" s="414">
        <v>85</v>
      </c>
      <c r="H340" s="375">
        <f>+E340+F340*G340</f>
        <v>31688.239999999998</v>
      </c>
      <c r="I340" s="375">
        <f>+D$344+E$344*G340</f>
        <v>7103.599999999999</v>
      </c>
    </row>
    <row r="341" spans="1:9" ht="12.75">
      <c r="A341" s="408" t="s">
        <v>483</v>
      </c>
      <c r="B341" s="412">
        <f t="shared" si="0"/>
        <v>24981.73</v>
      </c>
      <c r="C341" s="408" t="s">
        <v>501</v>
      </c>
      <c r="D341" s="414">
        <v>19</v>
      </c>
      <c r="E341" s="507">
        <f>+E335</f>
        <v>19718.98</v>
      </c>
      <c r="F341" s="507">
        <f>+F335</f>
        <v>154.33</v>
      </c>
      <c r="G341" s="414">
        <v>19</v>
      </c>
      <c r="H341" s="375">
        <f>+E341+F341*G341</f>
        <v>22651.25</v>
      </c>
      <c r="I341" s="375">
        <f>+D$344+E$344*G341</f>
        <v>2330.48</v>
      </c>
    </row>
    <row r="342" spans="1:9" ht="12.75">
      <c r="A342" s="408" t="s">
        <v>484</v>
      </c>
      <c r="B342" s="412">
        <f t="shared" si="0"/>
        <v>24981.73</v>
      </c>
      <c r="C342" s="408" t="s">
        <v>501</v>
      </c>
      <c r="D342" s="414">
        <v>19</v>
      </c>
      <c r="E342" s="507">
        <f>+E335</f>
        <v>19718.98</v>
      </c>
      <c r="F342" s="507">
        <f>+F335</f>
        <v>154.33</v>
      </c>
      <c r="G342" s="414">
        <v>19</v>
      </c>
      <c r="H342" s="375">
        <f>+E342+F342*G342</f>
        <v>22651.25</v>
      </c>
      <c r="I342" s="375">
        <f>+D$344+E$344*G342</f>
        <v>2330.48</v>
      </c>
    </row>
    <row r="343" spans="1:9" ht="12.75">
      <c r="A343" s="408" t="s">
        <v>485</v>
      </c>
      <c r="B343" s="408">
        <f t="shared" si="0"/>
        <v>0</v>
      </c>
      <c r="C343" s="408"/>
      <c r="D343" s="415"/>
      <c r="E343" s="408"/>
      <c r="F343" s="408"/>
      <c r="G343" s="415"/>
      <c r="H343" s="396"/>
      <c r="I343" s="396"/>
    </row>
    <row r="344" spans="1:9" ht="12.75">
      <c r="A344" s="400" t="s">
        <v>502</v>
      </c>
      <c r="B344" s="400"/>
      <c r="C344" s="400"/>
      <c r="D344" s="504">
        <v>956.4</v>
      </c>
      <c r="E344" s="504">
        <v>72.32</v>
      </c>
      <c r="F344" s="412"/>
      <c r="G344" s="380"/>
      <c r="H344" s="380"/>
      <c r="I344" s="380"/>
    </row>
    <row r="345" spans="1:9" ht="12.75">
      <c r="A345" s="412" t="s">
        <v>503</v>
      </c>
      <c r="B345" s="400"/>
      <c r="C345" s="400"/>
      <c r="D345" s="505">
        <v>5872.15</v>
      </c>
      <c r="E345" s="370"/>
      <c r="F345" s="400"/>
      <c r="G345" s="380"/>
      <c r="H345" s="380"/>
      <c r="I345" s="380"/>
    </row>
    <row r="346" ht="12.75"/>
    <row r="347" ht="12.75"/>
    <row r="348" ht="12.75"/>
    <row r="349" ht="12.75"/>
    <row r="350" spans="1:7" ht="12.75">
      <c r="A350" s="384" t="s">
        <v>504</v>
      </c>
      <c r="B350" s="383"/>
      <c r="C350" s="383"/>
      <c r="D350" s="383"/>
      <c r="E350" s="383"/>
      <c r="F350" s="383"/>
      <c r="G350" s="383"/>
    </row>
    <row r="351" spans="1:7" ht="12.75">
      <c r="A351" s="384" t="s">
        <v>505</v>
      </c>
      <c r="B351" s="383"/>
      <c r="C351" s="383"/>
      <c r="D351" s="386"/>
      <c r="E351" s="383"/>
      <c r="F351" s="383"/>
      <c r="G351" s="383"/>
    </row>
    <row r="352" spans="1:7" ht="12.75">
      <c r="A352" s="383" t="s">
        <v>506</v>
      </c>
      <c r="B352" s="383"/>
      <c r="C352" s="499">
        <v>984.14</v>
      </c>
      <c r="D352" s="383" t="s">
        <v>507</v>
      </c>
      <c r="E352" s="383"/>
      <c r="F352" s="383"/>
      <c r="G352" s="383"/>
    </row>
    <row r="353" spans="1:7" ht="12.75">
      <c r="A353" s="383"/>
      <c r="B353" s="383"/>
      <c r="C353" s="383"/>
      <c r="D353" s="383"/>
      <c r="E353" s="383"/>
      <c r="F353" s="383"/>
      <c r="G353" s="383"/>
    </row>
    <row r="354" spans="1:7" ht="12.75">
      <c r="A354" s="384" t="s">
        <v>508</v>
      </c>
      <c r="B354" s="383"/>
      <c r="C354" s="383"/>
      <c r="D354" s="383"/>
      <c r="E354" s="383"/>
      <c r="F354" s="383"/>
      <c r="G354" s="383"/>
    </row>
    <row r="355" spans="1:13" ht="12.75">
      <c r="A355" s="383"/>
      <c r="C355" s="383"/>
      <c r="D355" s="500">
        <v>0.0246</v>
      </c>
      <c r="E355" s="500">
        <v>0.0335</v>
      </c>
      <c r="F355" s="500">
        <v>0.0156</v>
      </c>
      <c r="G355" s="500">
        <v>0.016</v>
      </c>
      <c r="H355" s="509">
        <v>0.039</v>
      </c>
      <c r="I355" s="416">
        <v>-0.0017</v>
      </c>
      <c r="J355" s="416">
        <v>0</v>
      </c>
      <c r="K355" s="416">
        <v>0</v>
      </c>
      <c r="L355" s="416">
        <v>0</v>
      </c>
      <c r="M355" s="416">
        <v>0</v>
      </c>
    </row>
    <row r="356" spans="1:13" ht="12.75">
      <c r="A356" s="383" t="s">
        <v>509</v>
      </c>
      <c r="C356" s="384">
        <v>2004</v>
      </c>
      <c r="D356" s="384">
        <v>2005</v>
      </c>
      <c r="E356" s="384">
        <v>2006</v>
      </c>
      <c r="F356" s="384">
        <v>2007</v>
      </c>
      <c r="G356" s="384">
        <v>2008</v>
      </c>
      <c r="H356" s="384">
        <v>2009</v>
      </c>
      <c r="I356" s="384">
        <v>2010</v>
      </c>
      <c r="J356" s="384">
        <v>2011</v>
      </c>
      <c r="K356" s="384">
        <v>2012</v>
      </c>
      <c r="L356" s="384">
        <v>2013</v>
      </c>
      <c r="M356" s="384">
        <v>2014</v>
      </c>
    </row>
    <row r="357" spans="1:13" ht="12.75">
      <c r="A357" s="383" t="s">
        <v>478</v>
      </c>
      <c r="C357" s="417">
        <v>1</v>
      </c>
      <c r="D357" s="418">
        <f>ROUND(+C357*(1+D$355),4)</f>
        <v>1.0246</v>
      </c>
      <c r="E357" s="418">
        <f aca="true" t="shared" si="1" ref="E357:K357">ROUND(+D357*(1+E$355),4)</f>
        <v>1.0589</v>
      </c>
      <c r="F357" s="418">
        <f t="shared" si="1"/>
        <v>1.0754</v>
      </c>
      <c r="G357" s="418">
        <f t="shared" si="1"/>
        <v>1.0926</v>
      </c>
      <c r="H357" s="418">
        <f t="shared" si="1"/>
        <v>1.1352</v>
      </c>
      <c r="I357" s="418">
        <f t="shared" si="1"/>
        <v>1.1333</v>
      </c>
      <c r="J357" s="418">
        <f t="shared" si="1"/>
        <v>1.1333</v>
      </c>
      <c r="K357" s="418">
        <f t="shared" si="1"/>
        <v>1.1333</v>
      </c>
      <c r="L357" s="418">
        <f>ROUND(+K357*(1+L$355),4)</f>
        <v>1.1333</v>
      </c>
      <c r="M357" s="418">
        <f>ROUND(+L357*(1+M$355),4)</f>
        <v>1.1333</v>
      </c>
    </row>
    <row r="358" spans="1:13" ht="12.75">
      <c r="A358" s="383" t="s">
        <v>481</v>
      </c>
      <c r="C358" s="417">
        <v>1</v>
      </c>
      <c r="D358" s="418">
        <f>ROUND(+C358*(1+D$355),4)</f>
        <v>1.0246</v>
      </c>
      <c r="E358" s="418">
        <f aca="true" t="shared" si="2" ref="E358:K358">ROUND(+D358*(1+E$355),4)</f>
        <v>1.0589</v>
      </c>
      <c r="F358" s="418">
        <f t="shared" si="2"/>
        <v>1.0754</v>
      </c>
      <c r="G358" s="418">
        <f t="shared" si="2"/>
        <v>1.0926</v>
      </c>
      <c r="H358" s="418">
        <f t="shared" si="2"/>
        <v>1.1352</v>
      </c>
      <c r="I358" s="418">
        <f t="shared" si="2"/>
        <v>1.1333</v>
      </c>
      <c r="J358" s="418">
        <f t="shared" si="2"/>
        <v>1.1333</v>
      </c>
      <c r="K358" s="418">
        <f t="shared" si="2"/>
        <v>1.1333</v>
      </c>
      <c r="L358" s="418">
        <f>ROUND(+K358*(1+L$355),4)</f>
        <v>1.1333</v>
      </c>
      <c r="M358" s="418">
        <f>ROUND(+L358*(1+M$355),4)</f>
        <v>1.1333</v>
      </c>
    </row>
    <row r="360" ht="12.75">
      <c r="A360" s="526" t="s">
        <v>406</v>
      </c>
    </row>
    <row r="361" spans="1:2" ht="12.75">
      <c r="A361" s="513" t="s">
        <v>211</v>
      </c>
      <c r="B361" s="514">
        <v>-0.0017</v>
      </c>
    </row>
    <row r="362" ht="12.75">
      <c r="A362" s="513" t="s">
        <v>212</v>
      </c>
    </row>
    <row r="363" ht="12.75">
      <c r="A363" s="515">
        <f>1/(1+B361)</f>
        <v>1.0017028949213664</v>
      </c>
    </row>
  </sheetData>
  <sheetProtection password="DE55" sheet="1" objects="1" scenarios="1"/>
  <printOptions/>
  <pageMargins left="0.75" right="0.75" top="1" bottom="1" header="0.5" footer="0.5"/>
  <pageSetup horizontalDpi="600" verticalDpi="600" orientation="portrait" paperSize="9" scale="40" r:id="rId3"/>
  <headerFooter alignWithMargins="0">
    <oddHeader>&amp;L&amp;"Arial,Vet"&amp;F&amp;R&amp;"Arial,Vet"&amp;A</oddHeader>
    <oddFooter>&amp;L&amp;"Arial,Vet"keizer / goedhart&amp;C&amp;"Arial,Vet"&amp;D&amp;R&amp;"Arial,Vet"pagina &amp;P</oddFooter>
  </headerFooter>
  <rowBreaks count="2" manualBreakCount="2">
    <brk id="119" max="10" man="1"/>
    <brk id="249" max="10" man="1"/>
  </rowBreaks>
  <legacyDrawing r:id="rId2"/>
</worksheet>
</file>

<file path=xl/worksheets/sheet2.xml><?xml version="1.0" encoding="utf-8"?>
<worksheet xmlns="http://schemas.openxmlformats.org/spreadsheetml/2006/main" xmlns:r="http://schemas.openxmlformats.org/officeDocument/2006/relationships">
  <dimension ref="B1:AV361"/>
  <sheetViews>
    <sheetView tabSelected="1" zoomScale="85" zoomScaleNormal="85" zoomScaleSheetLayoutView="70" workbookViewId="0" topLeftCell="A1">
      <pane ySplit="9" topLeftCell="BM10" activePane="bottomLeft" state="frozen"/>
      <selection pane="topLeft" activeCell="A1" sqref="A1"/>
      <selection pane="bottomLeft" activeCell="B2" sqref="B2"/>
    </sheetView>
  </sheetViews>
  <sheetFormatPr defaultColWidth="9.140625" defaultRowHeight="12.75"/>
  <cols>
    <col min="1" max="1" width="5.7109375" style="7" customWidth="1"/>
    <col min="2" max="3" width="2.7109375" style="7" customWidth="1"/>
    <col min="4" max="4" width="6.7109375" style="7" customWidth="1"/>
    <col min="5" max="7" width="12.7109375" style="7" customWidth="1"/>
    <col min="8" max="8" width="2.7109375" style="7" customWidth="1"/>
    <col min="9" max="10" width="16.57421875" style="8" customWidth="1"/>
    <col min="11" max="11" width="1.7109375" style="8" customWidth="1"/>
    <col min="12" max="13" width="16.57421875" style="8" customWidth="1"/>
    <col min="14" max="14" width="1.7109375" style="8" customWidth="1"/>
    <col min="15" max="16" width="16.57421875" style="8" customWidth="1"/>
    <col min="17" max="17" width="1.7109375" style="8" customWidth="1"/>
    <col min="18" max="19" width="16.57421875" style="8" customWidth="1"/>
    <col min="20" max="20" width="2.7109375" style="7" customWidth="1"/>
    <col min="21" max="22" width="16.57421875" style="8" customWidth="1"/>
    <col min="23" max="24" width="2.7109375" style="7" customWidth="1"/>
    <col min="25" max="25" width="9.57421875" style="7" bestFit="1" customWidth="1"/>
    <col min="26" max="42" width="9.7109375" style="7" customWidth="1"/>
    <col min="43" max="43" width="19.28125" style="7" customWidth="1"/>
    <col min="44" max="54" width="9.7109375" style="7" customWidth="1"/>
    <col min="55" max="16384" width="9.140625" style="7" customWidth="1"/>
  </cols>
  <sheetData>
    <row r="1" ht="13.5" thickBot="1">
      <c r="E1" s="59" t="s">
        <v>570</v>
      </c>
    </row>
    <row r="2" spans="2:24" ht="12.75">
      <c r="B2" s="9"/>
      <c r="C2" s="10"/>
      <c r="D2" s="10"/>
      <c r="E2" s="57"/>
      <c r="F2" s="10"/>
      <c r="G2" s="10"/>
      <c r="H2" s="10"/>
      <c r="I2" s="11"/>
      <c r="J2" s="11"/>
      <c r="K2" s="11"/>
      <c r="L2" s="11"/>
      <c r="M2" s="11"/>
      <c r="N2" s="11"/>
      <c r="O2" s="11"/>
      <c r="P2" s="11"/>
      <c r="Q2" s="11"/>
      <c r="R2" s="11"/>
      <c r="S2" s="11"/>
      <c r="T2" s="10"/>
      <c r="U2" s="11"/>
      <c r="V2" s="11"/>
      <c r="W2" s="10"/>
      <c r="X2" s="12"/>
    </row>
    <row r="3" spans="2:24" ht="12.75">
      <c r="B3" s="13"/>
      <c r="E3" s="59"/>
      <c r="M3" s="47"/>
      <c r="X3" s="14"/>
    </row>
    <row r="4" spans="2:24" ht="18">
      <c r="B4" s="13"/>
      <c r="C4" s="17" t="s">
        <v>209</v>
      </c>
      <c r="E4" s="59"/>
      <c r="I4" s="7"/>
      <c r="J4" s="7"/>
      <c r="K4" s="7"/>
      <c r="M4" s="47"/>
      <c r="N4" s="7"/>
      <c r="Q4" s="7"/>
      <c r="X4" s="14"/>
    </row>
    <row r="5" spans="2:24" ht="12.75">
      <c r="B5" s="13"/>
      <c r="E5" s="59"/>
      <c r="I5" s="7"/>
      <c r="J5" s="7"/>
      <c r="K5" s="7"/>
      <c r="M5" s="47"/>
      <c r="N5" s="7"/>
      <c r="Q5" s="7"/>
      <c r="R5" s="47"/>
      <c r="S5" s="47"/>
      <c r="U5" s="47"/>
      <c r="V5" s="47"/>
      <c r="X5" s="14"/>
    </row>
    <row r="6" spans="2:24" ht="12.75">
      <c r="B6" s="13"/>
      <c r="M6" s="47"/>
      <c r="X6" s="14"/>
    </row>
    <row r="7" spans="2:24" ht="12.75">
      <c r="B7" s="13"/>
      <c r="I7" s="538" t="str">
        <f>tabel!C2</f>
        <v>2009/10</v>
      </c>
      <c r="J7" s="539"/>
      <c r="K7" s="88"/>
      <c r="L7" s="538" t="str">
        <f>tabel!D2</f>
        <v>2010/11</v>
      </c>
      <c r="M7" s="539"/>
      <c r="N7" s="88"/>
      <c r="O7" s="538" t="str">
        <f>tabel!E2</f>
        <v>2011/12</v>
      </c>
      <c r="P7" s="539"/>
      <c r="Q7" s="88"/>
      <c r="R7" s="538" t="str">
        <f>tabel!F2</f>
        <v>2012/13</v>
      </c>
      <c r="S7" s="539"/>
      <c r="U7" s="538" t="str">
        <f>tabel!G2</f>
        <v>2013/14</v>
      </c>
      <c r="V7" s="539"/>
      <c r="X7" s="14"/>
    </row>
    <row r="8" spans="2:24" ht="12.75">
      <c r="B8" s="13"/>
      <c r="I8" s="90">
        <f>tabel!C3</f>
        <v>39722</v>
      </c>
      <c r="J8" s="90">
        <f>tabel!C7</f>
        <v>39829</v>
      </c>
      <c r="K8" s="60"/>
      <c r="L8" s="90">
        <f>tabel!D3</f>
        <v>40087</v>
      </c>
      <c r="M8" s="90">
        <f>tabel!D7</f>
        <v>40194</v>
      </c>
      <c r="N8" s="60"/>
      <c r="O8" s="90">
        <f>tabel!E3</f>
        <v>40452</v>
      </c>
      <c r="P8" s="90">
        <f>tabel!E7</f>
        <v>40559</v>
      </c>
      <c r="Q8" s="60"/>
      <c r="R8" s="90">
        <f>tabel!F3</f>
        <v>40817</v>
      </c>
      <c r="S8" s="90">
        <f>tabel!F7</f>
        <v>40924</v>
      </c>
      <c r="U8" s="90">
        <f>tabel!G3</f>
        <v>41183</v>
      </c>
      <c r="V8" s="90">
        <f>tabel!G7</f>
        <v>41290</v>
      </c>
      <c r="X8" s="14"/>
    </row>
    <row r="9" spans="2:24" ht="12.75">
      <c r="B9" s="13"/>
      <c r="M9" s="47"/>
      <c r="X9" s="14"/>
    </row>
    <row r="10" spans="2:24" ht="12.75">
      <c r="B10" s="13"/>
      <c r="C10" s="1"/>
      <c r="D10" s="1"/>
      <c r="E10" s="82"/>
      <c r="F10" s="1"/>
      <c r="G10" s="1"/>
      <c r="H10" s="1"/>
      <c r="I10" s="25"/>
      <c r="J10" s="25"/>
      <c r="K10" s="25"/>
      <c r="L10" s="25"/>
      <c r="M10" s="4"/>
      <c r="N10" s="25"/>
      <c r="O10" s="25"/>
      <c r="P10" s="25"/>
      <c r="Q10" s="25"/>
      <c r="R10" s="25"/>
      <c r="S10" s="25"/>
      <c r="T10" s="1"/>
      <c r="U10" s="25"/>
      <c r="V10" s="25"/>
      <c r="W10" s="1"/>
      <c r="X10" s="14"/>
    </row>
    <row r="11" spans="2:24" ht="12.75">
      <c r="B11" s="13"/>
      <c r="C11" s="1"/>
      <c r="D11" s="1" t="s">
        <v>122</v>
      </c>
      <c r="E11" s="1"/>
      <c r="F11" s="1"/>
      <c r="G11" s="1"/>
      <c r="H11" s="1"/>
      <c r="I11" s="26" t="s">
        <v>552</v>
      </c>
      <c r="J11" s="27"/>
      <c r="K11" s="27"/>
      <c r="L11" s="27"/>
      <c r="M11" s="427"/>
      <c r="N11" s="25"/>
      <c r="O11" s="25"/>
      <c r="P11" s="25"/>
      <c r="Q11" s="25"/>
      <c r="R11" s="25"/>
      <c r="S11" s="25"/>
      <c r="T11" s="1"/>
      <c r="U11" s="25"/>
      <c r="V11" s="25"/>
      <c r="W11" s="1"/>
      <c r="X11" s="14"/>
    </row>
    <row r="12" spans="2:24" ht="12.75">
      <c r="B12" s="13"/>
      <c r="C12" s="1"/>
      <c r="D12" s="1" t="s">
        <v>123</v>
      </c>
      <c r="E12" s="1"/>
      <c r="F12" s="1"/>
      <c r="G12" s="1"/>
      <c r="H12" s="1"/>
      <c r="I12" s="26" t="s">
        <v>309</v>
      </c>
      <c r="J12" s="27"/>
      <c r="K12" s="27"/>
      <c r="L12" s="27"/>
      <c r="M12" s="427"/>
      <c r="N12" s="25"/>
      <c r="O12" s="25"/>
      <c r="P12" s="25"/>
      <c r="Q12" s="25"/>
      <c r="R12" s="25"/>
      <c r="S12" s="25"/>
      <c r="T12" s="1"/>
      <c r="U12" s="25"/>
      <c r="V12" s="25"/>
      <c r="W12" s="1"/>
      <c r="X12" s="14"/>
    </row>
    <row r="13" spans="2:24" ht="12.75">
      <c r="B13" s="13"/>
      <c r="C13" s="1"/>
      <c r="D13" s="82"/>
      <c r="E13" s="1"/>
      <c r="F13" s="1"/>
      <c r="G13" s="91"/>
      <c r="H13" s="1"/>
      <c r="I13" s="25"/>
      <c r="J13" s="25"/>
      <c r="K13" s="25"/>
      <c r="L13" s="25"/>
      <c r="M13" s="4"/>
      <c r="N13" s="25"/>
      <c r="O13" s="25"/>
      <c r="P13" s="25"/>
      <c r="Q13" s="25"/>
      <c r="R13" s="25"/>
      <c r="S13" s="25"/>
      <c r="T13" s="1"/>
      <c r="U13" s="25"/>
      <c r="V13" s="25"/>
      <c r="W13" s="1"/>
      <c r="X13" s="14"/>
    </row>
    <row r="14" spans="2:24" ht="12.75">
      <c r="B14" s="13"/>
      <c r="C14" s="1"/>
      <c r="D14" s="91" t="s">
        <v>569</v>
      </c>
      <c r="E14" s="1"/>
      <c r="F14" s="1"/>
      <c r="G14" s="1"/>
      <c r="H14" s="1"/>
      <c r="I14" s="427" t="s">
        <v>530</v>
      </c>
      <c r="J14" s="1"/>
      <c r="K14" s="1"/>
      <c r="L14" s="1"/>
      <c r="M14" s="25"/>
      <c r="N14" s="1"/>
      <c r="O14" s="25"/>
      <c r="P14" s="25"/>
      <c r="Q14" s="1"/>
      <c r="R14" s="25"/>
      <c r="S14" s="25"/>
      <c r="T14" s="1"/>
      <c r="U14" s="25"/>
      <c r="V14" s="25"/>
      <c r="W14" s="1"/>
      <c r="X14" s="14"/>
    </row>
    <row r="15" spans="2:24" ht="12.75">
      <c r="B15" s="13"/>
      <c r="C15" s="1"/>
      <c r="D15" s="92" t="s">
        <v>571</v>
      </c>
      <c r="E15" s="1"/>
      <c r="F15" s="1"/>
      <c r="G15" s="1"/>
      <c r="H15" s="25"/>
      <c r="I15" s="27" t="s">
        <v>477</v>
      </c>
      <c r="J15" s="25"/>
      <c r="K15" s="25"/>
      <c r="L15" s="25"/>
      <c r="M15" s="25"/>
      <c r="N15" s="25"/>
      <c r="O15" s="25"/>
      <c r="P15" s="25"/>
      <c r="Q15" s="25"/>
      <c r="R15" s="25"/>
      <c r="S15" s="25"/>
      <c r="T15" s="1"/>
      <c r="U15" s="25"/>
      <c r="V15" s="25"/>
      <c r="W15" s="1"/>
      <c r="X15" s="14"/>
    </row>
    <row r="16" spans="2:24" ht="12.75">
      <c r="B16" s="13"/>
      <c r="C16" s="1"/>
      <c r="D16" s="92" t="s">
        <v>572</v>
      </c>
      <c r="E16" s="1"/>
      <c r="F16" s="1"/>
      <c r="G16" s="1"/>
      <c r="H16" s="1"/>
      <c r="I16" s="429">
        <f>IF(I14=F225,F224,G224)</f>
        <v>7</v>
      </c>
      <c r="J16" s="1"/>
      <c r="K16" s="1"/>
      <c r="L16" s="1"/>
      <c r="M16" s="25"/>
      <c r="N16" s="1"/>
      <c r="O16" s="25"/>
      <c r="P16" s="25"/>
      <c r="Q16" s="1"/>
      <c r="R16" s="25"/>
      <c r="S16" s="25"/>
      <c r="T16" s="1"/>
      <c r="U16" s="25"/>
      <c r="V16" s="25"/>
      <c r="W16" s="1"/>
      <c r="X16" s="14"/>
    </row>
    <row r="17" spans="2:24" ht="12.75">
      <c r="B17" s="13"/>
      <c r="C17" s="1"/>
      <c r="D17" s="93" t="s">
        <v>621</v>
      </c>
      <c r="E17" s="1"/>
      <c r="F17" s="1"/>
      <c r="G17" s="1"/>
      <c r="H17" s="25"/>
      <c r="I17" s="27" t="s">
        <v>566</v>
      </c>
      <c r="J17" s="25"/>
      <c r="K17" s="25"/>
      <c r="L17" s="25"/>
      <c r="M17" s="25"/>
      <c r="N17" s="25"/>
      <c r="O17" s="25"/>
      <c r="P17" s="25"/>
      <c r="Q17" s="25"/>
      <c r="R17" s="25"/>
      <c r="S17" s="25"/>
      <c r="T17" s="1"/>
      <c r="U17" s="25"/>
      <c r="V17" s="25"/>
      <c r="W17" s="1"/>
      <c r="X17" s="14"/>
    </row>
    <row r="18" spans="2:24" ht="12.75" customHeight="1">
      <c r="B18" s="13"/>
      <c r="C18" s="1"/>
      <c r="D18" s="1"/>
      <c r="E18" s="1"/>
      <c r="F18" s="1"/>
      <c r="G18" s="91"/>
      <c r="H18" s="1"/>
      <c r="I18" s="25"/>
      <c r="J18" s="25"/>
      <c r="K18" s="25"/>
      <c r="L18" s="25"/>
      <c r="M18" s="25"/>
      <c r="N18" s="25"/>
      <c r="O18" s="25"/>
      <c r="P18" s="25"/>
      <c r="Q18" s="25"/>
      <c r="R18" s="25"/>
      <c r="S18" s="25"/>
      <c r="T18" s="1"/>
      <c r="U18" s="25"/>
      <c r="V18" s="25"/>
      <c r="W18" s="1"/>
      <c r="X18" s="14"/>
    </row>
    <row r="19" spans="2:24" ht="12.75" customHeight="1">
      <c r="B19" s="13"/>
      <c r="G19" s="99"/>
      <c r="X19" s="14"/>
    </row>
    <row r="20" spans="2:24" ht="12.75" customHeight="1">
      <c r="B20" s="13"/>
      <c r="C20" s="1"/>
      <c r="D20" s="1"/>
      <c r="E20" s="1"/>
      <c r="F20" s="1"/>
      <c r="G20" s="91"/>
      <c r="H20" s="1"/>
      <c r="I20" s="25"/>
      <c r="J20" s="25"/>
      <c r="K20" s="25"/>
      <c r="L20" s="25"/>
      <c r="M20" s="25"/>
      <c r="N20" s="25"/>
      <c r="O20" s="25"/>
      <c r="P20" s="25"/>
      <c r="Q20" s="25"/>
      <c r="R20" s="25"/>
      <c r="S20" s="25"/>
      <c r="T20" s="1"/>
      <c r="U20" s="25"/>
      <c r="V20" s="25"/>
      <c r="W20" s="1"/>
      <c r="X20" s="14"/>
    </row>
    <row r="21" spans="2:24" ht="12.75" customHeight="1">
      <c r="B21" s="13"/>
      <c r="C21" s="1"/>
      <c r="D21" s="3" t="s">
        <v>121</v>
      </c>
      <c r="E21" s="1"/>
      <c r="F21" s="1"/>
      <c r="G21" s="91"/>
      <c r="H21" s="1"/>
      <c r="I21" s="25"/>
      <c r="J21" s="25"/>
      <c r="K21" s="25"/>
      <c r="L21" s="25"/>
      <c r="M21" s="25"/>
      <c r="N21" s="25"/>
      <c r="O21" s="25"/>
      <c r="P21" s="25"/>
      <c r="Q21" s="25"/>
      <c r="R21" s="25"/>
      <c r="S21" s="25"/>
      <c r="T21" s="1"/>
      <c r="U21" s="25"/>
      <c r="V21" s="25"/>
      <c r="W21" s="1"/>
      <c r="X21" s="14"/>
    </row>
    <row r="22" spans="2:24" ht="12.75" customHeight="1">
      <c r="B22" s="13"/>
      <c r="C22" s="1"/>
      <c r="D22" s="94"/>
      <c r="E22" s="1"/>
      <c r="F22" s="1"/>
      <c r="G22" s="91"/>
      <c r="H22" s="1"/>
      <c r="I22" s="25"/>
      <c r="J22" s="25"/>
      <c r="K22" s="25"/>
      <c r="L22" s="25"/>
      <c r="M22" s="25"/>
      <c r="N22" s="25"/>
      <c r="O22" s="25"/>
      <c r="P22" s="25"/>
      <c r="Q22" s="25"/>
      <c r="R22" s="25"/>
      <c r="S22" s="25"/>
      <c r="T22" s="1"/>
      <c r="U22" s="25"/>
      <c r="V22" s="25"/>
      <c r="W22" s="1"/>
      <c r="X22" s="14"/>
    </row>
    <row r="23" spans="2:24" ht="12.75" customHeight="1">
      <c r="B23" s="13"/>
      <c r="C23" s="1"/>
      <c r="D23" s="91" t="s">
        <v>240</v>
      </c>
      <c r="E23" s="1"/>
      <c r="F23" s="1"/>
      <c r="G23" s="91"/>
      <c r="H23" s="1"/>
      <c r="I23" s="27" t="s">
        <v>565</v>
      </c>
      <c r="J23" s="1"/>
      <c r="K23" s="25"/>
      <c r="L23" s="430" t="str">
        <f>I23</f>
        <v>ja</v>
      </c>
      <c r="M23" s="25"/>
      <c r="N23" s="25"/>
      <c r="O23" s="25"/>
      <c r="P23" s="25"/>
      <c r="Q23" s="25"/>
      <c r="R23" s="25"/>
      <c r="S23" s="25"/>
      <c r="T23" s="1"/>
      <c r="U23" s="25"/>
      <c r="V23" s="25"/>
      <c r="W23" s="1"/>
      <c r="X23" s="14"/>
    </row>
    <row r="24" spans="2:24" ht="12.75" customHeight="1">
      <c r="B24" s="13"/>
      <c r="C24" s="1"/>
      <c r="D24" s="91" t="s">
        <v>241</v>
      </c>
      <c r="E24" s="1"/>
      <c r="F24" s="1"/>
      <c r="G24" s="91"/>
      <c r="H24" s="1"/>
      <c r="I24" s="362">
        <v>43.06</v>
      </c>
      <c r="J24" s="1"/>
      <c r="K24" s="25"/>
      <c r="L24" s="233">
        <f>I24</f>
        <v>43.06</v>
      </c>
      <c r="M24" s="25"/>
      <c r="N24" s="25"/>
      <c r="O24" s="25"/>
      <c r="P24" s="25"/>
      <c r="Q24" s="25"/>
      <c r="R24" s="25"/>
      <c r="S24" s="25"/>
      <c r="T24" s="1"/>
      <c r="U24" s="25"/>
      <c r="V24" s="25"/>
      <c r="W24" s="1"/>
      <c r="X24" s="14"/>
    </row>
    <row r="25" spans="2:24" ht="12.75" customHeight="1">
      <c r="B25" s="13"/>
      <c r="C25" s="1"/>
      <c r="D25" s="1"/>
      <c r="E25" s="1"/>
      <c r="F25" s="1"/>
      <c r="G25" s="91"/>
      <c r="H25" s="1"/>
      <c r="I25" s="25"/>
      <c r="J25" s="1"/>
      <c r="K25" s="25"/>
      <c r="L25" s="25"/>
      <c r="M25" s="25"/>
      <c r="N25" s="25"/>
      <c r="O25" s="25"/>
      <c r="P25" s="25"/>
      <c r="Q25" s="25"/>
      <c r="R25" s="25"/>
      <c r="S25" s="25"/>
      <c r="T25" s="1"/>
      <c r="U25" s="25"/>
      <c r="V25" s="25"/>
      <c r="W25" s="1"/>
      <c r="X25" s="14"/>
    </row>
    <row r="26" spans="2:24" ht="12.75" customHeight="1">
      <c r="B26" s="13"/>
      <c r="C26" s="1"/>
      <c r="D26" s="1" t="s">
        <v>242</v>
      </c>
      <c r="E26" s="1"/>
      <c r="F26" s="1"/>
      <c r="G26" s="91"/>
      <c r="H26" s="1"/>
      <c r="I26" s="428">
        <f>IF(I23="ja",tabel!C78,tabel!C69)</f>
        <v>61544.24</v>
      </c>
      <c r="J26" s="1"/>
      <c r="K26" s="25"/>
      <c r="L26" s="428">
        <f>IF(L23="ja",tabel!D78,tabel!D69)</f>
        <v>61544.24</v>
      </c>
      <c r="M26" s="25"/>
      <c r="N26" s="25"/>
      <c r="O26" s="1"/>
      <c r="P26" s="25"/>
      <c r="Q26" s="25"/>
      <c r="R26" s="25"/>
      <c r="S26" s="25"/>
      <c r="T26" s="1"/>
      <c r="U26" s="25"/>
      <c r="V26" s="25"/>
      <c r="W26" s="1"/>
      <c r="X26" s="14"/>
    </row>
    <row r="27" spans="2:24" ht="12.75" customHeight="1">
      <c r="B27" s="13"/>
      <c r="C27" s="1"/>
      <c r="D27" s="150" t="s">
        <v>428</v>
      </c>
      <c r="E27" s="94"/>
      <c r="F27" s="1"/>
      <c r="G27" s="91"/>
      <c r="H27" s="1"/>
      <c r="I27" s="470">
        <f>I26*$O$27</f>
        <v>60313.3552</v>
      </c>
      <c r="J27" s="94"/>
      <c r="K27" s="234"/>
      <c r="L27" s="470">
        <f>L26*$O$27</f>
        <v>60313.3552</v>
      </c>
      <c r="M27" s="25"/>
      <c r="N27" s="25"/>
      <c r="O27" s="469">
        <v>0.98</v>
      </c>
      <c r="P27" s="25"/>
      <c r="Q27" s="25"/>
      <c r="R27" s="25"/>
      <c r="S27" s="25"/>
      <c r="T27" s="1"/>
      <c r="U27" s="25"/>
      <c r="V27" s="25"/>
      <c r="W27" s="1"/>
      <c r="X27" s="14"/>
    </row>
    <row r="28" spans="2:24" ht="12.75" customHeight="1">
      <c r="B28" s="13"/>
      <c r="C28" s="1"/>
      <c r="D28" s="150" t="s">
        <v>429</v>
      </c>
      <c r="E28" s="94"/>
      <c r="F28" s="1"/>
      <c r="G28" s="91"/>
      <c r="H28" s="1"/>
      <c r="I28" s="470">
        <f>I26*$O$28</f>
        <v>1230.8848</v>
      </c>
      <c r="J28" s="94"/>
      <c r="K28" s="234"/>
      <c r="L28" s="470">
        <f>L26*$O$28</f>
        <v>1230.8848</v>
      </c>
      <c r="M28" s="25"/>
      <c r="N28" s="25"/>
      <c r="O28" s="469">
        <v>0.02</v>
      </c>
      <c r="P28" s="25"/>
      <c r="Q28" s="25"/>
      <c r="R28" s="25"/>
      <c r="S28" s="25"/>
      <c r="T28" s="1"/>
      <c r="U28" s="25"/>
      <c r="V28" s="25"/>
      <c r="W28" s="1"/>
      <c r="X28" s="14"/>
    </row>
    <row r="29" spans="2:24" ht="12.75" customHeight="1">
      <c r="B29" s="13"/>
      <c r="C29" s="1"/>
      <c r="D29" s="94"/>
      <c r="E29" s="1"/>
      <c r="F29" s="1"/>
      <c r="G29" s="91"/>
      <c r="H29" s="1"/>
      <c r="I29" s="25"/>
      <c r="J29" s="25"/>
      <c r="K29" s="25"/>
      <c r="L29" s="25"/>
      <c r="M29" s="25"/>
      <c r="N29" s="25"/>
      <c r="O29" s="25"/>
      <c r="P29" s="25"/>
      <c r="Q29" s="25"/>
      <c r="R29" s="25"/>
      <c r="S29" s="25"/>
      <c r="T29" s="1"/>
      <c r="U29" s="25"/>
      <c r="V29" s="25"/>
      <c r="W29" s="1"/>
      <c r="X29" s="14"/>
    </row>
    <row r="30" spans="2:24" ht="12.75" customHeight="1">
      <c r="B30" s="13"/>
      <c r="D30" s="63"/>
      <c r="X30" s="14"/>
    </row>
    <row r="31" spans="2:24" ht="12.75">
      <c r="B31" s="13"/>
      <c r="C31" s="1"/>
      <c r="D31" s="86"/>
      <c r="E31" s="87"/>
      <c r="F31" s="1"/>
      <c r="G31" s="1"/>
      <c r="H31" s="1"/>
      <c r="I31" s="25"/>
      <c r="J31" s="25"/>
      <c r="K31" s="25"/>
      <c r="L31" s="25"/>
      <c r="M31" s="25"/>
      <c r="N31" s="25"/>
      <c r="O31" s="25"/>
      <c r="P31" s="25"/>
      <c r="Q31" s="25"/>
      <c r="R31" s="25"/>
      <c r="S31" s="25"/>
      <c r="T31" s="1"/>
      <c r="U31" s="25"/>
      <c r="V31" s="25"/>
      <c r="W31" s="1"/>
      <c r="X31" s="14"/>
    </row>
    <row r="32" spans="2:24" ht="12.75">
      <c r="B32" s="13"/>
      <c r="C32" s="1"/>
      <c r="D32" s="3" t="s">
        <v>311</v>
      </c>
      <c r="E32" s="87"/>
      <c r="F32" s="1"/>
      <c r="G32" s="1"/>
      <c r="H32" s="1"/>
      <c r="I32" s="25"/>
      <c r="J32" s="25"/>
      <c r="K32" s="25"/>
      <c r="L32" s="25"/>
      <c r="M32" s="25"/>
      <c r="N32" s="25"/>
      <c r="O32" s="25"/>
      <c r="P32" s="25"/>
      <c r="Q32" s="25"/>
      <c r="R32" s="25"/>
      <c r="S32" s="25"/>
      <c r="T32" s="1"/>
      <c r="U32" s="25"/>
      <c r="V32" s="25"/>
      <c r="W32" s="1"/>
      <c r="X32" s="14"/>
    </row>
    <row r="33" spans="2:24" ht="12.75">
      <c r="B33" s="13"/>
      <c r="C33" s="1"/>
      <c r="D33" s="3"/>
      <c r="E33" s="87"/>
      <c r="F33" s="1"/>
      <c r="G33" s="1"/>
      <c r="H33" s="1"/>
      <c r="I33" s="25"/>
      <c r="J33" s="25"/>
      <c r="K33" s="25"/>
      <c r="L33" s="25"/>
      <c r="M33" s="25"/>
      <c r="N33" s="25"/>
      <c r="O33" s="25"/>
      <c r="P33" s="25"/>
      <c r="Q33" s="25"/>
      <c r="R33" s="25"/>
      <c r="S33" s="25"/>
      <c r="T33" s="1"/>
      <c r="U33" s="25"/>
      <c r="V33" s="25"/>
      <c r="W33" s="1"/>
      <c r="X33" s="14"/>
    </row>
    <row r="34" spans="2:24" ht="12.75">
      <c r="B34" s="13"/>
      <c r="C34" s="1"/>
      <c r="D34" s="3"/>
      <c r="E34" s="87"/>
      <c r="F34" s="1" t="s">
        <v>573</v>
      </c>
      <c r="G34" s="1" t="s">
        <v>574</v>
      </c>
      <c r="H34" s="1"/>
      <c r="I34" s="25"/>
      <c r="J34" s="25"/>
      <c r="K34" s="25"/>
      <c r="L34" s="25"/>
      <c r="M34" s="25"/>
      <c r="N34" s="25"/>
      <c r="O34" s="25"/>
      <c r="P34" s="25"/>
      <c r="Q34" s="25"/>
      <c r="R34" s="25"/>
      <c r="S34" s="25"/>
      <c r="T34" s="1"/>
      <c r="U34" s="25"/>
      <c r="V34" s="25"/>
      <c r="W34" s="1"/>
      <c r="X34" s="14"/>
    </row>
    <row r="35" spans="2:24" ht="12.75">
      <c r="B35" s="13"/>
      <c r="C35" s="1" t="s">
        <v>583</v>
      </c>
      <c r="D35" s="66" t="s">
        <v>469</v>
      </c>
      <c r="E35" s="66" t="s">
        <v>477</v>
      </c>
      <c r="F35" s="100" t="str">
        <f>IF(MID(E35,1,2)="MG","ja","nee")</f>
        <v>nee</v>
      </c>
      <c r="G35" s="101" t="s">
        <v>566</v>
      </c>
      <c r="H35" s="1"/>
      <c r="I35" s="25"/>
      <c r="J35" s="25"/>
      <c r="K35" s="25"/>
      <c r="L35" s="25"/>
      <c r="M35" s="25"/>
      <c r="N35" s="25"/>
      <c r="O35" s="25"/>
      <c r="P35" s="25"/>
      <c r="Q35" s="25"/>
      <c r="R35" s="25"/>
      <c r="S35" s="25"/>
      <c r="T35" s="1"/>
      <c r="U35" s="25"/>
      <c r="V35" s="25"/>
      <c r="W35" s="1"/>
      <c r="X35" s="14"/>
    </row>
    <row r="36" spans="2:24" ht="12.75">
      <c r="B36" s="13"/>
      <c r="C36" s="1"/>
      <c r="D36" s="1"/>
      <c r="E36" s="1"/>
      <c r="F36" s="1"/>
      <c r="G36" s="95" t="s">
        <v>579</v>
      </c>
      <c r="H36" s="1"/>
      <c r="I36" s="27">
        <v>35</v>
      </c>
      <c r="J36" s="430">
        <f>+I36</f>
        <v>35</v>
      </c>
      <c r="K36" s="25"/>
      <c r="L36" s="27">
        <v>35</v>
      </c>
      <c r="M36" s="430">
        <f>+L36</f>
        <v>35</v>
      </c>
      <c r="N36" s="25"/>
      <c r="O36" s="430">
        <f>+M36</f>
        <v>35</v>
      </c>
      <c r="P36" s="430">
        <f>+O36</f>
        <v>35</v>
      </c>
      <c r="Q36" s="25"/>
      <c r="R36" s="430">
        <f>+P36</f>
        <v>35</v>
      </c>
      <c r="S36" s="430">
        <f>+R36</f>
        <v>35</v>
      </c>
      <c r="T36" s="1">
        <f>IF(AND(D35="VSO",I36&gt;0),$AT$238,"")</f>
      </c>
      <c r="U36" s="328">
        <f>+S36</f>
        <v>35</v>
      </c>
      <c r="V36" s="430">
        <f>+U36</f>
        <v>35</v>
      </c>
      <c r="W36" s="1"/>
      <c r="X36" s="14"/>
    </row>
    <row r="37" spans="2:24" ht="12.75">
      <c r="B37" s="13"/>
      <c r="C37" s="1"/>
      <c r="D37" s="1"/>
      <c r="E37" s="1"/>
      <c r="F37" s="1"/>
      <c r="G37" s="95" t="s">
        <v>580</v>
      </c>
      <c r="H37" s="1"/>
      <c r="I37" s="27">
        <v>45</v>
      </c>
      <c r="J37" s="430">
        <f>+I37</f>
        <v>45</v>
      </c>
      <c r="K37" s="25"/>
      <c r="L37" s="27">
        <v>45</v>
      </c>
      <c r="M37" s="430">
        <f>+L37</f>
        <v>45</v>
      </c>
      <c r="N37" s="25"/>
      <c r="O37" s="430">
        <f>+M37</f>
        <v>45</v>
      </c>
      <c r="P37" s="430">
        <f>+O37</f>
        <v>45</v>
      </c>
      <c r="Q37" s="25"/>
      <c r="R37" s="430">
        <f>+P37</f>
        <v>45</v>
      </c>
      <c r="S37" s="430">
        <f>+R37</f>
        <v>45</v>
      </c>
      <c r="T37" s="1"/>
      <c r="U37" s="430">
        <f>+S37</f>
        <v>45</v>
      </c>
      <c r="V37" s="430">
        <f>+U37</f>
        <v>45</v>
      </c>
      <c r="W37" s="1"/>
      <c r="X37" s="14"/>
    </row>
    <row r="38" spans="2:24" ht="12.75" customHeight="1">
      <c r="B38" s="13"/>
      <c r="C38" s="1"/>
      <c r="D38" s="1"/>
      <c r="E38" s="1"/>
      <c r="F38" s="1"/>
      <c r="G38" s="95" t="s">
        <v>577</v>
      </c>
      <c r="H38" s="1"/>
      <c r="I38" s="429">
        <f>SUM(I36:I37)</f>
        <v>80</v>
      </c>
      <c r="J38" s="429">
        <f aca="true" t="shared" si="0" ref="J38:S38">SUM(J36:J37)</f>
        <v>80</v>
      </c>
      <c r="K38" s="25"/>
      <c r="L38" s="429">
        <f t="shared" si="0"/>
        <v>80</v>
      </c>
      <c r="M38" s="429">
        <f t="shared" si="0"/>
        <v>80</v>
      </c>
      <c r="N38" s="25"/>
      <c r="O38" s="429">
        <f t="shared" si="0"/>
        <v>80</v>
      </c>
      <c r="P38" s="429">
        <f t="shared" si="0"/>
        <v>80</v>
      </c>
      <c r="Q38" s="25"/>
      <c r="R38" s="429">
        <f t="shared" si="0"/>
        <v>80</v>
      </c>
      <c r="S38" s="429">
        <f t="shared" si="0"/>
        <v>80</v>
      </c>
      <c r="T38" s="1"/>
      <c r="U38" s="429">
        <f>SUM(U36:U37)</f>
        <v>80</v>
      </c>
      <c r="V38" s="429">
        <f>SUM(V36:V37)</f>
        <v>80</v>
      </c>
      <c r="W38" s="1"/>
      <c r="X38" s="14"/>
    </row>
    <row r="39" spans="2:24" ht="12.75" customHeight="1">
      <c r="B39" s="13"/>
      <c r="C39" s="1"/>
      <c r="D39" s="1"/>
      <c r="E39" s="1"/>
      <c r="F39" s="1"/>
      <c r="G39" s="95" t="s">
        <v>581</v>
      </c>
      <c r="H39" s="1"/>
      <c r="I39" s="27">
        <v>0</v>
      </c>
      <c r="J39" s="430">
        <f>+I39</f>
        <v>0</v>
      </c>
      <c r="K39" s="25"/>
      <c r="L39" s="27">
        <v>0</v>
      </c>
      <c r="M39" s="430">
        <f>+L39</f>
        <v>0</v>
      </c>
      <c r="N39" s="25"/>
      <c r="O39" s="430">
        <f>+M39</f>
        <v>0</v>
      </c>
      <c r="P39" s="430">
        <f>+O39</f>
        <v>0</v>
      </c>
      <c r="Q39" s="25"/>
      <c r="R39" s="430">
        <f>+P39</f>
        <v>0</v>
      </c>
      <c r="S39" s="430">
        <f>+R39</f>
        <v>0</v>
      </c>
      <c r="T39" s="1"/>
      <c r="U39" s="430">
        <f>+S39</f>
        <v>0</v>
      </c>
      <c r="V39" s="430">
        <f>+U39</f>
        <v>0</v>
      </c>
      <c r="W39" s="1"/>
      <c r="X39" s="14"/>
    </row>
    <row r="40" spans="2:24" ht="12.75" customHeight="1">
      <c r="B40" s="13"/>
      <c r="C40" s="1"/>
      <c r="D40" s="3" t="s">
        <v>582</v>
      </c>
      <c r="E40" s="3"/>
      <c r="F40" s="1"/>
      <c r="G40" s="97" t="s">
        <v>576</v>
      </c>
      <c r="H40" s="1"/>
      <c r="I40" s="27">
        <v>0</v>
      </c>
      <c r="J40" s="430">
        <f aca="true" t="shared" si="1" ref="J40:M42">+I40</f>
        <v>0</v>
      </c>
      <c r="K40" s="25"/>
      <c r="L40" s="27">
        <v>0</v>
      </c>
      <c r="M40" s="430">
        <f t="shared" si="1"/>
        <v>0</v>
      </c>
      <c r="N40" s="25"/>
      <c r="O40" s="430">
        <f>+M40</f>
        <v>0</v>
      </c>
      <c r="P40" s="430">
        <f>+O40</f>
        <v>0</v>
      </c>
      <c r="Q40" s="25"/>
      <c r="R40" s="430">
        <f>+P40</f>
        <v>0</v>
      </c>
      <c r="S40" s="430">
        <f>+R40</f>
        <v>0</v>
      </c>
      <c r="T40" s="1"/>
      <c r="U40" s="430">
        <f>+S40</f>
        <v>0</v>
      </c>
      <c r="V40" s="430">
        <f>+U40</f>
        <v>0</v>
      </c>
      <c r="W40" s="1"/>
      <c r="X40" s="14"/>
    </row>
    <row r="41" spans="2:24" ht="12.75" customHeight="1">
      <c r="B41" s="13"/>
      <c r="C41" s="1"/>
      <c r="D41" s="1"/>
      <c r="E41" s="1"/>
      <c r="F41" s="3"/>
      <c r="G41" s="97" t="s">
        <v>575</v>
      </c>
      <c r="H41" s="1"/>
      <c r="I41" s="27">
        <v>0</v>
      </c>
      <c r="J41" s="430">
        <f t="shared" si="1"/>
        <v>0</v>
      </c>
      <c r="K41" s="25"/>
      <c r="L41" s="27">
        <v>0</v>
      </c>
      <c r="M41" s="430">
        <f t="shared" si="1"/>
        <v>0</v>
      </c>
      <c r="N41" s="25"/>
      <c r="O41" s="430">
        <f>+M41</f>
        <v>0</v>
      </c>
      <c r="P41" s="430">
        <f>+O41</f>
        <v>0</v>
      </c>
      <c r="Q41" s="25"/>
      <c r="R41" s="430">
        <f>+P41</f>
        <v>0</v>
      </c>
      <c r="S41" s="430">
        <f>+R41</f>
        <v>0</v>
      </c>
      <c r="T41" s="1"/>
      <c r="U41" s="430">
        <f>+S41</f>
        <v>0</v>
      </c>
      <c r="V41" s="430">
        <f>+U41</f>
        <v>0</v>
      </c>
      <c r="W41" s="1"/>
      <c r="X41" s="14"/>
    </row>
    <row r="42" spans="2:24" ht="12.75">
      <c r="B42" s="13"/>
      <c r="C42" s="1"/>
      <c r="D42" s="1"/>
      <c r="E42" s="1"/>
      <c r="F42" s="3"/>
      <c r="G42" s="97" t="s">
        <v>557</v>
      </c>
      <c r="H42" s="1"/>
      <c r="I42" s="27">
        <v>0</v>
      </c>
      <c r="J42" s="430">
        <f t="shared" si="1"/>
        <v>0</v>
      </c>
      <c r="K42" s="25"/>
      <c r="L42" s="27">
        <v>0</v>
      </c>
      <c r="M42" s="430">
        <f t="shared" si="1"/>
        <v>0</v>
      </c>
      <c r="N42" s="25"/>
      <c r="O42" s="430">
        <f>+M42</f>
        <v>0</v>
      </c>
      <c r="P42" s="430">
        <f>+O42</f>
        <v>0</v>
      </c>
      <c r="Q42" s="25"/>
      <c r="R42" s="430">
        <f>+P42</f>
        <v>0</v>
      </c>
      <c r="S42" s="430">
        <f>+R42</f>
        <v>0</v>
      </c>
      <c r="T42" s="1"/>
      <c r="U42" s="430">
        <f>+S42</f>
        <v>0</v>
      </c>
      <c r="V42" s="430">
        <f>+U42</f>
        <v>0</v>
      </c>
      <c r="W42" s="1"/>
      <c r="X42" s="14"/>
    </row>
    <row r="43" spans="2:24" ht="12" customHeight="1">
      <c r="B43" s="13"/>
      <c r="C43" s="1"/>
      <c r="D43" s="3" t="s">
        <v>643</v>
      </c>
      <c r="E43" s="87"/>
      <c r="F43" s="1"/>
      <c r="G43" s="97" t="s">
        <v>642</v>
      </c>
      <c r="H43" s="1"/>
      <c r="I43" s="27">
        <v>0</v>
      </c>
      <c r="J43" s="429" t="s">
        <v>668</v>
      </c>
      <c r="K43" s="25"/>
      <c r="L43" s="27">
        <v>0</v>
      </c>
      <c r="M43" s="429" t="s">
        <v>668</v>
      </c>
      <c r="N43" s="25"/>
      <c r="O43" s="430">
        <f>+L43</f>
        <v>0</v>
      </c>
      <c r="P43" s="429" t="s">
        <v>668</v>
      </c>
      <c r="Q43" s="25"/>
      <c r="R43" s="430">
        <f>+O43</f>
        <v>0</v>
      </c>
      <c r="S43" s="429" t="s">
        <v>668</v>
      </c>
      <c r="T43" s="1"/>
      <c r="U43" s="430">
        <f>+R43</f>
        <v>0</v>
      </c>
      <c r="V43" s="429" t="s">
        <v>668</v>
      </c>
      <c r="W43" s="1"/>
      <c r="X43" s="14"/>
    </row>
    <row r="44" spans="2:24" ht="12" customHeight="1">
      <c r="B44" s="13"/>
      <c r="C44" s="1"/>
      <c r="D44" s="3"/>
      <c r="E44" s="87"/>
      <c r="F44" s="1"/>
      <c r="G44" s="97" t="s">
        <v>644</v>
      </c>
      <c r="H44" s="1"/>
      <c r="I44" s="27">
        <v>0</v>
      </c>
      <c r="J44" s="429" t="s">
        <v>668</v>
      </c>
      <c r="K44" s="25"/>
      <c r="L44" s="27">
        <v>0</v>
      </c>
      <c r="M44" s="429" t="s">
        <v>668</v>
      </c>
      <c r="N44" s="25"/>
      <c r="O44" s="430">
        <f>+L44</f>
        <v>0</v>
      </c>
      <c r="P44" s="429" t="s">
        <v>668</v>
      </c>
      <c r="Q44" s="25"/>
      <c r="R44" s="430">
        <f>+O44</f>
        <v>0</v>
      </c>
      <c r="S44" s="429" t="s">
        <v>668</v>
      </c>
      <c r="T44" s="1"/>
      <c r="U44" s="430">
        <f>+R44</f>
        <v>0</v>
      </c>
      <c r="V44" s="429" t="s">
        <v>668</v>
      </c>
      <c r="W44" s="1"/>
      <c r="X44" s="14"/>
    </row>
    <row r="45" spans="2:24" ht="12" customHeight="1">
      <c r="B45" s="13"/>
      <c r="C45" s="1"/>
      <c r="D45" s="1"/>
      <c r="E45" s="87"/>
      <c r="F45" s="1"/>
      <c r="G45" s="97" t="s">
        <v>512</v>
      </c>
      <c r="H45" s="1"/>
      <c r="I45" s="429">
        <f>+I38+I40</f>
        <v>80</v>
      </c>
      <c r="J45" s="429">
        <f>+J38+J40</f>
        <v>80</v>
      </c>
      <c r="K45" s="25"/>
      <c r="L45" s="429">
        <f>+L38+L40</f>
        <v>80</v>
      </c>
      <c r="M45" s="429">
        <f>+M38+M40</f>
        <v>80</v>
      </c>
      <c r="N45" s="25"/>
      <c r="O45" s="429">
        <f>+O38+O40</f>
        <v>80</v>
      </c>
      <c r="P45" s="429">
        <f>+P38+P40</f>
        <v>80</v>
      </c>
      <c r="Q45" s="25"/>
      <c r="R45" s="429">
        <f>+R38+R40</f>
        <v>80</v>
      </c>
      <c r="S45" s="429">
        <f>+S38+S40</f>
        <v>80</v>
      </c>
      <c r="T45" s="1"/>
      <c r="U45" s="429">
        <f>+U38+U40</f>
        <v>80</v>
      </c>
      <c r="V45" s="429">
        <f>+V38+V40</f>
        <v>80</v>
      </c>
      <c r="W45" s="1"/>
      <c r="X45" s="14"/>
    </row>
    <row r="46" spans="2:24" ht="12" customHeight="1">
      <c r="B46" s="13"/>
      <c r="C46" s="1"/>
      <c r="D46" s="3"/>
      <c r="E46" s="87"/>
      <c r="F46" s="1"/>
      <c r="G46" s="1"/>
      <c r="H46" s="1"/>
      <c r="I46" s="25"/>
      <c r="J46" s="25"/>
      <c r="K46" s="25"/>
      <c r="L46" s="25"/>
      <c r="M46" s="25"/>
      <c r="N46" s="25"/>
      <c r="O46" s="25"/>
      <c r="P46" s="25"/>
      <c r="Q46" s="25"/>
      <c r="R46" s="25"/>
      <c r="S46" s="25"/>
      <c r="T46" s="1"/>
      <c r="U46" s="25"/>
      <c r="V46" s="25"/>
      <c r="W46" s="1"/>
      <c r="X46" s="14"/>
    </row>
    <row r="47" spans="2:24" ht="12.75">
      <c r="B47" s="13"/>
      <c r="C47" s="1"/>
      <c r="D47" s="3"/>
      <c r="E47" s="87"/>
      <c r="F47" s="1" t="s">
        <v>573</v>
      </c>
      <c r="G47" s="1" t="s">
        <v>574</v>
      </c>
      <c r="H47" s="1"/>
      <c r="I47" s="98"/>
      <c r="J47" s="98"/>
      <c r="K47" s="98"/>
      <c r="L47" s="98"/>
      <c r="M47" s="98"/>
      <c r="N47" s="98"/>
      <c r="O47" s="98"/>
      <c r="P47" s="98"/>
      <c r="Q47" s="98"/>
      <c r="R47" s="98"/>
      <c r="S47" s="98"/>
      <c r="T47" s="1"/>
      <c r="U47" s="98"/>
      <c r="V47" s="98"/>
      <c r="W47" s="1"/>
      <c r="X47" s="14"/>
    </row>
    <row r="48" spans="2:24" ht="12.75">
      <c r="B48" s="13"/>
      <c r="C48" s="1" t="s">
        <v>584</v>
      </c>
      <c r="D48" s="66" t="s">
        <v>469</v>
      </c>
      <c r="E48" s="66" t="s">
        <v>482</v>
      </c>
      <c r="F48" s="100" t="str">
        <f>IF(G48="ja","nee",IF(MID(E48,1,2)="MG","ja","nee"))</f>
        <v>ja</v>
      </c>
      <c r="G48" s="66" t="s">
        <v>566</v>
      </c>
      <c r="H48" s="1"/>
      <c r="I48" s="25"/>
      <c r="J48" s="25"/>
      <c r="K48" s="25"/>
      <c r="L48" s="25"/>
      <c r="M48" s="25"/>
      <c r="N48" s="25"/>
      <c r="O48" s="25"/>
      <c r="P48" s="25"/>
      <c r="Q48" s="25"/>
      <c r="R48" s="25"/>
      <c r="S48" s="25"/>
      <c r="T48" s="1"/>
      <c r="U48" s="25"/>
      <c r="V48" s="25"/>
      <c r="W48" s="1"/>
      <c r="X48" s="14"/>
    </row>
    <row r="49" spans="2:24" ht="12.75">
      <c r="B49" s="13"/>
      <c r="C49" s="1"/>
      <c r="D49" s="1"/>
      <c r="E49" s="1"/>
      <c r="F49" s="1"/>
      <c r="G49" s="95" t="s">
        <v>579</v>
      </c>
      <c r="H49" s="1"/>
      <c r="I49" s="27">
        <v>0</v>
      </c>
      <c r="J49" s="430">
        <f>+I49</f>
        <v>0</v>
      </c>
      <c r="K49" s="25"/>
      <c r="L49" s="27">
        <v>0</v>
      </c>
      <c r="M49" s="430">
        <f>+L49</f>
        <v>0</v>
      </c>
      <c r="N49" s="25"/>
      <c r="O49" s="430">
        <f>+M49</f>
        <v>0</v>
      </c>
      <c r="P49" s="430">
        <f>+O49</f>
        <v>0</v>
      </c>
      <c r="Q49" s="25"/>
      <c r="R49" s="430">
        <f>+P49</f>
        <v>0</v>
      </c>
      <c r="S49" s="430">
        <f>+R49</f>
        <v>0</v>
      </c>
      <c r="T49" s="1">
        <f>IF(AND(D48="VSO",I49&gt;0),$AT$238,"")</f>
      </c>
      <c r="U49" s="430">
        <f>+S49</f>
        <v>0</v>
      </c>
      <c r="V49" s="430">
        <f>+U49</f>
        <v>0</v>
      </c>
      <c r="W49" s="1"/>
      <c r="X49" s="14"/>
    </row>
    <row r="50" spans="2:24" ht="12.75">
      <c r="B50" s="13"/>
      <c r="C50" s="1"/>
      <c r="D50" s="1"/>
      <c r="E50" s="1"/>
      <c r="F50" s="1"/>
      <c r="G50" s="95" t="s">
        <v>580</v>
      </c>
      <c r="H50" s="1"/>
      <c r="I50" s="27">
        <v>9</v>
      </c>
      <c r="J50" s="430">
        <f>+I50</f>
        <v>9</v>
      </c>
      <c r="K50" s="25"/>
      <c r="L50" s="27">
        <v>9</v>
      </c>
      <c r="M50" s="430">
        <f>+L50</f>
        <v>9</v>
      </c>
      <c r="N50" s="25"/>
      <c r="O50" s="430">
        <f>+M50</f>
        <v>9</v>
      </c>
      <c r="P50" s="430">
        <f>+O50</f>
        <v>9</v>
      </c>
      <c r="Q50" s="25"/>
      <c r="R50" s="430">
        <f>+P50</f>
        <v>9</v>
      </c>
      <c r="S50" s="430">
        <f>+R50</f>
        <v>9</v>
      </c>
      <c r="T50" s="1"/>
      <c r="U50" s="430">
        <f>+S50</f>
        <v>9</v>
      </c>
      <c r="V50" s="430">
        <f>+U50</f>
        <v>9</v>
      </c>
      <c r="W50" s="1"/>
      <c r="X50" s="14"/>
    </row>
    <row r="51" spans="2:24" ht="12.75">
      <c r="B51" s="13"/>
      <c r="C51" s="1"/>
      <c r="D51" s="1"/>
      <c r="E51" s="1"/>
      <c r="F51" s="1"/>
      <c r="G51" s="95" t="s">
        <v>577</v>
      </c>
      <c r="H51" s="1"/>
      <c r="I51" s="429">
        <f aca="true" t="shared" si="2" ref="I51:S51">SUM(I49:I50)</f>
        <v>9</v>
      </c>
      <c r="J51" s="429">
        <f t="shared" si="2"/>
        <v>9</v>
      </c>
      <c r="K51" s="25"/>
      <c r="L51" s="429">
        <f t="shared" si="2"/>
        <v>9</v>
      </c>
      <c r="M51" s="429">
        <f t="shared" si="2"/>
        <v>9</v>
      </c>
      <c r="N51" s="25"/>
      <c r="O51" s="429">
        <f t="shared" si="2"/>
        <v>9</v>
      </c>
      <c r="P51" s="429">
        <f t="shared" si="2"/>
        <v>9</v>
      </c>
      <c r="Q51" s="25"/>
      <c r="R51" s="429">
        <f t="shared" si="2"/>
        <v>9</v>
      </c>
      <c r="S51" s="429">
        <f t="shared" si="2"/>
        <v>9</v>
      </c>
      <c r="T51" s="1"/>
      <c r="U51" s="429">
        <f>SUM(U49:U50)</f>
        <v>9</v>
      </c>
      <c r="V51" s="429">
        <f>SUM(V49:V50)</f>
        <v>9</v>
      </c>
      <c r="W51" s="1"/>
      <c r="X51" s="14"/>
    </row>
    <row r="52" spans="2:24" ht="12.75">
      <c r="B52" s="13"/>
      <c r="C52" s="1"/>
      <c r="D52" s="1"/>
      <c r="E52" s="1"/>
      <c r="F52" s="1"/>
      <c r="G52" s="95" t="s">
        <v>581</v>
      </c>
      <c r="H52" s="1"/>
      <c r="I52" s="27">
        <v>0</v>
      </c>
      <c r="J52" s="430">
        <f>+I52</f>
        <v>0</v>
      </c>
      <c r="K52" s="25"/>
      <c r="L52" s="27">
        <v>0</v>
      </c>
      <c r="M52" s="430">
        <f>+L52</f>
        <v>0</v>
      </c>
      <c r="N52" s="25"/>
      <c r="O52" s="430">
        <f>+M52</f>
        <v>0</v>
      </c>
      <c r="P52" s="430">
        <f>+O52</f>
        <v>0</v>
      </c>
      <c r="Q52" s="25"/>
      <c r="R52" s="430">
        <f>+P52</f>
        <v>0</v>
      </c>
      <c r="S52" s="430">
        <f>+R52</f>
        <v>0</v>
      </c>
      <c r="T52" s="1"/>
      <c r="U52" s="430">
        <f>+S52</f>
        <v>0</v>
      </c>
      <c r="V52" s="430">
        <f>+U52</f>
        <v>0</v>
      </c>
      <c r="W52" s="1"/>
      <c r="X52" s="14"/>
    </row>
    <row r="53" spans="2:24" ht="12.75">
      <c r="B53" s="13"/>
      <c r="C53" s="1"/>
      <c r="D53" s="3" t="s">
        <v>582</v>
      </c>
      <c r="E53" s="3"/>
      <c r="F53" s="1"/>
      <c r="G53" s="97" t="s">
        <v>576</v>
      </c>
      <c r="H53" s="1"/>
      <c r="I53" s="27">
        <v>0</v>
      </c>
      <c r="J53" s="430">
        <f aca="true" t="shared" si="3" ref="J53:M55">+I53</f>
        <v>0</v>
      </c>
      <c r="K53" s="25"/>
      <c r="L53" s="27">
        <v>0</v>
      </c>
      <c r="M53" s="430">
        <f t="shared" si="3"/>
        <v>0</v>
      </c>
      <c r="N53" s="25"/>
      <c r="O53" s="430">
        <f>+M53</f>
        <v>0</v>
      </c>
      <c r="P53" s="430">
        <f aca="true" t="shared" si="4" ref="P53:S55">+O53</f>
        <v>0</v>
      </c>
      <c r="Q53" s="25"/>
      <c r="R53" s="430">
        <f>+P53</f>
        <v>0</v>
      </c>
      <c r="S53" s="430">
        <f t="shared" si="4"/>
        <v>0</v>
      </c>
      <c r="T53" s="1"/>
      <c r="U53" s="430">
        <f>+S53</f>
        <v>0</v>
      </c>
      <c r="V53" s="430">
        <f>+U53</f>
        <v>0</v>
      </c>
      <c r="W53" s="1"/>
      <c r="X53" s="14"/>
    </row>
    <row r="54" spans="2:24" ht="12.75">
      <c r="B54" s="13"/>
      <c r="C54" s="1"/>
      <c r="D54" s="1"/>
      <c r="E54" s="1"/>
      <c r="F54" s="3"/>
      <c r="G54" s="97" t="s">
        <v>575</v>
      </c>
      <c r="H54" s="1"/>
      <c r="I54" s="27">
        <v>0</v>
      </c>
      <c r="J54" s="430">
        <f t="shared" si="3"/>
        <v>0</v>
      </c>
      <c r="K54" s="25"/>
      <c r="L54" s="27">
        <v>0</v>
      </c>
      <c r="M54" s="430">
        <f t="shared" si="3"/>
        <v>0</v>
      </c>
      <c r="N54" s="25"/>
      <c r="O54" s="430">
        <f>+M54</f>
        <v>0</v>
      </c>
      <c r="P54" s="430">
        <f t="shared" si="4"/>
        <v>0</v>
      </c>
      <c r="Q54" s="25"/>
      <c r="R54" s="430">
        <f>+P54</f>
        <v>0</v>
      </c>
      <c r="S54" s="430">
        <f t="shared" si="4"/>
        <v>0</v>
      </c>
      <c r="T54" s="1"/>
      <c r="U54" s="430">
        <f>+S54</f>
        <v>0</v>
      </c>
      <c r="V54" s="430">
        <f>+U54</f>
        <v>0</v>
      </c>
      <c r="W54" s="1"/>
      <c r="X54" s="14"/>
    </row>
    <row r="55" spans="2:24" ht="12.75">
      <c r="B55" s="13"/>
      <c r="C55" s="1"/>
      <c r="D55" s="1"/>
      <c r="E55" s="1"/>
      <c r="F55" s="3"/>
      <c r="G55" s="97" t="s">
        <v>557</v>
      </c>
      <c r="H55" s="1"/>
      <c r="I55" s="27">
        <v>0</v>
      </c>
      <c r="J55" s="430">
        <f t="shared" si="3"/>
        <v>0</v>
      </c>
      <c r="K55" s="25"/>
      <c r="L55" s="27">
        <v>0</v>
      </c>
      <c r="M55" s="430">
        <f t="shared" si="3"/>
        <v>0</v>
      </c>
      <c r="N55" s="25"/>
      <c r="O55" s="430">
        <f>+M55</f>
        <v>0</v>
      </c>
      <c r="P55" s="430">
        <f t="shared" si="4"/>
        <v>0</v>
      </c>
      <c r="Q55" s="25"/>
      <c r="R55" s="430">
        <f>+P55</f>
        <v>0</v>
      </c>
      <c r="S55" s="430">
        <f t="shared" si="4"/>
        <v>0</v>
      </c>
      <c r="T55" s="1"/>
      <c r="U55" s="430">
        <f>+S55</f>
        <v>0</v>
      </c>
      <c r="V55" s="430">
        <f>+U55</f>
        <v>0</v>
      </c>
      <c r="W55" s="1"/>
      <c r="X55" s="14"/>
    </row>
    <row r="56" spans="2:24" ht="12.75">
      <c r="B56" s="13"/>
      <c r="C56" s="1"/>
      <c r="D56" s="3" t="s">
        <v>643</v>
      </c>
      <c r="E56" s="87"/>
      <c r="F56" s="1"/>
      <c r="G56" s="97" t="s">
        <v>642</v>
      </c>
      <c r="H56" s="1"/>
      <c r="I56" s="27">
        <v>0</v>
      </c>
      <c r="J56" s="429" t="s">
        <v>668</v>
      </c>
      <c r="K56" s="25"/>
      <c r="L56" s="27">
        <v>0</v>
      </c>
      <c r="M56" s="429" t="s">
        <v>668</v>
      </c>
      <c r="N56" s="25"/>
      <c r="O56" s="430">
        <f>+L56</f>
        <v>0</v>
      </c>
      <c r="P56" s="429" t="s">
        <v>668</v>
      </c>
      <c r="Q56" s="25"/>
      <c r="R56" s="430">
        <f>+O56</f>
        <v>0</v>
      </c>
      <c r="S56" s="429" t="s">
        <v>668</v>
      </c>
      <c r="T56" s="1"/>
      <c r="U56" s="430">
        <f>+R56</f>
        <v>0</v>
      </c>
      <c r="V56" s="429" t="s">
        <v>668</v>
      </c>
      <c r="W56" s="1"/>
      <c r="X56" s="14"/>
    </row>
    <row r="57" spans="2:24" ht="12.75">
      <c r="B57" s="13"/>
      <c r="C57" s="1"/>
      <c r="D57" s="3"/>
      <c r="E57" s="87"/>
      <c r="F57" s="1"/>
      <c r="G57" s="97" t="s">
        <v>644</v>
      </c>
      <c r="H57" s="1"/>
      <c r="I57" s="27">
        <v>0</v>
      </c>
      <c r="J57" s="429" t="s">
        <v>668</v>
      </c>
      <c r="K57" s="25"/>
      <c r="L57" s="27">
        <v>0</v>
      </c>
      <c r="M57" s="429" t="s">
        <v>668</v>
      </c>
      <c r="N57" s="25"/>
      <c r="O57" s="430">
        <f>+L57</f>
        <v>0</v>
      </c>
      <c r="P57" s="429" t="s">
        <v>668</v>
      </c>
      <c r="Q57" s="25"/>
      <c r="R57" s="430">
        <f>+O57</f>
        <v>0</v>
      </c>
      <c r="S57" s="429" t="s">
        <v>668</v>
      </c>
      <c r="T57" s="1"/>
      <c r="U57" s="430">
        <f>+R57</f>
        <v>0</v>
      </c>
      <c r="V57" s="429" t="s">
        <v>668</v>
      </c>
      <c r="W57" s="1"/>
      <c r="X57" s="14"/>
    </row>
    <row r="58" spans="2:24" ht="12.75">
      <c r="B58" s="13"/>
      <c r="C58" s="1"/>
      <c r="D58" s="3"/>
      <c r="E58" s="87"/>
      <c r="F58" s="1"/>
      <c r="G58" s="97" t="s">
        <v>512</v>
      </c>
      <c r="H58" s="1"/>
      <c r="I58" s="429">
        <f>+I51+I53</f>
        <v>9</v>
      </c>
      <c r="J58" s="429">
        <f>+J51+J53</f>
        <v>9</v>
      </c>
      <c r="K58" s="25"/>
      <c r="L58" s="429">
        <f>+L51+L53</f>
        <v>9</v>
      </c>
      <c r="M58" s="429">
        <f>+M51+M53</f>
        <v>9</v>
      </c>
      <c r="N58" s="25"/>
      <c r="O58" s="429">
        <f>+O51+O53</f>
        <v>9</v>
      </c>
      <c r="P58" s="429">
        <f>+P51+P53</f>
        <v>9</v>
      </c>
      <c r="Q58" s="25"/>
      <c r="R58" s="429">
        <f>+R51+R53</f>
        <v>9</v>
      </c>
      <c r="S58" s="429">
        <f>+S51+S53</f>
        <v>9</v>
      </c>
      <c r="T58" s="1"/>
      <c r="U58" s="429">
        <f>+U51+U53</f>
        <v>9</v>
      </c>
      <c r="V58" s="429">
        <f>+V51+V53</f>
        <v>9</v>
      </c>
      <c r="W58" s="1"/>
      <c r="X58" s="14"/>
    </row>
    <row r="59" spans="2:24" ht="12.75">
      <c r="B59" s="13"/>
      <c r="C59" s="1"/>
      <c r="D59" s="3"/>
      <c r="E59" s="87"/>
      <c r="F59" s="1"/>
      <c r="G59" s="97"/>
      <c r="H59" s="1"/>
      <c r="I59" s="25"/>
      <c r="J59" s="25"/>
      <c r="K59" s="25"/>
      <c r="L59" s="25"/>
      <c r="M59" s="25"/>
      <c r="N59" s="25"/>
      <c r="O59" s="25"/>
      <c r="P59" s="25"/>
      <c r="Q59" s="25"/>
      <c r="R59" s="25"/>
      <c r="S59" s="25"/>
      <c r="T59" s="1"/>
      <c r="U59" s="25"/>
      <c r="V59" s="25"/>
      <c r="W59" s="1"/>
      <c r="X59" s="14"/>
    </row>
    <row r="60" spans="2:24" ht="12.75">
      <c r="B60" s="13"/>
      <c r="C60" s="1"/>
      <c r="D60" s="3"/>
      <c r="E60" s="87"/>
      <c r="F60" s="1" t="s">
        <v>573</v>
      </c>
      <c r="G60" s="1" t="s">
        <v>574</v>
      </c>
      <c r="H60" s="1"/>
      <c r="I60" s="98"/>
      <c r="J60" s="98"/>
      <c r="K60" s="98"/>
      <c r="L60" s="98"/>
      <c r="M60" s="98"/>
      <c r="N60" s="98"/>
      <c r="O60" s="98"/>
      <c r="P60" s="98"/>
      <c r="Q60" s="98"/>
      <c r="R60" s="98"/>
      <c r="S60" s="98"/>
      <c r="T60" s="1"/>
      <c r="U60" s="98"/>
      <c r="V60" s="98"/>
      <c r="W60" s="1"/>
      <c r="X60" s="14"/>
    </row>
    <row r="61" spans="2:24" ht="12.75">
      <c r="B61" s="13"/>
      <c r="C61" s="1" t="s">
        <v>600</v>
      </c>
      <c r="D61" s="66" t="s">
        <v>469</v>
      </c>
      <c r="E61" s="66" t="s">
        <v>476</v>
      </c>
      <c r="F61" s="100" t="str">
        <f>IF(G61="ja","nee",IF(MID(E61,1,2)="MG","ja","nee"))</f>
        <v>nee</v>
      </c>
      <c r="G61" s="66" t="s">
        <v>566</v>
      </c>
      <c r="H61" s="1"/>
      <c r="I61" s="25"/>
      <c r="J61" s="25"/>
      <c r="K61" s="25"/>
      <c r="L61" s="25"/>
      <c r="M61" s="25"/>
      <c r="N61" s="25"/>
      <c r="O61" s="25"/>
      <c r="P61" s="25"/>
      <c r="Q61" s="25"/>
      <c r="R61" s="25"/>
      <c r="S61" s="25"/>
      <c r="T61" s="1"/>
      <c r="U61" s="25"/>
      <c r="V61" s="25"/>
      <c r="W61" s="1"/>
      <c r="X61" s="14"/>
    </row>
    <row r="62" spans="2:24" ht="12.75">
      <c r="B62" s="13"/>
      <c r="C62" s="1"/>
      <c r="D62" s="1"/>
      <c r="E62" s="1"/>
      <c r="F62" s="1"/>
      <c r="G62" s="95" t="s">
        <v>579</v>
      </c>
      <c r="H62" s="1"/>
      <c r="I62" s="27">
        <v>0</v>
      </c>
      <c r="J62" s="430">
        <f>+I62</f>
        <v>0</v>
      </c>
      <c r="K62" s="25"/>
      <c r="L62" s="27">
        <v>0</v>
      </c>
      <c r="M62" s="430">
        <f>+L62</f>
        <v>0</v>
      </c>
      <c r="N62" s="25"/>
      <c r="O62" s="430">
        <f>+M62</f>
        <v>0</v>
      </c>
      <c r="P62" s="430">
        <f>+O62</f>
        <v>0</v>
      </c>
      <c r="Q62" s="25"/>
      <c r="R62" s="430">
        <f>+P62</f>
        <v>0</v>
      </c>
      <c r="S62" s="430">
        <f>+R62</f>
        <v>0</v>
      </c>
      <c r="T62" s="1">
        <f>IF(AND(D61="VSO",I62&gt;0),$AT$238,"")</f>
      </c>
      <c r="U62" s="430">
        <f>+S62</f>
        <v>0</v>
      </c>
      <c r="V62" s="430">
        <f>+U62</f>
        <v>0</v>
      </c>
      <c r="W62" s="1"/>
      <c r="X62" s="14"/>
    </row>
    <row r="63" spans="2:24" ht="12.75">
      <c r="B63" s="13"/>
      <c r="C63" s="1"/>
      <c r="D63" s="1"/>
      <c r="E63" s="1"/>
      <c r="F63" s="1"/>
      <c r="G63" s="95" t="s">
        <v>580</v>
      </c>
      <c r="H63" s="1"/>
      <c r="I63" s="27">
        <v>10</v>
      </c>
      <c r="J63" s="430">
        <f>+I63</f>
        <v>10</v>
      </c>
      <c r="K63" s="25"/>
      <c r="L63" s="27">
        <v>10</v>
      </c>
      <c r="M63" s="430">
        <f>+L63</f>
        <v>10</v>
      </c>
      <c r="N63" s="25"/>
      <c r="O63" s="430">
        <f>+M63</f>
        <v>10</v>
      </c>
      <c r="P63" s="430">
        <f>+O63</f>
        <v>10</v>
      </c>
      <c r="Q63" s="25"/>
      <c r="R63" s="430">
        <f>+P63</f>
        <v>10</v>
      </c>
      <c r="S63" s="430">
        <f>+R63</f>
        <v>10</v>
      </c>
      <c r="T63" s="1"/>
      <c r="U63" s="430">
        <f>+S63</f>
        <v>10</v>
      </c>
      <c r="V63" s="430">
        <f>+U63</f>
        <v>10</v>
      </c>
      <c r="W63" s="1"/>
      <c r="X63" s="14"/>
    </row>
    <row r="64" spans="2:24" ht="12.75">
      <c r="B64" s="13"/>
      <c r="C64" s="1"/>
      <c r="D64" s="1"/>
      <c r="E64" s="1"/>
      <c r="F64" s="1"/>
      <c r="G64" s="95" t="s">
        <v>577</v>
      </c>
      <c r="H64" s="1"/>
      <c r="I64" s="429">
        <f>SUM(I62:I63)</f>
        <v>10</v>
      </c>
      <c r="J64" s="429">
        <f aca="true" t="shared" si="5" ref="J64:S64">SUM(J62:J63)</f>
        <v>10</v>
      </c>
      <c r="K64" s="25"/>
      <c r="L64" s="429">
        <f t="shared" si="5"/>
        <v>10</v>
      </c>
      <c r="M64" s="429">
        <f t="shared" si="5"/>
        <v>10</v>
      </c>
      <c r="N64" s="25"/>
      <c r="O64" s="429">
        <f t="shared" si="5"/>
        <v>10</v>
      </c>
      <c r="P64" s="429">
        <f t="shared" si="5"/>
        <v>10</v>
      </c>
      <c r="Q64" s="25"/>
      <c r="R64" s="429">
        <f t="shared" si="5"/>
        <v>10</v>
      </c>
      <c r="S64" s="429">
        <f t="shared" si="5"/>
        <v>10</v>
      </c>
      <c r="T64" s="1"/>
      <c r="U64" s="429">
        <f>SUM(U62:U63)</f>
        <v>10</v>
      </c>
      <c r="V64" s="429">
        <f>SUM(V62:V63)</f>
        <v>10</v>
      </c>
      <c r="W64" s="1"/>
      <c r="X64" s="14"/>
    </row>
    <row r="65" spans="2:24" ht="12.75">
      <c r="B65" s="13"/>
      <c r="C65" s="1"/>
      <c r="D65" s="1"/>
      <c r="E65" s="1"/>
      <c r="F65" s="1"/>
      <c r="G65" s="95" t="s">
        <v>581</v>
      </c>
      <c r="H65" s="1"/>
      <c r="I65" s="27">
        <v>0</v>
      </c>
      <c r="J65" s="430">
        <f>+I65</f>
        <v>0</v>
      </c>
      <c r="K65" s="25"/>
      <c r="L65" s="27">
        <v>0</v>
      </c>
      <c r="M65" s="430">
        <f>+L65</f>
        <v>0</v>
      </c>
      <c r="N65" s="25"/>
      <c r="O65" s="430">
        <f>+M65</f>
        <v>0</v>
      </c>
      <c r="P65" s="430">
        <f>+O65</f>
        <v>0</v>
      </c>
      <c r="Q65" s="25"/>
      <c r="R65" s="430">
        <f>+P65</f>
        <v>0</v>
      </c>
      <c r="S65" s="430">
        <f>+R65</f>
        <v>0</v>
      </c>
      <c r="T65" s="1"/>
      <c r="U65" s="430">
        <f>+S65</f>
        <v>0</v>
      </c>
      <c r="V65" s="430">
        <f>+U65</f>
        <v>0</v>
      </c>
      <c r="W65" s="1"/>
      <c r="X65" s="14"/>
    </row>
    <row r="66" spans="2:24" ht="12.75">
      <c r="B66" s="13"/>
      <c r="C66" s="1"/>
      <c r="D66" s="3" t="s">
        <v>582</v>
      </c>
      <c r="E66" s="3"/>
      <c r="F66" s="1"/>
      <c r="G66" s="97" t="s">
        <v>576</v>
      </c>
      <c r="H66" s="1"/>
      <c r="I66" s="27">
        <v>0</v>
      </c>
      <c r="J66" s="430">
        <f aca="true" t="shared" si="6" ref="J66:M68">+I66</f>
        <v>0</v>
      </c>
      <c r="K66" s="25"/>
      <c r="L66" s="27">
        <v>0</v>
      </c>
      <c r="M66" s="430">
        <f t="shared" si="6"/>
        <v>0</v>
      </c>
      <c r="N66" s="25"/>
      <c r="O66" s="430">
        <f>+M66</f>
        <v>0</v>
      </c>
      <c r="P66" s="430">
        <f aca="true" t="shared" si="7" ref="P66:S68">+O66</f>
        <v>0</v>
      </c>
      <c r="Q66" s="25"/>
      <c r="R66" s="430">
        <f>+P66</f>
        <v>0</v>
      </c>
      <c r="S66" s="430">
        <f t="shared" si="7"/>
        <v>0</v>
      </c>
      <c r="T66" s="1"/>
      <c r="U66" s="430">
        <f>+S66</f>
        <v>0</v>
      </c>
      <c r="V66" s="430">
        <f>+U66</f>
        <v>0</v>
      </c>
      <c r="W66" s="1"/>
      <c r="X66" s="14"/>
    </row>
    <row r="67" spans="2:24" ht="12.75">
      <c r="B67" s="13"/>
      <c r="C67" s="1"/>
      <c r="D67" s="1"/>
      <c r="E67" s="1"/>
      <c r="F67" s="3"/>
      <c r="G67" s="97" t="s">
        <v>575</v>
      </c>
      <c r="H67" s="1"/>
      <c r="I67" s="27">
        <v>0</v>
      </c>
      <c r="J67" s="430">
        <f t="shared" si="6"/>
        <v>0</v>
      </c>
      <c r="K67" s="25"/>
      <c r="L67" s="27">
        <v>0</v>
      </c>
      <c r="M67" s="430">
        <f t="shared" si="6"/>
        <v>0</v>
      </c>
      <c r="N67" s="25"/>
      <c r="O67" s="430">
        <f>+M67</f>
        <v>0</v>
      </c>
      <c r="P67" s="430">
        <f t="shared" si="7"/>
        <v>0</v>
      </c>
      <c r="Q67" s="25"/>
      <c r="R67" s="430">
        <f>+P67</f>
        <v>0</v>
      </c>
      <c r="S67" s="430">
        <f t="shared" si="7"/>
        <v>0</v>
      </c>
      <c r="T67" s="1"/>
      <c r="U67" s="430">
        <f>+S67</f>
        <v>0</v>
      </c>
      <c r="V67" s="430">
        <f>+U67</f>
        <v>0</v>
      </c>
      <c r="W67" s="1"/>
      <c r="X67" s="14"/>
    </row>
    <row r="68" spans="2:24" ht="12.75">
      <c r="B68" s="13"/>
      <c r="C68" s="1"/>
      <c r="D68" s="1"/>
      <c r="E68" s="1"/>
      <c r="F68" s="3"/>
      <c r="G68" s="97" t="s">
        <v>557</v>
      </c>
      <c r="H68" s="1"/>
      <c r="I68" s="27">
        <v>0</v>
      </c>
      <c r="J68" s="430">
        <f t="shared" si="6"/>
        <v>0</v>
      </c>
      <c r="K68" s="25"/>
      <c r="L68" s="27">
        <v>0</v>
      </c>
      <c r="M68" s="430">
        <f t="shared" si="6"/>
        <v>0</v>
      </c>
      <c r="N68" s="25"/>
      <c r="O68" s="430">
        <f>+M68</f>
        <v>0</v>
      </c>
      <c r="P68" s="430">
        <f t="shared" si="7"/>
        <v>0</v>
      </c>
      <c r="Q68" s="25"/>
      <c r="R68" s="430">
        <f>+P68</f>
        <v>0</v>
      </c>
      <c r="S68" s="430">
        <f t="shared" si="7"/>
        <v>0</v>
      </c>
      <c r="T68" s="1"/>
      <c r="U68" s="430">
        <f>+S68</f>
        <v>0</v>
      </c>
      <c r="V68" s="430">
        <f>+U68</f>
        <v>0</v>
      </c>
      <c r="W68" s="1"/>
      <c r="X68" s="14"/>
    </row>
    <row r="69" spans="2:24" ht="12.75">
      <c r="B69" s="13"/>
      <c r="C69" s="1"/>
      <c r="D69" s="3" t="s">
        <v>643</v>
      </c>
      <c r="E69" s="87"/>
      <c r="F69" s="1"/>
      <c r="G69" s="97" t="s">
        <v>642</v>
      </c>
      <c r="H69" s="1"/>
      <c r="I69" s="27">
        <v>0</v>
      </c>
      <c r="J69" s="429" t="s">
        <v>668</v>
      </c>
      <c r="K69" s="25"/>
      <c r="L69" s="27">
        <v>0</v>
      </c>
      <c r="M69" s="429" t="s">
        <v>668</v>
      </c>
      <c r="N69" s="25"/>
      <c r="O69" s="430">
        <f>+L69</f>
        <v>0</v>
      </c>
      <c r="P69" s="429" t="s">
        <v>668</v>
      </c>
      <c r="Q69" s="25"/>
      <c r="R69" s="430">
        <f>+O69</f>
        <v>0</v>
      </c>
      <c r="S69" s="429" t="s">
        <v>668</v>
      </c>
      <c r="T69" s="1"/>
      <c r="U69" s="430">
        <f>+R69</f>
        <v>0</v>
      </c>
      <c r="V69" s="429" t="s">
        <v>668</v>
      </c>
      <c r="W69" s="1"/>
      <c r="X69" s="14"/>
    </row>
    <row r="70" spans="2:24" ht="12.75">
      <c r="B70" s="13"/>
      <c r="C70" s="1"/>
      <c r="D70" s="3"/>
      <c r="E70" s="87"/>
      <c r="F70" s="1"/>
      <c r="G70" s="97" t="s">
        <v>644</v>
      </c>
      <c r="H70" s="1"/>
      <c r="I70" s="27">
        <v>0</v>
      </c>
      <c r="J70" s="429" t="s">
        <v>668</v>
      </c>
      <c r="K70" s="25"/>
      <c r="L70" s="27">
        <v>0</v>
      </c>
      <c r="M70" s="429" t="s">
        <v>668</v>
      </c>
      <c r="N70" s="25"/>
      <c r="O70" s="430">
        <f>+L70</f>
        <v>0</v>
      </c>
      <c r="P70" s="429" t="s">
        <v>668</v>
      </c>
      <c r="Q70" s="25"/>
      <c r="R70" s="430">
        <f>+O70</f>
        <v>0</v>
      </c>
      <c r="S70" s="429" t="s">
        <v>668</v>
      </c>
      <c r="T70" s="1"/>
      <c r="U70" s="430">
        <f>+R70</f>
        <v>0</v>
      </c>
      <c r="V70" s="429" t="s">
        <v>668</v>
      </c>
      <c r="W70" s="1"/>
      <c r="X70" s="14"/>
    </row>
    <row r="71" spans="2:24" ht="12.75">
      <c r="B71" s="13"/>
      <c r="C71" s="1"/>
      <c r="D71" s="3"/>
      <c r="E71" s="87"/>
      <c r="F71" s="1"/>
      <c r="G71" s="97" t="s">
        <v>512</v>
      </c>
      <c r="H71" s="1"/>
      <c r="I71" s="429">
        <f>+I64+I66</f>
        <v>10</v>
      </c>
      <c r="J71" s="429">
        <f>+J64+J66</f>
        <v>10</v>
      </c>
      <c r="K71" s="25"/>
      <c r="L71" s="429">
        <f>+L64+L66</f>
        <v>10</v>
      </c>
      <c r="M71" s="429">
        <f>+M64+M66</f>
        <v>10</v>
      </c>
      <c r="N71" s="25"/>
      <c r="O71" s="429">
        <f>+O64+O66</f>
        <v>10</v>
      </c>
      <c r="P71" s="429">
        <f>+P64+P66</f>
        <v>10</v>
      </c>
      <c r="Q71" s="25"/>
      <c r="R71" s="429">
        <f>+R64+R66</f>
        <v>10</v>
      </c>
      <c r="S71" s="429">
        <f>+S64+S66</f>
        <v>10</v>
      </c>
      <c r="T71" s="1"/>
      <c r="U71" s="429">
        <f>+U64+U66</f>
        <v>10</v>
      </c>
      <c r="V71" s="429">
        <f>+V64+V66</f>
        <v>10</v>
      </c>
      <c r="W71" s="1"/>
      <c r="X71" s="14"/>
    </row>
    <row r="72" spans="2:24" ht="12.75">
      <c r="B72" s="13"/>
      <c r="C72" s="1"/>
      <c r="D72" s="3"/>
      <c r="E72" s="87"/>
      <c r="F72" s="1"/>
      <c r="G72" s="97"/>
      <c r="H72" s="1"/>
      <c r="I72" s="25"/>
      <c r="J72" s="25"/>
      <c r="K72" s="25"/>
      <c r="L72" s="25"/>
      <c r="M72" s="25"/>
      <c r="N72" s="25"/>
      <c r="O72" s="25"/>
      <c r="P72" s="25"/>
      <c r="Q72" s="25"/>
      <c r="R72" s="25"/>
      <c r="S72" s="25"/>
      <c r="T72" s="1"/>
      <c r="U72" s="25"/>
      <c r="V72" s="25"/>
      <c r="W72" s="1"/>
      <c r="X72" s="14"/>
    </row>
    <row r="73" spans="2:24" ht="12.75">
      <c r="B73" s="13"/>
      <c r="D73" s="36"/>
      <c r="E73" s="64"/>
      <c r="G73" s="69"/>
      <c r="X73" s="14"/>
    </row>
    <row r="74" spans="2:24" ht="13.5" thickBot="1">
      <c r="B74" s="48"/>
      <c r="C74" s="49"/>
      <c r="D74" s="72"/>
      <c r="E74" s="73"/>
      <c r="F74" s="49"/>
      <c r="G74" s="74"/>
      <c r="H74" s="49"/>
      <c r="I74" s="50"/>
      <c r="J74" s="50"/>
      <c r="K74" s="50"/>
      <c r="L74" s="50"/>
      <c r="M74" s="50"/>
      <c r="N74" s="50"/>
      <c r="O74" s="50"/>
      <c r="P74" s="50"/>
      <c r="Q74" s="50"/>
      <c r="R74" s="50"/>
      <c r="S74" s="50"/>
      <c r="T74" s="49"/>
      <c r="U74" s="50"/>
      <c r="V74" s="50"/>
      <c r="W74" s="49"/>
      <c r="X74" s="51"/>
    </row>
    <row r="75" spans="2:24" ht="12.75">
      <c r="B75" s="9"/>
      <c r="C75" s="10"/>
      <c r="D75" s="78"/>
      <c r="E75" s="79"/>
      <c r="F75" s="10"/>
      <c r="G75" s="80"/>
      <c r="H75" s="10"/>
      <c r="I75" s="11"/>
      <c r="J75" s="11"/>
      <c r="K75" s="11"/>
      <c r="L75" s="11"/>
      <c r="M75" s="11"/>
      <c r="N75" s="11"/>
      <c r="O75" s="11"/>
      <c r="P75" s="11"/>
      <c r="Q75" s="11"/>
      <c r="R75" s="11"/>
      <c r="S75" s="11"/>
      <c r="T75" s="10"/>
      <c r="U75" s="11"/>
      <c r="V75" s="11"/>
      <c r="W75" s="10"/>
      <c r="X75" s="12"/>
    </row>
    <row r="76" spans="2:24" ht="12.75">
      <c r="B76" s="13"/>
      <c r="D76" s="36"/>
      <c r="E76" s="64"/>
      <c r="G76" s="69"/>
      <c r="X76" s="14"/>
    </row>
    <row r="77" spans="2:24" ht="12.75">
      <c r="B77" s="13"/>
      <c r="D77" s="36"/>
      <c r="E77" s="64"/>
      <c r="G77" s="69"/>
      <c r="X77" s="14"/>
    </row>
    <row r="78" spans="2:24" ht="12.75">
      <c r="B78" s="13"/>
      <c r="D78" s="36"/>
      <c r="E78" s="64"/>
      <c r="G78" s="69"/>
      <c r="I78" s="539" t="str">
        <f>I7</f>
        <v>2009/10</v>
      </c>
      <c r="J78" s="539"/>
      <c r="K78" s="88"/>
      <c r="L78" s="539" t="str">
        <f>L7</f>
        <v>2010/11</v>
      </c>
      <c r="M78" s="539"/>
      <c r="N78" s="88"/>
      <c r="O78" s="539" t="str">
        <f>O7</f>
        <v>2011/12</v>
      </c>
      <c r="P78" s="539"/>
      <c r="Q78" s="88"/>
      <c r="R78" s="539" t="str">
        <f>R7</f>
        <v>2012/13</v>
      </c>
      <c r="S78" s="539"/>
      <c r="U78" s="539" t="str">
        <f>U7</f>
        <v>2013/14</v>
      </c>
      <c r="V78" s="539"/>
      <c r="X78" s="14"/>
    </row>
    <row r="79" spans="2:24" ht="12.75">
      <c r="B79" s="13"/>
      <c r="D79" s="36"/>
      <c r="E79" s="64"/>
      <c r="G79" s="69"/>
      <c r="I79" s="90">
        <f>I8</f>
        <v>39722</v>
      </c>
      <c r="J79" s="90">
        <f>J8</f>
        <v>39829</v>
      </c>
      <c r="K79" s="60"/>
      <c r="L79" s="90">
        <f>L8</f>
        <v>40087</v>
      </c>
      <c r="M79" s="90">
        <f>M8</f>
        <v>40194</v>
      </c>
      <c r="N79" s="60"/>
      <c r="O79" s="90">
        <f>O8</f>
        <v>40452</v>
      </c>
      <c r="P79" s="90">
        <f>P8</f>
        <v>40559</v>
      </c>
      <c r="Q79" s="60"/>
      <c r="R79" s="90">
        <f>R8</f>
        <v>40817</v>
      </c>
      <c r="S79" s="90">
        <f>S8</f>
        <v>40924</v>
      </c>
      <c r="U79" s="90">
        <f>U8</f>
        <v>41183</v>
      </c>
      <c r="V79" s="90">
        <f>V8</f>
        <v>41290</v>
      </c>
      <c r="X79" s="14"/>
    </row>
    <row r="80" spans="2:24" ht="12.75">
      <c r="B80" s="13"/>
      <c r="D80" s="36"/>
      <c r="E80" s="64"/>
      <c r="G80" s="69"/>
      <c r="X80" s="14"/>
    </row>
    <row r="81" spans="2:24" ht="12.75">
      <c r="B81" s="13"/>
      <c r="D81" s="36"/>
      <c r="E81" s="64"/>
      <c r="G81" s="69"/>
      <c r="X81" s="14"/>
    </row>
    <row r="82" spans="2:24" ht="12.75">
      <c r="B82" s="13"/>
      <c r="C82" s="1"/>
      <c r="D82" s="3"/>
      <c r="E82" s="87"/>
      <c r="F82" s="1"/>
      <c r="G82" s="97"/>
      <c r="H82" s="1"/>
      <c r="I82" s="25"/>
      <c r="J82" s="25"/>
      <c r="K82" s="25"/>
      <c r="L82" s="25"/>
      <c r="M82" s="25"/>
      <c r="N82" s="25"/>
      <c r="O82" s="25"/>
      <c r="P82" s="25"/>
      <c r="Q82" s="25"/>
      <c r="R82" s="25"/>
      <c r="S82" s="25"/>
      <c r="T82" s="1"/>
      <c r="U82" s="25"/>
      <c r="V82" s="25"/>
      <c r="W82" s="1"/>
      <c r="X82" s="14"/>
    </row>
    <row r="83" spans="2:24" ht="12.75">
      <c r="B83" s="13"/>
      <c r="C83" s="1"/>
      <c r="D83" s="3" t="s">
        <v>312</v>
      </c>
      <c r="E83" s="87"/>
      <c r="F83" s="1"/>
      <c r="G83" s="97"/>
      <c r="H83" s="1"/>
      <c r="I83" s="25"/>
      <c r="J83" s="25"/>
      <c r="K83" s="25"/>
      <c r="L83" s="25"/>
      <c r="M83" s="25"/>
      <c r="N83" s="25"/>
      <c r="O83" s="25"/>
      <c r="P83" s="25"/>
      <c r="Q83" s="25"/>
      <c r="R83" s="25"/>
      <c r="S83" s="25"/>
      <c r="T83" s="1"/>
      <c r="U83" s="25"/>
      <c r="V83" s="25"/>
      <c r="W83" s="1"/>
      <c r="X83" s="14"/>
    </row>
    <row r="84" spans="2:24" ht="12.75">
      <c r="B84" s="13"/>
      <c r="C84" s="1"/>
      <c r="D84" s="3"/>
      <c r="E84" s="87"/>
      <c r="F84" s="1"/>
      <c r="G84" s="97"/>
      <c r="H84" s="1"/>
      <c r="I84" s="25"/>
      <c r="J84" s="25"/>
      <c r="K84" s="25"/>
      <c r="L84" s="25"/>
      <c r="M84" s="25"/>
      <c r="N84" s="25"/>
      <c r="O84" s="25"/>
      <c r="P84" s="25"/>
      <c r="Q84" s="25"/>
      <c r="R84" s="25"/>
      <c r="S84" s="25"/>
      <c r="T84" s="1"/>
      <c r="U84" s="25"/>
      <c r="V84" s="25"/>
      <c r="W84" s="1"/>
      <c r="X84" s="14"/>
    </row>
    <row r="85" spans="2:24" ht="12.75">
      <c r="B85" s="13"/>
      <c r="C85" s="1"/>
      <c r="D85" s="3"/>
      <c r="E85" s="87"/>
      <c r="F85" s="1" t="s">
        <v>573</v>
      </c>
      <c r="G85" s="1" t="s">
        <v>574</v>
      </c>
      <c r="H85" s="1"/>
      <c r="I85" s="98"/>
      <c r="J85" s="98"/>
      <c r="K85" s="98"/>
      <c r="L85" s="98"/>
      <c r="M85" s="98"/>
      <c r="N85" s="98"/>
      <c r="O85" s="98"/>
      <c r="P85" s="98"/>
      <c r="Q85" s="98"/>
      <c r="R85" s="98"/>
      <c r="S85" s="98"/>
      <c r="T85" s="1"/>
      <c r="U85" s="98"/>
      <c r="V85" s="98"/>
      <c r="W85" s="1"/>
      <c r="X85" s="14"/>
    </row>
    <row r="86" spans="2:24" ht="12.75">
      <c r="B86" s="13"/>
      <c r="C86" s="1" t="s">
        <v>601</v>
      </c>
      <c r="D86" s="66" t="s">
        <v>486</v>
      </c>
      <c r="E86" s="66" t="s">
        <v>477</v>
      </c>
      <c r="F86" s="100" t="str">
        <f>IF(G86="ja","nee",IF(MID(E86,1,2)="MG","ja","nee"))</f>
        <v>nee</v>
      </c>
      <c r="G86" s="101" t="s">
        <v>566</v>
      </c>
      <c r="H86" s="1"/>
      <c r="I86" s="25"/>
      <c r="J86" s="25"/>
      <c r="K86" s="25"/>
      <c r="L86" s="25"/>
      <c r="M86" s="25"/>
      <c r="N86" s="25"/>
      <c r="O86" s="25"/>
      <c r="P86" s="25"/>
      <c r="Q86" s="25"/>
      <c r="R86" s="25"/>
      <c r="S86" s="25"/>
      <c r="T86" s="1"/>
      <c r="U86" s="25"/>
      <c r="V86" s="25"/>
      <c r="W86" s="1"/>
      <c r="X86" s="14"/>
    </row>
    <row r="87" spans="2:24" ht="12.75" hidden="1">
      <c r="B87" s="13"/>
      <c r="C87" s="1"/>
      <c r="D87" s="1"/>
      <c r="E87" s="1"/>
      <c r="F87" s="1"/>
      <c r="G87" s="95" t="s">
        <v>579</v>
      </c>
      <c r="H87" s="1"/>
      <c r="I87" s="8">
        <v>0</v>
      </c>
      <c r="J87" s="431">
        <f>+I87</f>
        <v>0</v>
      </c>
      <c r="K87" s="25"/>
      <c r="L87" s="431">
        <f>+J87</f>
        <v>0</v>
      </c>
      <c r="M87" s="431">
        <f>+L87</f>
        <v>0</v>
      </c>
      <c r="N87" s="25"/>
      <c r="O87" s="431">
        <f>+M87</f>
        <v>0</v>
      </c>
      <c r="P87" s="431">
        <f>+O87</f>
        <v>0</v>
      </c>
      <c r="Q87" s="25"/>
      <c r="R87" s="431">
        <f>+P87</f>
        <v>0</v>
      </c>
      <c r="S87" s="431">
        <f>+R87</f>
        <v>0</v>
      </c>
      <c r="T87" s="1">
        <f>IF(AND(D86="VSO",I87&gt;0),$AT$238,"")</f>
      </c>
      <c r="U87" s="431">
        <f>+S87</f>
        <v>0</v>
      </c>
      <c r="V87" s="431">
        <f>+U87</f>
        <v>0</v>
      </c>
      <c r="W87" s="1"/>
      <c r="X87" s="14"/>
    </row>
    <row r="88" spans="2:24" ht="12.75">
      <c r="B88" s="13"/>
      <c r="C88" s="1"/>
      <c r="D88" s="1"/>
      <c r="E88" s="1"/>
      <c r="F88" s="1"/>
      <c r="G88" s="95" t="s">
        <v>624</v>
      </c>
      <c r="H88" s="1"/>
      <c r="I88" s="27">
        <v>10</v>
      </c>
      <c r="J88" s="430">
        <f>+I88</f>
        <v>10</v>
      </c>
      <c r="K88" s="25"/>
      <c r="L88" s="27">
        <v>10</v>
      </c>
      <c r="M88" s="430">
        <f>+L88</f>
        <v>10</v>
      </c>
      <c r="N88" s="25"/>
      <c r="O88" s="430">
        <f>+M88</f>
        <v>10</v>
      </c>
      <c r="P88" s="430">
        <f>+O88</f>
        <v>10</v>
      </c>
      <c r="Q88" s="25"/>
      <c r="R88" s="430">
        <f>+P88</f>
        <v>10</v>
      </c>
      <c r="S88" s="430">
        <f>+R88</f>
        <v>10</v>
      </c>
      <c r="T88" s="1"/>
      <c r="U88" s="430">
        <f>+S88</f>
        <v>10</v>
      </c>
      <c r="V88" s="430">
        <f>+U88</f>
        <v>10</v>
      </c>
      <c r="W88" s="1"/>
      <c r="X88" s="14"/>
    </row>
    <row r="89" spans="2:24" ht="12.75">
      <c r="B89" s="13"/>
      <c r="C89" s="1"/>
      <c r="D89" s="1"/>
      <c r="E89" s="1"/>
      <c r="F89" s="1"/>
      <c r="G89" s="95" t="s">
        <v>577</v>
      </c>
      <c r="H89" s="1"/>
      <c r="I89" s="429">
        <f aca="true" t="shared" si="8" ref="I89:S89">SUM(I87:I88)</f>
        <v>10</v>
      </c>
      <c r="J89" s="429">
        <f t="shared" si="8"/>
        <v>10</v>
      </c>
      <c r="K89" s="25"/>
      <c r="L89" s="429">
        <f t="shared" si="8"/>
        <v>10</v>
      </c>
      <c r="M89" s="429">
        <f t="shared" si="8"/>
        <v>10</v>
      </c>
      <c r="N89" s="25"/>
      <c r="O89" s="429">
        <f t="shared" si="8"/>
        <v>10</v>
      </c>
      <c r="P89" s="429">
        <f t="shared" si="8"/>
        <v>10</v>
      </c>
      <c r="Q89" s="25"/>
      <c r="R89" s="429">
        <f t="shared" si="8"/>
        <v>10</v>
      </c>
      <c r="S89" s="429">
        <f t="shared" si="8"/>
        <v>10</v>
      </c>
      <c r="T89" s="1"/>
      <c r="U89" s="429">
        <f>SUM(U87:U88)</f>
        <v>10</v>
      </c>
      <c r="V89" s="429">
        <f>SUM(V87:V88)</f>
        <v>10</v>
      </c>
      <c r="W89" s="1"/>
      <c r="X89" s="14"/>
    </row>
    <row r="90" spans="2:24" ht="12.75">
      <c r="B90" s="13"/>
      <c r="C90" s="1"/>
      <c r="D90" s="1"/>
      <c r="E90" s="1"/>
      <c r="F90" s="1"/>
      <c r="G90" s="95" t="s">
        <v>581</v>
      </c>
      <c r="H90" s="1"/>
      <c r="I90" s="27">
        <v>0</v>
      </c>
      <c r="J90" s="430">
        <f>+I90</f>
        <v>0</v>
      </c>
      <c r="K90" s="25"/>
      <c r="L90" s="27">
        <v>0</v>
      </c>
      <c r="M90" s="430">
        <f>+L90</f>
        <v>0</v>
      </c>
      <c r="N90" s="25"/>
      <c r="O90" s="430">
        <f>+M90</f>
        <v>0</v>
      </c>
      <c r="P90" s="430">
        <f>+O90</f>
        <v>0</v>
      </c>
      <c r="Q90" s="25"/>
      <c r="R90" s="430">
        <f>+P90</f>
        <v>0</v>
      </c>
      <c r="S90" s="430">
        <f>+R90</f>
        <v>0</v>
      </c>
      <c r="T90" s="1"/>
      <c r="U90" s="430">
        <f>+S90</f>
        <v>0</v>
      </c>
      <c r="V90" s="430">
        <f>+U90</f>
        <v>0</v>
      </c>
      <c r="W90" s="1"/>
      <c r="X90" s="14"/>
    </row>
    <row r="91" spans="2:24" ht="12.75">
      <c r="B91" s="13"/>
      <c r="C91" s="1"/>
      <c r="D91" s="3" t="s">
        <v>582</v>
      </c>
      <c r="E91" s="3"/>
      <c r="F91" s="1"/>
      <c r="G91" s="97" t="s">
        <v>576</v>
      </c>
      <c r="H91" s="1"/>
      <c r="I91" s="27">
        <v>0</v>
      </c>
      <c r="J91" s="430">
        <f aca="true" t="shared" si="9" ref="J91:M93">+I91</f>
        <v>0</v>
      </c>
      <c r="K91" s="25"/>
      <c r="L91" s="27">
        <v>0</v>
      </c>
      <c r="M91" s="430">
        <f t="shared" si="9"/>
        <v>0</v>
      </c>
      <c r="N91" s="25"/>
      <c r="O91" s="430">
        <f>+M91</f>
        <v>0</v>
      </c>
      <c r="P91" s="430">
        <f aca="true" t="shared" si="10" ref="P91:S93">+O91</f>
        <v>0</v>
      </c>
      <c r="Q91" s="25"/>
      <c r="R91" s="430">
        <f>+P91</f>
        <v>0</v>
      </c>
      <c r="S91" s="430">
        <f t="shared" si="10"/>
        <v>0</v>
      </c>
      <c r="T91" s="1"/>
      <c r="U91" s="430">
        <f>+S91</f>
        <v>0</v>
      </c>
      <c r="V91" s="430">
        <f>+U91</f>
        <v>0</v>
      </c>
      <c r="W91" s="1"/>
      <c r="X91" s="14"/>
    </row>
    <row r="92" spans="2:24" ht="12.75" hidden="1">
      <c r="B92" s="13"/>
      <c r="C92" s="1"/>
      <c r="D92" s="1"/>
      <c r="E92" s="1"/>
      <c r="F92" s="3"/>
      <c r="G92" s="97" t="s">
        <v>575</v>
      </c>
      <c r="H92" s="1"/>
      <c r="I92" s="27">
        <v>0</v>
      </c>
      <c r="J92" s="430">
        <f t="shared" si="9"/>
        <v>0</v>
      </c>
      <c r="K92" s="25"/>
      <c r="L92" s="27">
        <v>0</v>
      </c>
      <c r="M92" s="430">
        <f t="shared" si="9"/>
        <v>0</v>
      </c>
      <c r="N92" s="25"/>
      <c r="O92" s="430">
        <f>+M92</f>
        <v>0</v>
      </c>
      <c r="P92" s="430">
        <f t="shared" si="10"/>
        <v>0</v>
      </c>
      <c r="Q92" s="25"/>
      <c r="R92" s="430">
        <f>+P92</f>
        <v>0</v>
      </c>
      <c r="S92" s="430">
        <f t="shared" si="10"/>
        <v>0</v>
      </c>
      <c r="T92" s="1"/>
      <c r="U92" s="430">
        <f>+S92</f>
        <v>0</v>
      </c>
      <c r="V92" s="430">
        <f>+U92</f>
        <v>0</v>
      </c>
      <c r="W92" s="1"/>
      <c r="X92" s="14"/>
    </row>
    <row r="93" spans="2:24" ht="12.75">
      <c r="B93" s="13"/>
      <c r="C93" s="1"/>
      <c r="D93" s="1"/>
      <c r="E93" s="1"/>
      <c r="F93" s="3"/>
      <c r="G93" s="97" t="s">
        <v>557</v>
      </c>
      <c r="H93" s="1"/>
      <c r="I93" s="27">
        <v>0</v>
      </c>
      <c r="J93" s="430">
        <f t="shared" si="9"/>
        <v>0</v>
      </c>
      <c r="K93" s="25"/>
      <c r="L93" s="27">
        <v>0</v>
      </c>
      <c r="M93" s="430">
        <f t="shared" si="9"/>
        <v>0</v>
      </c>
      <c r="N93" s="25"/>
      <c r="O93" s="430">
        <f>+M93</f>
        <v>0</v>
      </c>
      <c r="P93" s="430">
        <f t="shared" si="10"/>
        <v>0</v>
      </c>
      <c r="Q93" s="25"/>
      <c r="R93" s="430">
        <f>+P93</f>
        <v>0</v>
      </c>
      <c r="S93" s="430">
        <f t="shared" si="10"/>
        <v>0</v>
      </c>
      <c r="T93" s="1"/>
      <c r="U93" s="430">
        <f>+S93</f>
        <v>0</v>
      </c>
      <c r="V93" s="430">
        <f>+U93</f>
        <v>0</v>
      </c>
      <c r="W93" s="1"/>
      <c r="X93" s="14"/>
    </row>
    <row r="94" spans="2:24" ht="12.75">
      <c r="B94" s="13"/>
      <c r="C94" s="1"/>
      <c r="D94" s="3" t="s">
        <v>643</v>
      </c>
      <c r="E94" s="87"/>
      <c r="F94" s="1"/>
      <c r="G94" s="97" t="s">
        <v>642</v>
      </c>
      <c r="H94" s="1"/>
      <c r="I94" s="27">
        <v>0</v>
      </c>
      <c r="J94" s="429" t="s">
        <v>668</v>
      </c>
      <c r="K94" s="25"/>
      <c r="L94" s="27">
        <v>0</v>
      </c>
      <c r="M94" s="429" t="s">
        <v>668</v>
      </c>
      <c r="N94" s="25"/>
      <c r="O94" s="430">
        <f>+L94</f>
        <v>0</v>
      </c>
      <c r="P94" s="429" t="s">
        <v>668</v>
      </c>
      <c r="Q94" s="25"/>
      <c r="R94" s="430">
        <f>+O94</f>
        <v>0</v>
      </c>
      <c r="S94" s="429" t="s">
        <v>668</v>
      </c>
      <c r="T94" s="1"/>
      <c r="U94" s="430">
        <f>+R94</f>
        <v>0</v>
      </c>
      <c r="V94" s="429" t="s">
        <v>668</v>
      </c>
      <c r="W94" s="1"/>
      <c r="X94" s="14"/>
    </row>
    <row r="95" spans="2:24" ht="12.75">
      <c r="B95" s="13"/>
      <c r="C95" s="1"/>
      <c r="D95" s="3"/>
      <c r="E95" s="87"/>
      <c r="F95" s="1"/>
      <c r="G95" s="97" t="s">
        <v>644</v>
      </c>
      <c r="H95" s="1"/>
      <c r="I95" s="27">
        <v>0</v>
      </c>
      <c r="J95" s="429" t="s">
        <v>668</v>
      </c>
      <c r="K95" s="25"/>
      <c r="L95" s="27">
        <v>0</v>
      </c>
      <c r="M95" s="429" t="s">
        <v>668</v>
      </c>
      <c r="N95" s="25"/>
      <c r="O95" s="430">
        <f>+L95</f>
        <v>0</v>
      </c>
      <c r="P95" s="429" t="s">
        <v>668</v>
      </c>
      <c r="Q95" s="25"/>
      <c r="R95" s="430">
        <f>+O95</f>
        <v>0</v>
      </c>
      <c r="S95" s="429" t="s">
        <v>668</v>
      </c>
      <c r="T95" s="1"/>
      <c r="U95" s="430">
        <f>+R95</f>
        <v>0</v>
      </c>
      <c r="V95" s="429" t="s">
        <v>668</v>
      </c>
      <c r="W95" s="1"/>
      <c r="X95" s="14"/>
    </row>
    <row r="96" spans="2:24" ht="12.75">
      <c r="B96" s="13"/>
      <c r="C96" s="1"/>
      <c r="D96" s="3"/>
      <c r="E96" s="87"/>
      <c r="F96" s="1"/>
      <c r="G96" s="97" t="s">
        <v>512</v>
      </c>
      <c r="H96" s="1"/>
      <c r="I96" s="429">
        <f>+I89+I91</f>
        <v>10</v>
      </c>
      <c r="J96" s="429">
        <f>+J89+J91</f>
        <v>10</v>
      </c>
      <c r="K96" s="25"/>
      <c r="L96" s="429">
        <f>+L89+L91</f>
        <v>10</v>
      </c>
      <c r="M96" s="429">
        <f>+M89+M91</f>
        <v>10</v>
      </c>
      <c r="N96" s="25"/>
      <c r="O96" s="429">
        <f>+O89+O91</f>
        <v>10</v>
      </c>
      <c r="P96" s="429">
        <f>+P89+P91</f>
        <v>10</v>
      </c>
      <c r="Q96" s="25"/>
      <c r="R96" s="429">
        <f>+R89+R91</f>
        <v>10</v>
      </c>
      <c r="S96" s="429">
        <f>+S89+S91</f>
        <v>10</v>
      </c>
      <c r="T96" s="1"/>
      <c r="U96" s="429">
        <f>+U89+U91</f>
        <v>10</v>
      </c>
      <c r="V96" s="429">
        <f>+V89+V91</f>
        <v>10</v>
      </c>
      <c r="W96" s="1"/>
      <c r="X96" s="14"/>
    </row>
    <row r="97" spans="2:24" ht="12.75">
      <c r="B97" s="13"/>
      <c r="C97" s="1"/>
      <c r="D97" s="3"/>
      <c r="E97" s="87"/>
      <c r="F97" s="1"/>
      <c r="G97" s="97"/>
      <c r="H97" s="1"/>
      <c r="I97" s="25"/>
      <c r="J97" s="25"/>
      <c r="K97" s="25"/>
      <c r="L97" s="25"/>
      <c r="M97" s="25"/>
      <c r="N97" s="25"/>
      <c r="O97" s="25"/>
      <c r="P97" s="25"/>
      <c r="Q97" s="25"/>
      <c r="R97" s="25"/>
      <c r="S97" s="25"/>
      <c r="T97" s="1"/>
      <c r="U97" s="25"/>
      <c r="V97" s="25"/>
      <c r="W97" s="1"/>
      <c r="X97" s="14"/>
    </row>
    <row r="98" spans="2:24" ht="12.75">
      <c r="B98" s="13"/>
      <c r="C98" s="1"/>
      <c r="D98" s="3"/>
      <c r="E98" s="87"/>
      <c r="F98" s="1" t="s">
        <v>573</v>
      </c>
      <c r="G98" s="1" t="s">
        <v>574</v>
      </c>
      <c r="H98" s="1"/>
      <c r="I98" s="98"/>
      <c r="J98" s="98"/>
      <c r="K98" s="98"/>
      <c r="L98" s="98"/>
      <c r="M98" s="98"/>
      <c r="N98" s="98"/>
      <c r="O98" s="98"/>
      <c r="P98" s="98"/>
      <c r="Q98" s="98"/>
      <c r="R98" s="98"/>
      <c r="S98" s="98"/>
      <c r="T98" s="1"/>
      <c r="U98" s="98"/>
      <c r="V98" s="98"/>
      <c r="W98" s="1"/>
      <c r="X98" s="14"/>
    </row>
    <row r="99" spans="2:24" ht="12.75">
      <c r="B99" s="13"/>
      <c r="C99" s="1" t="s">
        <v>602</v>
      </c>
      <c r="D99" s="66" t="s">
        <v>486</v>
      </c>
      <c r="E99" s="66" t="s">
        <v>482</v>
      </c>
      <c r="F99" s="100" t="str">
        <f>IF(G99="ja","nee",IF(MID(E99,1,2)="MG","ja","nee"))</f>
        <v>ja</v>
      </c>
      <c r="G99" s="66" t="s">
        <v>566</v>
      </c>
      <c r="H99" s="1"/>
      <c r="I99" s="25"/>
      <c r="J99" s="25"/>
      <c r="K99" s="25"/>
      <c r="L99" s="25"/>
      <c r="M99" s="25"/>
      <c r="N99" s="25"/>
      <c r="O99" s="25"/>
      <c r="P99" s="25"/>
      <c r="Q99" s="25"/>
      <c r="R99" s="25"/>
      <c r="S99" s="25"/>
      <c r="T99" s="1"/>
      <c r="U99" s="25"/>
      <c r="V99" s="25"/>
      <c r="W99" s="1"/>
      <c r="X99" s="14"/>
    </row>
    <row r="100" spans="2:24" ht="12.75" hidden="1">
      <c r="B100" s="13"/>
      <c r="C100" s="1"/>
      <c r="D100" s="1"/>
      <c r="E100" s="1"/>
      <c r="F100" s="1"/>
      <c r="G100" s="95" t="s">
        <v>579</v>
      </c>
      <c r="H100" s="1"/>
      <c r="I100" s="8">
        <v>0</v>
      </c>
      <c r="J100" s="431">
        <f>+I100</f>
        <v>0</v>
      </c>
      <c r="K100" s="25"/>
      <c r="L100" s="431">
        <f>+J100</f>
        <v>0</v>
      </c>
      <c r="M100" s="431">
        <f>+L100</f>
        <v>0</v>
      </c>
      <c r="N100" s="25"/>
      <c r="O100" s="431">
        <f>+M100</f>
        <v>0</v>
      </c>
      <c r="P100" s="431">
        <f>+O100</f>
        <v>0</v>
      </c>
      <c r="Q100" s="25"/>
      <c r="R100" s="431">
        <f>+P100</f>
        <v>0</v>
      </c>
      <c r="S100" s="431">
        <f>+R100</f>
        <v>0</v>
      </c>
      <c r="T100" s="1">
        <f>IF(AND(D99="VSO",I100&gt;0),$AT$238,"")</f>
      </c>
      <c r="U100" s="431">
        <f>+S100</f>
        <v>0</v>
      </c>
      <c r="V100" s="431">
        <f>+U100</f>
        <v>0</v>
      </c>
      <c r="W100" s="1"/>
      <c r="X100" s="14"/>
    </row>
    <row r="101" spans="2:24" ht="12.75">
      <c r="B101" s="13"/>
      <c r="C101" s="1"/>
      <c r="D101" s="1"/>
      <c r="E101" s="1"/>
      <c r="F101" s="1"/>
      <c r="G101" s="95" t="s">
        <v>624</v>
      </c>
      <c r="H101" s="1"/>
      <c r="I101" s="27">
        <v>9</v>
      </c>
      <c r="J101" s="430">
        <f>+I101</f>
        <v>9</v>
      </c>
      <c r="K101" s="25"/>
      <c r="L101" s="27">
        <v>9</v>
      </c>
      <c r="M101" s="430">
        <f>+L101</f>
        <v>9</v>
      </c>
      <c r="N101" s="25"/>
      <c r="O101" s="430">
        <f>+M101</f>
        <v>9</v>
      </c>
      <c r="P101" s="430">
        <f>+O101</f>
        <v>9</v>
      </c>
      <c r="Q101" s="25"/>
      <c r="R101" s="430">
        <f>+P101</f>
        <v>9</v>
      </c>
      <c r="S101" s="430">
        <f>+R101</f>
        <v>9</v>
      </c>
      <c r="T101" s="1"/>
      <c r="U101" s="430">
        <f>+S101</f>
        <v>9</v>
      </c>
      <c r="V101" s="430">
        <f>+U101</f>
        <v>9</v>
      </c>
      <c r="W101" s="1"/>
      <c r="X101" s="14"/>
    </row>
    <row r="102" spans="2:24" ht="12.75">
      <c r="B102" s="13"/>
      <c r="C102" s="1"/>
      <c r="D102" s="1"/>
      <c r="E102" s="1"/>
      <c r="F102" s="1"/>
      <c r="G102" s="95" t="s">
        <v>577</v>
      </c>
      <c r="H102" s="1"/>
      <c r="I102" s="429">
        <f aca="true" t="shared" si="11" ref="I102:S102">SUM(I100:I101)</f>
        <v>9</v>
      </c>
      <c r="J102" s="429">
        <f t="shared" si="11"/>
        <v>9</v>
      </c>
      <c r="K102" s="25"/>
      <c r="L102" s="429">
        <f t="shared" si="11"/>
        <v>9</v>
      </c>
      <c r="M102" s="429">
        <f t="shared" si="11"/>
        <v>9</v>
      </c>
      <c r="N102" s="25"/>
      <c r="O102" s="429">
        <f t="shared" si="11"/>
        <v>9</v>
      </c>
      <c r="P102" s="429">
        <f t="shared" si="11"/>
        <v>9</v>
      </c>
      <c r="Q102" s="25"/>
      <c r="R102" s="429">
        <f t="shared" si="11"/>
        <v>9</v>
      </c>
      <c r="S102" s="429">
        <f t="shared" si="11"/>
        <v>9</v>
      </c>
      <c r="T102" s="1"/>
      <c r="U102" s="429">
        <f>SUM(U100:U101)</f>
        <v>9</v>
      </c>
      <c r="V102" s="429">
        <f>SUM(V100:V101)</f>
        <v>9</v>
      </c>
      <c r="W102" s="1"/>
      <c r="X102" s="14"/>
    </row>
    <row r="103" spans="2:24" ht="12.75">
      <c r="B103" s="13"/>
      <c r="C103" s="1"/>
      <c r="D103" s="1"/>
      <c r="E103" s="1"/>
      <c r="F103" s="1"/>
      <c r="G103" s="95" t="s">
        <v>581</v>
      </c>
      <c r="H103" s="1"/>
      <c r="I103" s="27">
        <v>0</v>
      </c>
      <c r="J103" s="430">
        <f>+I103</f>
        <v>0</v>
      </c>
      <c r="K103" s="25"/>
      <c r="L103" s="27">
        <v>0</v>
      </c>
      <c r="M103" s="430">
        <f>+L103</f>
        <v>0</v>
      </c>
      <c r="N103" s="25"/>
      <c r="O103" s="430">
        <f>+M103</f>
        <v>0</v>
      </c>
      <c r="P103" s="430">
        <f>+O103</f>
        <v>0</v>
      </c>
      <c r="Q103" s="25"/>
      <c r="R103" s="430">
        <f>+P103</f>
        <v>0</v>
      </c>
      <c r="S103" s="430">
        <f>+R103</f>
        <v>0</v>
      </c>
      <c r="T103" s="1"/>
      <c r="U103" s="430">
        <f>+S103</f>
        <v>0</v>
      </c>
      <c r="V103" s="430">
        <f>+U103</f>
        <v>0</v>
      </c>
      <c r="W103" s="1"/>
      <c r="X103" s="14"/>
    </row>
    <row r="104" spans="2:24" ht="12.75">
      <c r="B104" s="13"/>
      <c r="C104" s="1"/>
      <c r="D104" s="3" t="s">
        <v>582</v>
      </c>
      <c r="E104" s="3"/>
      <c r="F104" s="1"/>
      <c r="G104" s="97" t="s">
        <v>576</v>
      </c>
      <c r="H104" s="1"/>
      <c r="I104" s="27">
        <v>0</v>
      </c>
      <c r="J104" s="430">
        <f aca="true" t="shared" si="12" ref="J104:M106">+I104</f>
        <v>0</v>
      </c>
      <c r="K104" s="25"/>
      <c r="L104" s="27">
        <v>0</v>
      </c>
      <c r="M104" s="430">
        <f t="shared" si="12"/>
        <v>0</v>
      </c>
      <c r="N104" s="25"/>
      <c r="O104" s="430">
        <f>+M104</f>
        <v>0</v>
      </c>
      <c r="P104" s="430">
        <f aca="true" t="shared" si="13" ref="P104:S106">+O104</f>
        <v>0</v>
      </c>
      <c r="Q104" s="25"/>
      <c r="R104" s="430">
        <f>+P104</f>
        <v>0</v>
      </c>
      <c r="S104" s="430">
        <f t="shared" si="13"/>
        <v>0</v>
      </c>
      <c r="T104" s="1"/>
      <c r="U104" s="430">
        <f>+S104</f>
        <v>0</v>
      </c>
      <c r="V104" s="430">
        <f>+U104</f>
        <v>0</v>
      </c>
      <c r="W104" s="1"/>
      <c r="X104" s="14"/>
    </row>
    <row r="105" spans="2:24" ht="12.75" hidden="1">
      <c r="B105" s="13"/>
      <c r="C105" s="1"/>
      <c r="D105" s="1"/>
      <c r="E105" s="1"/>
      <c r="F105" s="3"/>
      <c r="G105" s="97" t="s">
        <v>575</v>
      </c>
      <c r="H105" s="1"/>
      <c r="I105" s="27">
        <v>0</v>
      </c>
      <c r="J105" s="430">
        <f t="shared" si="12"/>
        <v>0</v>
      </c>
      <c r="K105" s="25"/>
      <c r="L105" s="27">
        <v>0</v>
      </c>
      <c r="M105" s="430">
        <f t="shared" si="12"/>
        <v>0</v>
      </c>
      <c r="N105" s="25"/>
      <c r="O105" s="430">
        <f>+M105</f>
        <v>0</v>
      </c>
      <c r="P105" s="430">
        <f t="shared" si="13"/>
        <v>0</v>
      </c>
      <c r="Q105" s="25"/>
      <c r="R105" s="430">
        <f>+P105</f>
        <v>0</v>
      </c>
      <c r="S105" s="430">
        <f t="shared" si="13"/>
        <v>0</v>
      </c>
      <c r="T105" s="1"/>
      <c r="U105" s="430">
        <f>+S105</f>
        <v>0</v>
      </c>
      <c r="V105" s="430">
        <f>+U105</f>
        <v>0</v>
      </c>
      <c r="W105" s="1"/>
      <c r="X105" s="14"/>
    </row>
    <row r="106" spans="2:24" ht="12.75">
      <c r="B106" s="13"/>
      <c r="C106" s="1"/>
      <c r="D106" s="1"/>
      <c r="E106" s="1"/>
      <c r="F106" s="3"/>
      <c r="G106" s="97" t="s">
        <v>557</v>
      </c>
      <c r="H106" s="1"/>
      <c r="I106" s="27">
        <v>0</v>
      </c>
      <c r="J106" s="430">
        <f t="shared" si="12"/>
        <v>0</v>
      </c>
      <c r="K106" s="25"/>
      <c r="L106" s="27">
        <v>0</v>
      </c>
      <c r="M106" s="430">
        <f t="shared" si="12"/>
        <v>0</v>
      </c>
      <c r="N106" s="25"/>
      <c r="O106" s="430">
        <f>+M106</f>
        <v>0</v>
      </c>
      <c r="P106" s="430">
        <f t="shared" si="13"/>
        <v>0</v>
      </c>
      <c r="Q106" s="25"/>
      <c r="R106" s="430">
        <f>+P106</f>
        <v>0</v>
      </c>
      <c r="S106" s="430">
        <f t="shared" si="13"/>
        <v>0</v>
      </c>
      <c r="T106" s="1"/>
      <c r="U106" s="430">
        <f>+S106</f>
        <v>0</v>
      </c>
      <c r="V106" s="430">
        <f>+U106</f>
        <v>0</v>
      </c>
      <c r="W106" s="1"/>
      <c r="X106" s="14"/>
    </row>
    <row r="107" spans="2:24" ht="12.75">
      <c r="B107" s="13"/>
      <c r="C107" s="1"/>
      <c r="D107" s="3" t="s">
        <v>643</v>
      </c>
      <c r="E107" s="87"/>
      <c r="F107" s="1"/>
      <c r="G107" s="97" t="s">
        <v>642</v>
      </c>
      <c r="H107" s="1"/>
      <c r="I107" s="27">
        <v>0</v>
      </c>
      <c r="J107" s="429" t="s">
        <v>668</v>
      </c>
      <c r="K107" s="25"/>
      <c r="L107" s="27">
        <v>0</v>
      </c>
      <c r="M107" s="429" t="s">
        <v>668</v>
      </c>
      <c r="N107" s="25"/>
      <c r="O107" s="430">
        <f>+L107</f>
        <v>0</v>
      </c>
      <c r="P107" s="429" t="s">
        <v>668</v>
      </c>
      <c r="Q107" s="25"/>
      <c r="R107" s="430">
        <f>+O107</f>
        <v>0</v>
      </c>
      <c r="S107" s="429" t="s">
        <v>668</v>
      </c>
      <c r="T107" s="1"/>
      <c r="U107" s="430">
        <f>+R107</f>
        <v>0</v>
      </c>
      <c r="V107" s="429" t="s">
        <v>668</v>
      </c>
      <c r="W107" s="1"/>
      <c r="X107" s="14"/>
    </row>
    <row r="108" spans="2:24" ht="12.75">
      <c r="B108" s="13"/>
      <c r="C108" s="1"/>
      <c r="D108" s="3"/>
      <c r="E108" s="87"/>
      <c r="F108" s="1"/>
      <c r="G108" s="97" t="s">
        <v>644</v>
      </c>
      <c r="H108" s="1"/>
      <c r="I108" s="27">
        <v>0</v>
      </c>
      <c r="J108" s="429" t="s">
        <v>668</v>
      </c>
      <c r="K108" s="25"/>
      <c r="L108" s="27">
        <v>0</v>
      </c>
      <c r="M108" s="429" t="s">
        <v>668</v>
      </c>
      <c r="N108" s="25"/>
      <c r="O108" s="430">
        <f>+L108</f>
        <v>0</v>
      </c>
      <c r="P108" s="429" t="s">
        <v>668</v>
      </c>
      <c r="Q108" s="25"/>
      <c r="R108" s="430">
        <f>+O108</f>
        <v>0</v>
      </c>
      <c r="S108" s="429" t="s">
        <v>668</v>
      </c>
      <c r="T108" s="1"/>
      <c r="U108" s="430">
        <f>+R108</f>
        <v>0</v>
      </c>
      <c r="V108" s="429" t="s">
        <v>668</v>
      </c>
      <c r="W108" s="1"/>
      <c r="X108" s="14"/>
    </row>
    <row r="109" spans="2:24" ht="12.75">
      <c r="B109" s="13"/>
      <c r="C109" s="1"/>
      <c r="D109" s="3"/>
      <c r="E109" s="87"/>
      <c r="F109" s="1"/>
      <c r="G109" s="97" t="s">
        <v>512</v>
      </c>
      <c r="H109" s="1"/>
      <c r="I109" s="429">
        <f>+I102+I104</f>
        <v>9</v>
      </c>
      <c r="J109" s="429">
        <f>+J102+J104</f>
        <v>9</v>
      </c>
      <c r="K109" s="25"/>
      <c r="L109" s="429">
        <f>+L102+L104</f>
        <v>9</v>
      </c>
      <c r="M109" s="429">
        <f>+M102+M104</f>
        <v>9</v>
      </c>
      <c r="N109" s="25"/>
      <c r="O109" s="429">
        <f>+O102+O104</f>
        <v>9</v>
      </c>
      <c r="P109" s="429">
        <f>+P102+P104</f>
        <v>9</v>
      </c>
      <c r="Q109" s="25"/>
      <c r="R109" s="429">
        <f>+R102+R104</f>
        <v>9</v>
      </c>
      <c r="S109" s="429">
        <f>+S102+S104</f>
        <v>9</v>
      </c>
      <c r="T109" s="1"/>
      <c r="U109" s="429">
        <f>+U102+U104</f>
        <v>9</v>
      </c>
      <c r="V109" s="429">
        <f>+V102+V104</f>
        <v>9</v>
      </c>
      <c r="W109" s="1"/>
      <c r="X109" s="14"/>
    </row>
    <row r="110" spans="2:24" ht="12.75">
      <c r="B110" s="13"/>
      <c r="C110" s="1"/>
      <c r="D110" s="3"/>
      <c r="E110" s="87"/>
      <c r="F110" s="1"/>
      <c r="G110" s="97"/>
      <c r="H110" s="1"/>
      <c r="I110" s="25"/>
      <c r="J110" s="25"/>
      <c r="K110" s="25"/>
      <c r="L110" s="25"/>
      <c r="M110" s="25"/>
      <c r="N110" s="25"/>
      <c r="O110" s="25"/>
      <c r="P110" s="25"/>
      <c r="Q110" s="25"/>
      <c r="R110" s="25"/>
      <c r="S110" s="25"/>
      <c r="T110" s="1"/>
      <c r="U110" s="25"/>
      <c r="V110" s="25"/>
      <c r="W110" s="1"/>
      <c r="X110" s="14"/>
    </row>
    <row r="111" spans="2:24" ht="12.75">
      <c r="B111" s="13"/>
      <c r="C111" s="1"/>
      <c r="D111" s="3"/>
      <c r="E111" s="87"/>
      <c r="F111" s="1" t="s">
        <v>573</v>
      </c>
      <c r="G111" s="1" t="s">
        <v>574</v>
      </c>
      <c r="H111" s="1"/>
      <c r="I111" s="98"/>
      <c r="J111" s="98"/>
      <c r="K111" s="98"/>
      <c r="L111" s="98"/>
      <c r="M111" s="98"/>
      <c r="N111" s="98"/>
      <c r="O111" s="98"/>
      <c r="P111" s="98"/>
      <c r="Q111" s="98"/>
      <c r="R111" s="98"/>
      <c r="S111" s="98"/>
      <c r="T111" s="1"/>
      <c r="U111" s="98"/>
      <c r="V111" s="98"/>
      <c r="W111" s="1"/>
      <c r="X111" s="14"/>
    </row>
    <row r="112" spans="2:24" ht="12.75">
      <c r="B112" s="13"/>
      <c r="C112" s="1" t="s">
        <v>603</v>
      </c>
      <c r="D112" s="66" t="s">
        <v>486</v>
      </c>
      <c r="E112" s="66" t="s">
        <v>476</v>
      </c>
      <c r="F112" s="100" t="str">
        <f>IF(G112="ja","nee",IF(MID(E112,1,2)="MG","ja","nee"))</f>
        <v>nee</v>
      </c>
      <c r="G112" s="66" t="s">
        <v>565</v>
      </c>
      <c r="H112" s="1"/>
      <c r="I112" s="25"/>
      <c r="J112" s="25"/>
      <c r="K112" s="25"/>
      <c r="L112" s="25"/>
      <c r="M112" s="25"/>
      <c r="N112" s="25"/>
      <c r="O112" s="25"/>
      <c r="P112" s="25"/>
      <c r="Q112" s="25"/>
      <c r="R112" s="25"/>
      <c r="S112" s="25"/>
      <c r="T112" s="1"/>
      <c r="U112" s="25"/>
      <c r="V112" s="25"/>
      <c r="W112" s="1"/>
      <c r="X112" s="14"/>
    </row>
    <row r="113" spans="2:24" ht="12.75" hidden="1">
      <c r="B113" s="13"/>
      <c r="C113" s="1"/>
      <c r="D113" s="1"/>
      <c r="E113" s="1"/>
      <c r="F113" s="1"/>
      <c r="G113" s="95" t="s">
        <v>579</v>
      </c>
      <c r="H113" s="1"/>
      <c r="I113" s="8">
        <v>0</v>
      </c>
      <c r="J113" s="431">
        <f>+I113</f>
        <v>0</v>
      </c>
      <c r="K113" s="25"/>
      <c r="L113" s="431">
        <f>+J113</f>
        <v>0</v>
      </c>
      <c r="M113" s="431">
        <f>+L113</f>
        <v>0</v>
      </c>
      <c r="N113" s="25"/>
      <c r="O113" s="431">
        <f>+M113</f>
        <v>0</v>
      </c>
      <c r="P113" s="431">
        <f>+O113</f>
        <v>0</v>
      </c>
      <c r="Q113" s="25"/>
      <c r="R113" s="431">
        <f>+P113</f>
        <v>0</v>
      </c>
      <c r="S113" s="431">
        <f>+R113</f>
        <v>0</v>
      </c>
      <c r="T113" s="1">
        <f>IF(AND(D112="VSO",I113&gt;0),$AT$238,"")</f>
      </c>
      <c r="U113" s="431">
        <f>+S113</f>
        <v>0</v>
      </c>
      <c r="V113" s="431">
        <f>+U113</f>
        <v>0</v>
      </c>
      <c r="W113" s="1"/>
      <c r="X113" s="14"/>
    </row>
    <row r="114" spans="2:24" ht="12.75">
      <c r="B114" s="13"/>
      <c r="C114" s="1"/>
      <c r="D114" s="1"/>
      <c r="E114" s="1"/>
      <c r="F114" s="1"/>
      <c r="G114" s="95" t="s">
        <v>624</v>
      </c>
      <c r="H114" s="1"/>
      <c r="I114" s="27">
        <v>10</v>
      </c>
      <c r="J114" s="430">
        <f>+I114</f>
        <v>10</v>
      </c>
      <c r="K114" s="25"/>
      <c r="L114" s="27">
        <v>10</v>
      </c>
      <c r="M114" s="430">
        <f>+L114</f>
        <v>10</v>
      </c>
      <c r="N114" s="25"/>
      <c r="O114" s="430">
        <f>+M114</f>
        <v>10</v>
      </c>
      <c r="P114" s="430">
        <f>+O114</f>
        <v>10</v>
      </c>
      <c r="Q114" s="25"/>
      <c r="R114" s="430">
        <f>+P114</f>
        <v>10</v>
      </c>
      <c r="S114" s="430">
        <f>+R114</f>
        <v>10</v>
      </c>
      <c r="T114" s="1"/>
      <c r="U114" s="430">
        <f>+S114</f>
        <v>10</v>
      </c>
      <c r="V114" s="430">
        <f>+U114</f>
        <v>10</v>
      </c>
      <c r="W114" s="1"/>
      <c r="X114" s="14"/>
    </row>
    <row r="115" spans="2:24" ht="12.75">
      <c r="B115" s="13"/>
      <c r="C115" s="1"/>
      <c r="D115" s="1"/>
      <c r="E115" s="1"/>
      <c r="F115" s="1"/>
      <c r="G115" s="95" t="s">
        <v>577</v>
      </c>
      <c r="H115" s="1"/>
      <c r="I115" s="429">
        <f aca="true" t="shared" si="14" ref="I115:S115">SUM(I113:I114)</f>
        <v>10</v>
      </c>
      <c r="J115" s="429">
        <f t="shared" si="14"/>
        <v>10</v>
      </c>
      <c r="K115" s="25"/>
      <c r="L115" s="429">
        <f t="shared" si="14"/>
        <v>10</v>
      </c>
      <c r="M115" s="429">
        <f t="shared" si="14"/>
        <v>10</v>
      </c>
      <c r="N115" s="25"/>
      <c r="O115" s="429">
        <f t="shared" si="14"/>
        <v>10</v>
      </c>
      <c r="P115" s="429">
        <f t="shared" si="14"/>
        <v>10</v>
      </c>
      <c r="Q115" s="25"/>
      <c r="R115" s="429">
        <f t="shared" si="14"/>
        <v>10</v>
      </c>
      <c r="S115" s="429">
        <f t="shared" si="14"/>
        <v>10</v>
      </c>
      <c r="T115" s="1"/>
      <c r="U115" s="429">
        <f>SUM(U113:U114)</f>
        <v>10</v>
      </c>
      <c r="V115" s="429">
        <f>SUM(V113:V114)</f>
        <v>10</v>
      </c>
      <c r="W115" s="1"/>
      <c r="X115" s="14"/>
    </row>
    <row r="116" spans="2:24" ht="12.75">
      <c r="B116" s="13"/>
      <c r="C116" s="1"/>
      <c r="D116" s="1"/>
      <c r="E116" s="1"/>
      <c r="F116" s="1"/>
      <c r="G116" s="95" t="s">
        <v>581</v>
      </c>
      <c r="H116" s="1"/>
      <c r="I116" s="27">
        <v>0</v>
      </c>
      <c r="J116" s="430">
        <f>+I116</f>
        <v>0</v>
      </c>
      <c r="K116" s="25"/>
      <c r="L116" s="27">
        <v>0</v>
      </c>
      <c r="M116" s="430">
        <f>+L116</f>
        <v>0</v>
      </c>
      <c r="N116" s="25"/>
      <c r="O116" s="430">
        <f>+M116</f>
        <v>0</v>
      </c>
      <c r="P116" s="430">
        <f>+O116</f>
        <v>0</v>
      </c>
      <c r="Q116" s="25"/>
      <c r="R116" s="430">
        <f>+P116</f>
        <v>0</v>
      </c>
      <c r="S116" s="430">
        <f>+R116</f>
        <v>0</v>
      </c>
      <c r="T116" s="1"/>
      <c r="U116" s="430">
        <f>+S116</f>
        <v>0</v>
      </c>
      <c r="V116" s="430">
        <f>+U116</f>
        <v>0</v>
      </c>
      <c r="W116" s="1"/>
      <c r="X116" s="14"/>
    </row>
    <row r="117" spans="2:24" ht="12.75">
      <c r="B117" s="13"/>
      <c r="C117" s="1"/>
      <c r="D117" s="3" t="s">
        <v>582</v>
      </c>
      <c r="E117" s="3"/>
      <c r="F117" s="1"/>
      <c r="G117" s="97" t="s">
        <v>576</v>
      </c>
      <c r="H117" s="1"/>
      <c r="I117" s="27">
        <v>0</v>
      </c>
      <c r="J117" s="430">
        <f aca="true" t="shared" si="15" ref="J117:M119">+I117</f>
        <v>0</v>
      </c>
      <c r="K117" s="25"/>
      <c r="L117" s="27">
        <v>0</v>
      </c>
      <c r="M117" s="430">
        <f t="shared" si="15"/>
        <v>0</v>
      </c>
      <c r="N117" s="25"/>
      <c r="O117" s="430">
        <f>+M117</f>
        <v>0</v>
      </c>
      <c r="P117" s="430">
        <f aca="true" t="shared" si="16" ref="P117:S119">+O117</f>
        <v>0</v>
      </c>
      <c r="Q117" s="25"/>
      <c r="R117" s="430">
        <f>+P117</f>
        <v>0</v>
      </c>
      <c r="S117" s="430">
        <f t="shared" si="16"/>
        <v>0</v>
      </c>
      <c r="T117" s="1"/>
      <c r="U117" s="430">
        <f>+S117</f>
        <v>0</v>
      </c>
      <c r="V117" s="430">
        <f>+U117</f>
        <v>0</v>
      </c>
      <c r="W117" s="1"/>
      <c r="X117" s="14"/>
    </row>
    <row r="118" spans="2:24" ht="12.75" hidden="1">
      <c r="B118" s="13"/>
      <c r="C118" s="1"/>
      <c r="D118" s="1"/>
      <c r="E118" s="1"/>
      <c r="F118" s="3"/>
      <c r="G118" s="97" t="s">
        <v>575</v>
      </c>
      <c r="H118" s="1"/>
      <c r="I118" s="27">
        <v>0</v>
      </c>
      <c r="J118" s="430">
        <f t="shared" si="15"/>
        <v>0</v>
      </c>
      <c r="K118" s="25"/>
      <c r="L118" s="27">
        <v>0</v>
      </c>
      <c r="M118" s="430">
        <f t="shared" si="15"/>
        <v>0</v>
      </c>
      <c r="N118" s="25"/>
      <c r="O118" s="430">
        <f>+M118</f>
        <v>0</v>
      </c>
      <c r="P118" s="430">
        <f t="shared" si="16"/>
        <v>0</v>
      </c>
      <c r="Q118" s="25"/>
      <c r="R118" s="430">
        <f>+P118</f>
        <v>0</v>
      </c>
      <c r="S118" s="430">
        <f t="shared" si="16"/>
        <v>0</v>
      </c>
      <c r="T118" s="1"/>
      <c r="U118" s="430">
        <f>+S118</f>
        <v>0</v>
      </c>
      <c r="V118" s="430">
        <f>+U118</f>
        <v>0</v>
      </c>
      <c r="W118" s="1"/>
      <c r="X118" s="14"/>
    </row>
    <row r="119" spans="2:24" ht="12.75">
      <c r="B119" s="13"/>
      <c r="C119" s="1"/>
      <c r="D119" s="1"/>
      <c r="E119" s="1"/>
      <c r="F119" s="3"/>
      <c r="G119" s="97" t="s">
        <v>557</v>
      </c>
      <c r="H119" s="1"/>
      <c r="I119" s="27">
        <v>0</v>
      </c>
      <c r="J119" s="430">
        <f t="shared" si="15"/>
        <v>0</v>
      </c>
      <c r="K119" s="25"/>
      <c r="L119" s="27">
        <v>0</v>
      </c>
      <c r="M119" s="430">
        <f t="shared" si="15"/>
        <v>0</v>
      </c>
      <c r="N119" s="25"/>
      <c r="O119" s="430">
        <f>+M119</f>
        <v>0</v>
      </c>
      <c r="P119" s="430">
        <f t="shared" si="16"/>
        <v>0</v>
      </c>
      <c r="Q119" s="25"/>
      <c r="R119" s="430">
        <f>+P119</f>
        <v>0</v>
      </c>
      <c r="S119" s="430">
        <f t="shared" si="16"/>
        <v>0</v>
      </c>
      <c r="T119" s="1"/>
      <c r="U119" s="430">
        <f>+S119</f>
        <v>0</v>
      </c>
      <c r="V119" s="430">
        <f>+U119</f>
        <v>0</v>
      </c>
      <c r="W119" s="1"/>
      <c r="X119" s="14"/>
    </row>
    <row r="120" spans="2:24" ht="12.75">
      <c r="B120" s="13"/>
      <c r="C120" s="1"/>
      <c r="D120" s="3" t="s">
        <v>643</v>
      </c>
      <c r="E120" s="87"/>
      <c r="F120" s="1"/>
      <c r="G120" s="97" t="s">
        <v>642</v>
      </c>
      <c r="H120" s="1"/>
      <c r="I120" s="27">
        <v>0</v>
      </c>
      <c r="J120" s="429" t="s">
        <v>668</v>
      </c>
      <c r="K120" s="25"/>
      <c r="L120" s="27">
        <v>0</v>
      </c>
      <c r="M120" s="429" t="s">
        <v>668</v>
      </c>
      <c r="N120" s="25"/>
      <c r="O120" s="430">
        <f>+L120</f>
        <v>0</v>
      </c>
      <c r="P120" s="429" t="s">
        <v>668</v>
      </c>
      <c r="Q120" s="25"/>
      <c r="R120" s="430">
        <f>+O120</f>
        <v>0</v>
      </c>
      <c r="S120" s="429" t="s">
        <v>668</v>
      </c>
      <c r="T120" s="1"/>
      <c r="U120" s="430">
        <f>+R120</f>
        <v>0</v>
      </c>
      <c r="V120" s="429" t="s">
        <v>668</v>
      </c>
      <c r="W120" s="1"/>
      <c r="X120" s="14"/>
    </row>
    <row r="121" spans="2:24" ht="12.75">
      <c r="B121" s="13"/>
      <c r="C121" s="1"/>
      <c r="D121" s="3"/>
      <c r="E121" s="87"/>
      <c r="F121" s="1"/>
      <c r="G121" s="97" t="s">
        <v>644</v>
      </c>
      <c r="H121" s="1"/>
      <c r="I121" s="27">
        <v>0</v>
      </c>
      <c r="J121" s="429" t="s">
        <v>668</v>
      </c>
      <c r="K121" s="25"/>
      <c r="L121" s="27">
        <v>0</v>
      </c>
      <c r="M121" s="429" t="s">
        <v>668</v>
      </c>
      <c r="N121" s="25"/>
      <c r="O121" s="430">
        <f>+L121</f>
        <v>0</v>
      </c>
      <c r="P121" s="429" t="s">
        <v>668</v>
      </c>
      <c r="Q121" s="25"/>
      <c r="R121" s="430">
        <f>+O121</f>
        <v>0</v>
      </c>
      <c r="S121" s="429" t="s">
        <v>668</v>
      </c>
      <c r="T121" s="1"/>
      <c r="U121" s="430">
        <f>+R121</f>
        <v>0</v>
      </c>
      <c r="V121" s="429" t="s">
        <v>668</v>
      </c>
      <c r="W121" s="1"/>
      <c r="X121" s="14"/>
    </row>
    <row r="122" spans="2:24" ht="12.75">
      <c r="B122" s="13"/>
      <c r="C122" s="1"/>
      <c r="D122" s="3"/>
      <c r="E122" s="87"/>
      <c r="F122" s="1"/>
      <c r="G122" s="97" t="s">
        <v>512</v>
      </c>
      <c r="H122" s="1"/>
      <c r="I122" s="429">
        <f>+I115+I117</f>
        <v>10</v>
      </c>
      <c r="J122" s="429">
        <f>+J115+J117</f>
        <v>10</v>
      </c>
      <c r="K122" s="25"/>
      <c r="L122" s="429">
        <f>+L115+L117</f>
        <v>10</v>
      </c>
      <c r="M122" s="429">
        <f>+M115+M117</f>
        <v>10</v>
      </c>
      <c r="N122" s="25"/>
      <c r="O122" s="429">
        <f>+O115+O117</f>
        <v>10</v>
      </c>
      <c r="P122" s="429">
        <f>+P115+P117</f>
        <v>10</v>
      </c>
      <c r="Q122" s="25"/>
      <c r="R122" s="429">
        <f>+R115+R117</f>
        <v>10</v>
      </c>
      <c r="S122" s="429">
        <f>+S115+S117</f>
        <v>10</v>
      </c>
      <c r="T122" s="1"/>
      <c r="U122" s="429">
        <f>+U115+U117</f>
        <v>10</v>
      </c>
      <c r="V122" s="429">
        <f>+V115+V117</f>
        <v>10</v>
      </c>
      <c r="W122" s="1"/>
      <c r="X122" s="14"/>
    </row>
    <row r="123" spans="2:24" ht="12.75">
      <c r="B123" s="13"/>
      <c r="C123" s="1"/>
      <c r="D123" s="3"/>
      <c r="E123" s="87"/>
      <c r="F123" s="1"/>
      <c r="G123" s="97"/>
      <c r="H123" s="1"/>
      <c r="I123" s="25"/>
      <c r="J123" s="25"/>
      <c r="K123" s="25"/>
      <c r="L123" s="25"/>
      <c r="M123" s="25"/>
      <c r="N123" s="25"/>
      <c r="O123" s="25"/>
      <c r="P123" s="25"/>
      <c r="Q123" s="25"/>
      <c r="R123" s="25"/>
      <c r="S123" s="25"/>
      <c r="T123" s="1"/>
      <c r="U123" s="25"/>
      <c r="V123" s="25"/>
      <c r="W123" s="1"/>
      <c r="X123" s="14"/>
    </row>
    <row r="124" spans="2:24" ht="12.75">
      <c r="B124" s="13"/>
      <c r="D124" s="36"/>
      <c r="E124" s="64"/>
      <c r="G124" s="69"/>
      <c r="X124" s="14"/>
    </row>
    <row r="125" spans="2:24" ht="12.75">
      <c r="B125" s="13"/>
      <c r="D125" s="36"/>
      <c r="E125" s="64"/>
      <c r="G125" s="69"/>
      <c r="X125" s="14"/>
    </row>
    <row r="126" spans="2:24" ht="12.75">
      <c r="B126" s="13"/>
      <c r="C126" s="1"/>
      <c r="D126" s="3"/>
      <c r="E126" s="87"/>
      <c r="F126" s="1"/>
      <c r="G126" s="97"/>
      <c r="H126" s="1"/>
      <c r="I126" s="25"/>
      <c r="J126" s="25"/>
      <c r="K126" s="25"/>
      <c r="L126" s="25"/>
      <c r="M126" s="25"/>
      <c r="N126" s="25"/>
      <c r="O126" s="25"/>
      <c r="P126" s="25"/>
      <c r="Q126" s="25"/>
      <c r="R126" s="25"/>
      <c r="S126" s="25"/>
      <c r="T126" s="1"/>
      <c r="U126" s="25"/>
      <c r="V126" s="25"/>
      <c r="W126" s="1"/>
      <c r="X126" s="14"/>
    </row>
    <row r="127" spans="2:24" ht="12.75">
      <c r="B127" s="13"/>
      <c r="C127" s="1"/>
      <c r="D127" s="3" t="s">
        <v>577</v>
      </c>
      <c r="E127" s="87"/>
      <c r="F127" s="101" t="s">
        <v>573</v>
      </c>
      <c r="G127" s="101" t="s">
        <v>574</v>
      </c>
      <c r="H127" s="1"/>
      <c r="I127" s="1"/>
      <c r="J127" s="1"/>
      <c r="K127" s="1"/>
      <c r="L127" s="1"/>
      <c r="M127" s="1"/>
      <c r="N127" s="1"/>
      <c r="O127" s="1"/>
      <c r="P127" s="1"/>
      <c r="Q127" s="1"/>
      <c r="R127" s="1"/>
      <c r="S127" s="1"/>
      <c r="T127" s="1"/>
      <c r="U127" s="1"/>
      <c r="V127" s="1"/>
      <c r="W127" s="1"/>
      <c r="X127" s="14"/>
    </row>
    <row r="128" spans="2:24" ht="12.75">
      <c r="B128" s="13"/>
      <c r="C128" s="1"/>
      <c r="D128" s="1"/>
      <c r="E128" s="1"/>
      <c r="F128" s="337" t="str">
        <f>IF(OR(F35="ja",F48="ja",F61="ja",F86="ja",F99="ja",F112="ja"),"ja","nee")</f>
        <v>ja</v>
      </c>
      <c r="G128" s="337" t="str">
        <f>IF(OR(G35="ja",G48="ja",G61="ja",G86="ja",G99="ja",G112="ja"),"ja","nee")</f>
        <v>ja</v>
      </c>
      <c r="H128" s="1"/>
      <c r="I128" s="25"/>
      <c r="J128" s="25"/>
      <c r="K128" s="25"/>
      <c r="L128" s="25"/>
      <c r="M128" s="25"/>
      <c r="N128" s="25"/>
      <c r="O128" s="25"/>
      <c r="P128" s="25"/>
      <c r="Q128" s="25"/>
      <c r="R128" s="25"/>
      <c r="S128" s="25"/>
      <c r="T128" s="1"/>
      <c r="U128" s="25"/>
      <c r="V128" s="25"/>
      <c r="W128" s="1"/>
      <c r="X128" s="14"/>
    </row>
    <row r="129" spans="2:24" ht="12.75">
      <c r="B129" s="13"/>
      <c r="C129" s="1"/>
      <c r="D129" s="1"/>
      <c r="E129" s="1"/>
      <c r="F129" s="1"/>
      <c r="G129" s="95" t="s">
        <v>579</v>
      </c>
      <c r="H129" s="1"/>
      <c r="I129" s="429">
        <f>+I36+I49+I62+I87+I100+I113</f>
        <v>35</v>
      </c>
      <c r="J129" s="429">
        <f>+J36+J49+J62+J87+J100+J113</f>
        <v>35</v>
      </c>
      <c r="K129" s="25"/>
      <c r="L129" s="429">
        <f>+L36+L49+L62+L87+L100+L113</f>
        <v>35</v>
      </c>
      <c r="M129" s="429">
        <f>+M36+M49+M62+M87+M100+M113</f>
        <v>35</v>
      </c>
      <c r="N129" s="25"/>
      <c r="O129" s="429">
        <f>+O36+O49+O62+O87+O100+O113</f>
        <v>35</v>
      </c>
      <c r="P129" s="429">
        <f>+P36+P49+P62+P87+P100+P113</f>
        <v>35</v>
      </c>
      <c r="Q129" s="25"/>
      <c r="R129" s="429">
        <f>+R36+R49+R62+R87+R100+R113</f>
        <v>35</v>
      </c>
      <c r="S129" s="429">
        <f>+S36+S49+S62+S87+S100+S113</f>
        <v>35</v>
      </c>
      <c r="T129" s="1"/>
      <c r="U129" s="429">
        <f>+U36+U49+U62+U87+U100+U113</f>
        <v>35</v>
      </c>
      <c r="V129" s="429">
        <f>+V36+V49+V62+V87+V100+V113</f>
        <v>35</v>
      </c>
      <c r="W129" s="1"/>
      <c r="X129" s="14"/>
    </row>
    <row r="130" spans="2:24" ht="12.75">
      <c r="B130" s="13"/>
      <c r="C130" s="1"/>
      <c r="D130" s="1"/>
      <c r="E130" s="1"/>
      <c r="F130" s="1"/>
      <c r="G130" s="95" t="s">
        <v>580</v>
      </c>
      <c r="H130" s="1"/>
      <c r="I130" s="429">
        <f>+I37+I50+I63+I88+I101+I114</f>
        <v>93</v>
      </c>
      <c r="J130" s="429">
        <f>+J37+J50+J63+J88+J101+J114</f>
        <v>93</v>
      </c>
      <c r="K130" s="25"/>
      <c r="L130" s="429">
        <f>+L37+L50+L63+L88+L101+L114</f>
        <v>93</v>
      </c>
      <c r="M130" s="429">
        <f>+M37+M50+M63+M88+M101+M114</f>
        <v>93</v>
      </c>
      <c r="N130" s="25"/>
      <c r="O130" s="429">
        <f>+O37+O50+O63+O88+O101+O114</f>
        <v>93</v>
      </c>
      <c r="P130" s="429">
        <f>+P37+P50+P63+P88+P101+P114</f>
        <v>93</v>
      </c>
      <c r="Q130" s="25"/>
      <c r="R130" s="429">
        <f>+R37+R50+R63+R88+R101+R114</f>
        <v>93</v>
      </c>
      <c r="S130" s="429">
        <f>+S37+S50+S63+S88+S101+S114</f>
        <v>93</v>
      </c>
      <c r="T130" s="1"/>
      <c r="U130" s="429">
        <f>+U37+U50+U63+U88+U101+U114</f>
        <v>93</v>
      </c>
      <c r="V130" s="429">
        <f>+V37+V50+V63+V88+V101+V114</f>
        <v>93</v>
      </c>
      <c r="W130" s="1"/>
      <c r="X130" s="14"/>
    </row>
    <row r="131" spans="2:24" ht="12.75">
      <c r="B131" s="13"/>
      <c r="C131" s="1"/>
      <c r="D131" s="1"/>
      <c r="E131" s="1"/>
      <c r="F131" s="1"/>
      <c r="G131" s="95" t="s">
        <v>577</v>
      </c>
      <c r="H131" s="1"/>
      <c r="I131" s="429">
        <f aca="true" t="shared" si="17" ref="I131:S131">SUM(I129:I130)</f>
        <v>128</v>
      </c>
      <c r="J131" s="429">
        <f t="shared" si="17"/>
        <v>128</v>
      </c>
      <c r="K131" s="25"/>
      <c r="L131" s="429">
        <f t="shared" si="17"/>
        <v>128</v>
      </c>
      <c r="M131" s="429">
        <f t="shared" si="17"/>
        <v>128</v>
      </c>
      <c r="N131" s="25"/>
      <c r="O131" s="429">
        <f t="shared" si="17"/>
        <v>128</v>
      </c>
      <c r="P131" s="429">
        <f t="shared" si="17"/>
        <v>128</v>
      </c>
      <c r="Q131" s="25"/>
      <c r="R131" s="429">
        <f t="shared" si="17"/>
        <v>128</v>
      </c>
      <c r="S131" s="429">
        <f t="shared" si="17"/>
        <v>128</v>
      </c>
      <c r="T131" s="1"/>
      <c r="U131" s="429">
        <f>SUM(U129:U130)</f>
        <v>128</v>
      </c>
      <c r="V131" s="429">
        <f>SUM(V129:V130)</f>
        <v>128</v>
      </c>
      <c r="W131" s="1"/>
      <c r="X131" s="14"/>
    </row>
    <row r="132" spans="2:24" ht="12.75">
      <c r="B132" s="13"/>
      <c r="C132" s="1"/>
      <c r="D132" s="1"/>
      <c r="E132" s="1"/>
      <c r="F132" s="1"/>
      <c r="G132" s="95" t="s">
        <v>581</v>
      </c>
      <c r="H132" s="1"/>
      <c r="I132" s="429">
        <f>+I39+I52+I65+I90+I103+I116</f>
        <v>0</v>
      </c>
      <c r="J132" s="429">
        <f>+J39+J52+J65+J90+J103+J116</f>
        <v>0</v>
      </c>
      <c r="K132" s="25"/>
      <c r="L132" s="429">
        <f>+L39+L52+L65+L90+L103+L116</f>
        <v>0</v>
      </c>
      <c r="M132" s="429">
        <f>+M39+M52+M65+M90+M103+M116</f>
        <v>0</v>
      </c>
      <c r="N132" s="25"/>
      <c r="O132" s="429">
        <f>+O39+O52+O65+O90+O103+O116</f>
        <v>0</v>
      </c>
      <c r="P132" s="429">
        <f>+P39+P52+P65+P90+P103+P116</f>
        <v>0</v>
      </c>
      <c r="Q132" s="25"/>
      <c r="R132" s="429">
        <f>+R39+R52+R65+R90+R103+R116</f>
        <v>0</v>
      </c>
      <c r="S132" s="429">
        <f>+S39+S52+S65+S90+S103+S116</f>
        <v>0</v>
      </c>
      <c r="T132" s="1"/>
      <c r="U132" s="429">
        <f>+U39+U52+U65+U90+U103+U116</f>
        <v>0</v>
      </c>
      <c r="V132" s="429">
        <f>+V39+V52+V65+V90+V103+V116</f>
        <v>0</v>
      </c>
      <c r="W132" s="1"/>
      <c r="X132" s="14"/>
    </row>
    <row r="133" spans="2:24" ht="12.75">
      <c r="B133" s="13"/>
      <c r="C133" s="25"/>
      <c r="D133" s="25"/>
      <c r="E133" s="25"/>
      <c r="F133" s="25"/>
      <c r="G133" s="25"/>
      <c r="H133" s="25"/>
      <c r="I133" s="25"/>
      <c r="J133" s="25"/>
      <c r="K133" s="25"/>
      <c r="L133" s="25"/>
      <c r="M133" s="25"/>
      <c r="N133" s="25"/>
      <c r="O133" s="25"/>
      <c r="P133" s="25"/>
      <c r="Q133" s="25"/>
      <c r="R133" s="25"/>
      <c r="S133" s="25"/>
      <c r="T133" s="1"/>
      <c r="U133" s="25"/>
      <c r="V133" s="25"/>
      <c r="W133" s="1"/>
      <c r="X133" s="14"/>
    </row>
    <row r="134" spans="2:24" ht="12.75">
      <c r="B134" s="13"/>
      <c r="C134" s="1"/>
      <c r="D134" s="3" t="s">
        <v>582</v>
      </c>
      <c r="E134" s="3"/>
      <c r="F134" s="1"/>
      <c r="G134" s="97" t="s">
        <v>576</v>
      </c>
      <c r="H134" s="1"/>
      <c r="I134" s="429">
        <f aca="true" t="shared" si="18" ref="I134:J136">+I40+I53+I66+I91+I104+I117</f>
        <v>0</v>
      </c>
      <c r="J134" s="429">
        <f t="shared" si="18"/>
        <v>0</v>
      </c>
      <c r="K134" s="25"/>
      <c r="L134" s="429">
        <f aca="true" t="shared" si="19" ref="L134:M136">+L40+L53+L66+L91+L104+L117</f>
        <v>0</v>
      </c>
      <c r="M134" s="429">
        <f t="shared" si="19"/>
        <v>0</v>
      </c>
      <c r="N134" s="25"/>
      <c r="O134" s="429">
        <f aca="true" t="shared" si="20" ref="O134:P136">+O40+O53+O66+O91+O104+O117</f>
        <v>0</v>
      </c>
      <c r="P134" s="429">
        <f t="shared" si="20"/>
        <v>0</v>
      </c>
      <c r="Q134" s="25"/>
      <c r="R134" s="429">
        <f aca="true" t="shared" si="21" ref="R134:S136">+R40+R53+R66+R91+R104+R117</f>
        <v>0</v>
      </c>
      <c r="S134" s="429">
        <f t="shared" si="21"/>
        <v>0</v>
      </c>
      <c r="T134" s="1"/>
      <c r="U134" s="429">
        <f aca="true" t="shared" si="22" ref="U134:V136">+U40+U53+U66+U91+U104+U117</f>
        <v>0</v>
      </c>
      <c r="V134" s="429">
        <f t="shared" si="22"/>
        <v>0</v>
      </c>
      <c r="W134" s="1"/>
      <c r="X134" s="14"/>
    </row>
    <row r="135" spans="2:24" ht="12.75">
      <c r="B135" s="13"/>
      <c r="C135" s="1"/>
      <c r="D135" s="3"/>
      <c r="E135" s="1"/>
      <c r="F135" s="3"/>
      <c r="G135" s="97" t="s">
        <v>575</v>
      </c>
      <c r="H135" s="1"/>
      <c r="I135" s="429">
        <f t="shared" si="18"/>
        <v>0</v>
      </c>
      <c r="J135" s="429">
        <f t="shared" si="18"/>
        <v>0</v>
      </c>
      <c r="K135" s="25"/>
      <c r="L135" s="429">
        <f t="shared" si="19"/>
        <v>0</v>
      </c>
      <c r="M135" s="429">
        <f t="shared" si="19"/>
        <v>0</v>
      </c>
      <c r="N135" s="25"/>
      <c r="O135" s="429">
        <f t="shared" si="20"/>
        <v>0</v>
      </c>
      <c r="P135" s="429">
        <f t="shared" si="20"/>
        <v>0</v>
      </c>
      <c r="Q135" s="25"/>
      <c r="R135" s="429">
        <f t="shared" si="21"/>
        <v>0</v>
      </c>
      <c r="S135" s="429">
        <f t="shared" si="21"/>
        <v>0</v>
      </c>
      <c r="T135" s="1"/>
      <c r="U135" s="429">
        <f t="shared" si="22"/>
        <v>0</v>
      </c>
      <c r="V135" s="429">
        <f t="shared" si="22"/>
        <v>0</v>
      </c>
      <c r="W135" s="1"/>
      <c r="X135" s="14"/>
    </row>
    <row r="136" spans="2:24" ht="12.75">
      <c r="B136" s="13"/>
      <c r="C136" s="1"/>
      <c r="D136" s="3"/>
      <c r="E136" s="1"/>
      <c r="F136" s="3"/>
      <c r="G136" s="97" t="s">
        <v>557</v>
      </c>
      <c r="H136" s="1"/>
      <c r="I136" s="429">
        <f t="shared" si="18"/>
        <v>0</v>
      </c>
      <c r="J136" s="429">
        <f t="shared" si="18"/>
        <v>0</v>
      </c>
      <c r="K136" s="25"/>
      <c r="L136" s="429">
        <f t="shared" si="19"/>
        <v>0</v>
      </c>
      <c r="M136" s="429">
        <f t="shared" si="19"/>
        <v>0</v>
      </c>
      <c r="N136" s="25"/>
      <c r="O136" s="429">
        <f t="shared" si="20"/>
        <v>0</v>
      </c>
      <c r="P136" s="429">
        <f t="shared" si="20"/>
        <v>0</v>
      </c>
      <c r="Q136" s="25"/>
      <c r="R136" s="429">
        <f t="shared" si="21"/>
        <v>0</v>
      </c>
      <c r="S136" s="429">
        <f t="shared" si="21"/>
        <v>0</v>
      </c>
      <c r="T136" s="1"/>
      <c r="U136" s="429">
        <f t="shared" si="22"/>
        <v>0</v>
      </c>
      <c r="V136" s="429">
        <f t="shared" si="22"/>
        <v>0</v>
      </c>
      <c r="W136" s="1"/>
      <c r="X136" s="14"/>
    </row>
    <row r="137" spans="2:24" ht="12.75">
      <c r="B137" s="13"/>
      <c r="C137" s="1"/>
      <c r="D137" s="3" t="s">
        <v>585</v>
      </c>
      <c r="E137" s="87"/>
      <c r="F137" s="1"/>
      <c r="G137" s="97" t="s">
        <v>586</v>
      </c>
      <c r="H137" s="1"/>
      <c r="I137" s="429">
        <f>+I43+I56+I69+I94+I107+I120</f>
        <v>0</v>
      </c>
      <c r="J137" s="336" t="s">
        <v>668</v>
      </c>
      <c r="K137" s="25"/>
      <c r="L137" s="429">
        <f>+L43+L56+L69+L94+L107+L120</f>
        <v>0</v>
      </c>
      <c r="M137" s="336" t="s">
        <v>668</v>
      </c>
      <c r="N137" s="25"/>
      <c r="O137" s="429">
        <f>+O43+O56+O69+O94+O107+O120</f>
        <v>0</v>
      </c>
      <c r="P137" s="336" t="s">
        <v>668</v>
      </c>
      <c r="Q137" s="25"/>
      <c r="R137" s="429">
        <f>+R43+R56+R69+R94+R107+R120</f>
        <v>0</v>
      </c>
      <c r="S137" s="336" t="s">
        <v>668</v>
      </c>
      <c r="T137" s="1"/>
      <c r="U137" s="429">
        <f>+U43+U56+U69+U94+U107+U120</f>
        <v>0</v>
      </c>
      <c r="V137" s="336" t="s">
        <v>668</v>
      </c>
      <c r="W137" s="1"/>
      <c r="X137" s="14"/>
    </row>
    <row r="138" spans="2:24" ht="12.75">
      <c r="B138" s="13"/>
      <c r="C138" s="1"/>
      <c r="D138" s="3"/>
      <c r="E138" s="87"/>
      <c r="F138" s="1"/>
      <c r="G138" s="97" t="s">
        <v>587</v>
      </c>
      <c r="H138" s="1"/>
      <c r="I138" s="429">
        <f>+I44+I57+I70+I95+I108+I121</f>
        <v>0</v>
      </c>
      <c r="J138" s="336" t="s">
        <v>668</v>
      </c>
      <c r="K138" s="25"/>
      <c r="L138" s="429">
        <f>+L44+L57+L70+L95+L108+L121</f>
        <v>0</v>
      </c>
      <c r="M138" s="336" t="s">
        <v>668</v>
      </c>
      <c r="N138" s="25"/>
      <c r="O138" s="429">
        <f>+O44+O57+O70+O95+O108+O121</f>
        <v>0</v>
      </c>
      <c r="P138" s="336" t="s">
        <v>668</v>
      </c>
      <c r="Q138" s="25"/>
      <c r="R138" s="429">
        <f>+R44+R57+R70+R95+R108+R121</f>
        <v>0</v>
      </c>
      <c r="S138" s="336" t="s">
        <v>668</v>
      </c>
      <c r="T138" s="1"/>
      <c r="U138" s="429">
        <f>+U44+U57+U70+U95+U108+U121</f>
        <v>0</v>
      </c>
      <c r="V138" s="336" t="s">
        <v>668</v>
      </c>
      <c r="W138" s="1"/>
      <c r="X138" s="14"/>
    </row>
    <row r="139" spans="2:24" ht="12.75">
      <c r="B139" s="13"/>
      <c r="C139" s="1"/>
      <c r="D139" s="3"/>
      <c r="E139" s="87"/>
      <c r="F139" s="1"/>
      <c r="G139" s="97" t="s">
        <v>512</v>
      </c>
      <c r="H139" s="1"/>
      <c r="I139" s="429">
        <f>+I45+I58+I71+I96++I109+I122</f>
        <v>128</v>
      </c>
      <c r="J139" s="429">
        <f>+J45+J58+J71+J96++J109+J122</f>
        <v>128</v>
      </c>
      <c r="K139" s="25"/>
      <c r="L139" s="429">
        <f>+L45+L58+L71+L96++L109+L122</f>
        <v>128</v>
      </c>
      <c r="M139" s="429">
        <f>+M45+M58+M71+M96++M109+M122</f>
        <v>128</v>
      </c>
      <c r="N139" s="25"/>
      <c r="O139" s="429">
        <f>+O45+O58+O71+O96++O109+O122</f>
        <v>128</v>
      </c>
      <c r="P139" s="429">
        <f>+P45+P58+P71+P96++P109+P122</f>
        <v>128</v>
      </c>
      <c r="Q139" s="25"/>
      <c r="R139" s="429">
        <f>+R45+R58+R71+R96++R109+R122</f>
        <v>128</v>
      </c>
      <c r="S139" s="429">
        <f>+S45+S58+S71+S96++S109+S122</f>
        <v>128</v>
      </c>
      <c r="T139" s="1"/>
      <c r="U139" s="429">
        <f>+U45+U58+U71+U96++U109+U122</f>
        <v>128</v>
      </c>
      <c r="V139" s="429">
        <f>+V45+V58+V71+V96++V109+V122</f>
        <v>128</v>
      </c>
      <c r="W139" s="1"/>
      <c r="X139" s="14"/>
    </row>
    <row r="140" spans="2:24" ht="12.75">
      <c r="B140" s="13"/>
      <c r="C140" s="1"/>
      <c r="D140" s="3"/>
      <c r="E140" s="87"/>
      <c r="F140" s="1"/>
      <c r="G140" s="97" t="s">
        <v>639</v>
      </c>
      <c r="H140" s="1"/>
      <c r="I140" s="429">
        <f>IF((I132+I136)&lt;4,0,(I132+I136-4))</f>
        <v>0</v>
      </c>
      <c r="J140" s="429">
        <f aca="true" t="shared" si="23" ref="J140:S140">IF((J132+J136)&lt;4,0,(J132+J136-4))</f>
        <v>0</v>
      </c>
      <c r="K140" s="25"/>
      <c r="L140" s="429">
        <f t="shared" si="23"/>
        <v>0</v>
      </c>
      <c r="M140" s="429">
        <f t="shared" si="23"/>
        <v>0</v>
      </c>
      <c r="N140" s="25"/>
      <c r="O140" s="429">
        <f t="shared" si="23"/>
        <v>0</v>
      </c>
      <c r="P140" s="429">
        <f t="shared" si="23"/>
        <v>0</v>
      </c>
      <c r="Q140" s="25"/>
      <c r="R140" s="429">
        <f t="shared" si="23"/>
        <v>0</v>
      </c>
      <c r="S140" s="429">
        <f t="shared" si="23"/>
        <v>0</v>
      </c>
      <c r="T140" s="1"/>
      <c r="U140" s="429">
        <f>IF((U132+U136)&lt;4,0,(U132+U136-4))</f>
        <v>0</v>
      </c>
      <c r="V140" s="429">
        <f>IF((V132+V136)&lt;4,0,(V132+V136-4))</f>
        <v>0</v>
      </c>
      <c r="W140" s="1"/>
      <c r="X140" s="14"/>
    </row>
    <row r="141" spans="2:24" ht="12.75">
      <c r="B141" s="13"/>
      <c r="C141" s="1"/>
      <c r="D141" s="3"/>
      <c r="E141" s="87"/>
      <c r="F141" s="1"/>
      <c r="G141" s="97"/>
      <c r="H141" s="1"/>
      <c r="I141" s="25"/>
      <c r="J141" s="25"/>
      <c r="K141" s="25"/>
      <c r="L141" s="25"/>
      <c r="M141" s="25"/>
      <c r="N141" s="25"/>
      <c r="O141" s="25"/>
      <c r="P141" s="25"/>
      <c r="Q141" s="25"/>
      <c r="R141" s="25"/>
      <c r="S141" s="25"/>
      <c r="T141" s="1"/>
      <c r="U141" s="25"/>
      <c r="V141" s="25"/>
      <c r="W141" s="1"/>
      <c r="X141" s="14"/>
    </row>
    <row r="142" spans="2:24" ht="12.75">
      <c r="B142" s="13"/>
      <c r="D142" s="36"/>
      <c r="E142" s="64"/>
      <c r="G142" s="69"/>
      <c r="X142" s="14"/>
    </row>
    <row r="143" spans="2:24" ht="13.5" thickBot="1">
      <c r="B143" s="48"/>
      <c r="C143" s="49"/>
      <c r="D143" s="72"/>
      <c r="E143" s="73"/>
      <c r="F143" s="49"/>
      <c r="G143" s="74"/>
      <c r="H143" s="49"/>
      <c r="I143" s="50"/>
      <c r="J143" s="50"/>
      <c r="K143" s="50"/>
      <c r="L143" s="50"/>
      <c r="M143" s="50"/>
      <c r="N143" s="50"/>
      <c r="O143" s="50"/>
      <c r="P143" s="50"/>
      <c r="Q143" s="50"/>
      <c r="R143" s="50"/>
      <c r="S143" s="50"/>
      <c r="T143" s="49"/>
      <c r="U143" s="50"/>
      <c r="V143" s="50"/>
      <c r="W143" s="49"/>
      <c r="X143" s="51"/>
    </row>
    <row r="144" spans="2:24" ht="12.75">
      <c r="B144" s="9"/>
      <c r="C144" s="10"/>
      <c r="D144" s="78"/>
      <c r="E144" s="79"/>
      <c r="F144" s="10"/>
      <c r="G144" s="80"/>
      <c r="H144" s="10"/>
      <c r="I144" s="11"/>
      <c r="J144" s="11"/>
      <c r="K144" s="11"/>
      <c r="L144" s="11"/>
      <c r="M144" s="11"/>
      <c r="N144" s="11"/>
      <c r="O144" s="11"/>
      <c r="P144" s="11"/>
      <c r="Q144" s="11"/>
      <c r="R144" s="11"/>
      <c r="S144" s="11"/>
      <c r="T144" s="10"/>
      <c r="U144" s="11"/>
      <c r="V144" s="11"/>
      <c r="W144" s="10"/>
      <c r="X144" s="12"/>
    </row>
    <row r="145" spans="2:24" ht="12.75">
      <c r="B145" s="13"/>
      <c r="D145" s="36"/>
      <c r="E145" s="64"/>
      <c r="G145" s="69"/>
      <c r="X145" s="14"/>
    </row>
    <row r="146" spans="2:24" ht="12.75">
      <c r="B146" s="13"/>
      <c r="D146" s="36"/>
      <c r="E146" s="64"/>
      <c r="G146" s="69"/>
      <c r="X146" s="14"/>
    </row>
    <row r="147" spans="2:24" ht="12.75">
      <c r="B147" s="13"/>
      <c r="D147" s="36"/>
      <c r="E147" s="64"/>
      <c r="G147" s="69"/>
      <c r="I147" s="539" t="str">
        <f>I7</f>
        <v>2009/10</v>
      </c>
      <c r="J147" s="539"/>
      <c r="K147" s="88"/>
      <c r="L147" s="539" t="str">
        <f>L7</f>
        <v>2010/11</v>
      </c>
      <c r="M147" s="539"/>
      <c r="N147" s="88"/>
      <c r="O147" s="539" t="str">
        <f>O7</f>
        <v>2011/12</v>
      </c>
      <c r="P147" s="539"/>
      <c r="Q147" s="88"/>
      <c r="R147" s="539" t="str">
        <f>R7</f>
        <v>2012/13</v>
      </c>
      <c r="S147" s="539"/>
      <c r="U147" s="539" t="str">
        <f>U7</f>
        <v>2013/14</v>
      </c>
      <c r="V147" s="539"/>
      <c r="X147" s="14"/>
    </row>
    <row r="148" spans="2:24" ht="12.75">
      <c r="B148" s="13"/>
      <c r="D148" s="36"/>
      <c r="E148" s="64"/>
      <c r="G148" s="69"/>
      <c r="I148" s="90">
        <f>I8</f>
        <v>39722</v>
      </c>
      <c r="J148" s="90">
        <f>J8</f>
        <v>39829</v>
      </c>
      <c r="K148" s="60"/>
      <c r="L148" s="90">
        <f>L8</f>
        <v>40087</v>
      </c>
      <c r="M148" s="90">
        <f>M8</f>
        <v>40194</v>
      </c>
      <c r="N148" s="60"/>
      <c r="O148" s="90">
        <f>O8</f>
        <v>40452</v>
      </c>
      <c r="P148" s="90">
        <f>P8</f>
        <v>40559</v>
      </c>
      <c r="Q148" s="60"/>
      <c r="R148" s="90">
        <f>R8</f>
        <v>40817</v>
      </c>
      <c r="S148" s="90">
        <f>S8</f>
        <v>40924</v>
      </c>
      <c r="U148" s="90">
        <f>U8</f>
        <v>41183</v>
      </c>
      <c r="V148" s="90">
        <f>V8</f>
        <v>41290</v>
      </c>
      <c r="X148" s="14"/>
    </row>
    <row r="149" spans="2:24" ht="12.75">
      <c r="B149" s="13"/>
      <c r="D149" s="36"/>
      <c r="E149" s="64"/>
      <c r="G149" s="69"/>
      <c r="X149" s="14"/>
    </row>
    <row r="150" spans="2:24" ht="12.75">
      <c r="B150" s="13"/>
      <c r="D150" s="36"/>
      <c r="E150" s="64"/>
      <c r="G150" s="69"/>
      <c r="X150" s="14"/>
    </row>
    <row r="151" spans="2:24" ht="12.75">
      <c r="B151" s="13"/>
      <c r="C151" s="1"/>
      <c r="D151" s="3"/>
      <c r="E151" s="87"/>
      <c r="F151" s="1"/>
      <c r="G151" s="97"/>
      <c r="H151" s="1"/>
      <c r="I151" s="25"/>
      <c r="J151" s="25"/>
      <c r="K151" s="25"/>
      <c r="L151" s="25"/>
      <c r="M151" s="25"/>
      <c r="N151" s="25"/>
      <c r="O151" s="25"/>
      <c r="P151" s="25"/>
      <c r="Q151" s="25"/>
      <c r="R151" s="25"/>
      <c r="S151" s="25"/>
      <c r="T151" s="1"/>
      <c r="U151" s="25"/>
      <c r="V151" s="25"/>
      <c r="W151" s="1"/>
      <c r="X151" s="14"/>
    </row>
    <row r="152" spans="2:24" ht="12.75">
      <c r="B152" s="13"/>
      <c r="C152" s="1"/>
      <c r="D152" s="3" t="s">
        <v>604</v>
      </c>
      <c r="E152" s="87"/>
      <c r="F152" s="1"/>
      <c r="G152" s="97"/>
      <c r="H152" s="1"/>
      <c r="I152" s="25"/>
      <c r="J152" s="25"/>
      <c r="K152" s="25"/>
      <c r="L152" s="25"/>
      <c r="M152" s="25"/>
      <c r="N152" s="25"/>
      <c r="O152" s="25"/>
      <c r="P152" s="25"/>
      <c r="Q152" s="25"/>
      <c r="R152" s="25"/>
      <c r="S152" s="25"/>
      <c r="T152" s="1"/>
      <c r="U152" s="25"/>
      <c r="V152" s="25"/>
      <c r="W152" s="1"/>
      <c r="X152" s="14"/>
    </row>
    <row r="153" spans="2:24" ht="12.75">
      <c r="B153" s="13"/>
      <c r="C153" s="1"/>
      <c r="D153" s="1"/>
      <c r="E153" s="1"/>
      <c r="F153" s="1"/>
      <c r="G153" s="95" t="s">
        <v>579</v>
      </c>
      <c r="H153" s="1"/>
      <c r="I153" s="429">
        <f>+I129+I135</f>
        <v>35</v>
      </c>
      <c r="J153" s="429">
        <f aca="true" t="shared" si="24" ref="J153:S153">+J129+J135</f>
        <v>35</v>
      </c>
      <c r="K153" s="25"/>
      <c r="L153" s="429">
        <f t="shared" si="24"/>
        <v>35</v>
      </c>
      <c r="M153" s="429">
        <f t="shared" si="24"/>
        <v>35</v>
      </c>
      <c r="N153" s="25"/>
      <c r="O153" s="429">
        <f t="shared" si="24"/>
        <v>35</v>
      </c>
      <c r="P153" s="429">
        <f t="shared" si="24"/>
        <v>35</v>
      </c>
      <c r="Q153" s="25"/>
      <c r="R153" s="429">
        <f t="shared" si="24"/>
        <v>35</v>
      </c>
      <c r="S153" s="429">
        <f t="shared" si="24"/>
        <v>35</v>
      </c>
      <c r="T153" s="1"/>
      <c r="U153" s="429">
        <f>+U129+U135</f>
        <v>35</v>
      </c>
      <c r="V153" s="429">
        <f>+V129+V135</f>
        <v>35</v>
      </c>
      <c r="W153" s="1"/>
      <c r="X153" s="14"/>
    </row>
    <row r="154" spans="2:24" ht="12.75">
      <c r="B154" s="13"/>
      <c r="C154" s="1"/>
      <c r="D154" s="1"/>
      <c r="E154" s="1"/>
      <c r="F154" s="1"/>
      <c r="G154" s="95" t="s">
        <v>580</v>
      </c>
      <c r="H154" s="1"/>
      <c r="I154" s="429">
        <f>+I130+I134-I135</f>
        <v>93</v>
      </c>
      <c r="J154" s="429">
        <f aca="true" t="shared" si="25" ref="J154:S154">+J130+J134-J135</f>
        <v>93</v>
      </c>
      <c r="K154" s="25"/>
      <c r="L154" s="429">
        <f t="shared" si="25"/>
        <v>93</v>
      </c>
      <c r="M154" s="429">
        <f t="shared" si="25"/>
        <v>93</v>
      </c>
      <c r="N154" s="25"/>
      <c r="O154" s="429">
        <f t="shared" si="25"/>
        <v>93</v>
      </c>
      <c r="P154" s="429">
        <f t="shared" si="25"/>
        <v>93</v>
      </c>
      <c r="Q154" s="25"/>
      <c r="R154" s="429">
        <f t="shared" si="25"/>
        <v>93</v>
      </c>
      <c r="S154" s="429">
        <f t="shared" si="25"/>
        <v>93</v>
      </c>
      <c r="T154" s="1"/>
      <c r="U154" s="429">
        <f>+U130+U134-U135</f>
        <v>93</v>
      </c>
      <c r="V154" s="429">
        <f>+V130+V134-V135</f>
        <v>93</v>
      </c>
      <c r="W154" s="1"/>
      <c r="X154" s="14"/>
    </row>
    <row r="155" spans="2:24" ht="12.75">
      <c r="B155" s="13"/>
      <c r="C155" s="1"/>
      <c r="D155" s="1"/>
      <c r="E155" s="1"/>
      <c r="F155" s="1"/>
      <c r="G155" s="95" t="s">
        <v>577</v>
      </c>
      <c r="H155" s="1"/>
      <c r="I155" s="429">
        <f>SUM(I153:I154)</f>
        <v>128</v>
      </c>
      <c r="J155" s="429">
        <f aca="true" t="shared" si="26" ref="J155:S155">SUM(J153:J154)</f>
        <v>128</v>
      </c>
      <c r="K155" s="25"/>
      <c r="L155" s="429">
        <f t="shared" si="26"/>
        <v>128</v>
      </c>
      <c r="M155" s="429">
        <f t="shared" si="26"/>
        <v>128</v>
      </c>
      <c r="N155" s="25"/>
      <c r="O155" s="429">
        <f t="shared" si="26"/>
        <v>128</v>
      </c>
      <c r="P155" s="429">
        <f t="shared" si="26"/>
        <v>128</v>
      </c>
      <c r="Q155" s="25"/>
      <c r="R155" s="429">
        <f t="shared" si="26"/>
        <v>128</v>
      </c>
      <c r="S155" s="429">
        <f t="shared" si="26"/>
        <v>128</v>
      </c>
      <c r="T155" s="1"/>
      <c r="U155" s="429">
        <f>SUM(U153:U154)</f>
        <v>128</v>
      </c>
      <c r="V155" s="429">
        <f>SUM(V153:V154)</f>
        <v>128</v>
      </c>
      <c r="W155" s="1"/>
      <c r="X155" s="14"/>
    </row>
    <row r="156" spans="2:24" ht="12.75">
      <c r="B156" s="13"/>
      <c r="C156" s="1"/>
      <c r="D156" s="1"/>
      <c r="E156" s="1"/>
      <c r="F156" s="1"/>
      <c r="G156" s="95" t="s">
        <v>581</v>
      </c>
      <c r="H156" s="1"/>
      <c r="I156" s="429">
        <f>+I140</f>
        <v>0</v>
      </c>
      <c r="J156" s="429">
        <f aca="true" t="shared" si="27" ref="J156:S156">+J140</f>
        <v>0</v>
      </c>
      <c r="K156" s="25"/>
      <c r="L156" s="429">
        <f t="shared" si="27"/>
        <v>0</v>
      </c>
      <c r="M156" s="429">
        <f t="shared" si="27"/>
        <v>0</v>
      </c>
      <c r="N156" s="25"/>
      <c r="O156" s="429">
        <f t="shared" si="27"/>
        <v>0</v>
      </c>
      <c r="P156" s="429">
        <f t="shared" si="27"/>
        <v>0</v>
      </c>
      <c r="Q156" s="25"/>
      <c r="R156" s="429">
        <f t="shared" si="27"/>
        <v>0</v>
      </c>
      <c r="S156" s="429">
        <f t="shared" si="27"/>
        <v>0</v>
      </c>
      <c r="T156" s="1"/>
      <c r="U156" s="429">
        <f>+U140</f>
        <v>0</v>
      </c>
      <c r="V156" s="429">
        <f>+V140</f>
        <v>0</v>
      </c>
      <c r="W156" s="1"/>
      <c r="X156" s="14"/>
    </row>
    <row r="157" spans="2:24" ht="12.75">
      <c r="B157" s="13"/>
      <c r="C157" s="1"/>
      <c r="D157" s="25"/>
      <c r="E157" s="25"/>
      <c r="F157" s="25"/>
      <c r="G157" s="25"/>
      <c r="H157" s="25"/>
      <c r="I157" s="25"/>
      <c r="J157" s="25"/>
      <c r="K157" s="25"/>
      <c r="L157" s="25"/>
      <c r="M157" s="25"/>
      <c r="N157" s="25"/>
      <c r="O157" s="25"/>
      <c r="P157" s="25"/>
      <c r="Q157" s="25"/>
      <c r="R157" s="25"/>
      <c r="S157" s="25"/>
      <c r="T157" s="1"/>
      <c r="U157" s="25"/>
      <c r="V157" s="25"/>
      <c r="W157" s="1"/>
      <c r="X157" s="14"/>
    </row>
    <row r="158" spans="2:24" ht="12.75">
      <c r="B158" s="13"/>
      <c r="C158" s="1"/>
      <c r="D158" s="1"/>
      <c r="E158" s="1"/>
      <c r="F158" s="3"/>
      <c r="G158" s="97" t="s">
        <v>626</v>
      </c>
      <c r="H158" s="1"/>
      <c r="I158" s="429">
        <f>IF($D35="SO",I38+I40,0)+IF($D48="SO",I51+I53,0)+IF($D61="SO",I64+I66,0)+IF($D86="SO",I89+I91,0)+IF($D99="SO",I102+I104,0)+IF($D112="SO",I115+I117,0)</f>
        <v>99</v>
      </c>
      <c r="J158" s="429">
        <f>IF($D35="SO",J38+J40,0)+IF($D48="SO",J51+J53,0)+IF($D61="SO",J64+J66,0)+IF($D86="SO",J89+J91,0)+IF($D99="SO",J102+J104,0)+IF($D112="SO",J115+J117,0)</f>
        <v>99</v>
      </c>
      <c r="K158" s="25"/>
      <c r="L158" s="429">
        <f>IF($D35="SO",L38+L40,0)+IF($D48="SO",L51+L53,0)+IF($D61="SO",L64+L66,0)+IF($D86="SO",L89+L91,0)+IF($D99="SO",L102+L104,0)+IF($D112="SO",L115+L117,0)</f>
        <v>99</v>
      </c>
      <c r="M158" s="429">
        <f>IF($D35="SO",M38+M40,0)+IF($D48="SO",M51+M53,0)+IF($D61="SO",M64+M66,0)+IF($D86="SO",M89+M91,0)+IF($D99="SO",M102+M104,0)+IF($D112="SO",M115+M117,0)</f>
        <v>99</v>
      </c>
      <c r="N158" s="25"/>
      <c r="O158" s="429">
        <f>IF($D35="SO",O38+O40,0)+IF($D48="SO",O51+O53,0)+IF($D61="SO",O64+O66,0)+IF($D86="SO",O89+O91,0)+IF($D99="SO",O102+O104,0)+IF($D112="SO",O115+O117,0)</f>
        <v>99</v>
      </c>
      <c r="P158" s="429">
        <f>IF($D35="SO",P38+P40,0)+IF($D48="SO",P51+P53,0)+IF($D61="SO",P64+P66,0)+IF($D86="SO",P89+P91,0)+IF($D99="SO",P102+P104,0)+IF($D112="SO",P115+P117,0)</f>
        <v>99</v>
      </c>
      <c r="Q158" s="25"/>
      <c r="R158" s="429">
        <f>IF($D35="SO",R38+R40,0)+IF($D48="SO",R51+R53,0)+IF($D61="SO",R64+R66,0)+IF($D86="SO",R89+R91,0)+IF($D99="SO",R102+R104,0)+IF($D112="SO",R115+R117,0)</f>
        <v>99</v>
      </c>
      <c r="S158" s="429">
        <f>IF($D35="SO",S38+S40,0)+IF($D48="SO",S51+S53,0)+IF($D61="SO",S64+S66,0)+IF($D86="SO",S89+S91,0)+IF($D99="SO",S102+S104,0)+IF($D112="SO",S115+S117,0)</f>
        <v>99</v>
      </c>
      <c r="T158" s="1"/>
      <c r="U158" s="429">
        <f>IF($D35="SO",U38+U40,0)+IF($D48="SO",U51+U53,0)+IF($D61="SO",U64+U66,0)+IF($D86="SO",U89+U91,0)+IF($D99="SO",U102+U104,0)+IF($D112="SO",U115+U117,0)</f>
        <v>99</v>
      </c>
      <c r="V158" s="429">
        <f>IF($D35="SO",V38+V40,0)+IF($D48="SO",V51+V53,0)+IF($D61="SO",V64+V66,0)+IF($D86="SO",V89+V91,0)+IF($D99="SO",V102+V104,0)+IF($D112="SO",V115+V117,0)</f>
        <v>99</v>
      </c>
      <c r="W158" s="1"/>
      <c r="X158" s="14"/>
    </row>
    <row r="159" spans="2:24" ht="12.75">
      <c r="B159" s="13"/>
      <c r="C159" s="1"/>
      <c r="D159" s="1"/>
      <c r="E159" s="1"/>
      <c r="F159" s="3"/>
      <c r="G159" s="97" t="s">
        <v>627</v>
      </c>
      <c r="H159" s="1"/>
      <c r="I159" s="429">
        <f>IF($D35="VSO",I38+I40,0)+IF($D48="VSO",I51+I53,0)+IF($D61="VSO",I64+I66,0)+IF($D86="VSO",I89+I91,0)+IF($D99="VSO",I102+I104,0)+IF($D112="VSO",I115+I117,0)</f>
        <v>29</v>
      </c>
      <c r="J159" s="429">
        <f>IF($D35="VSO",J38+J40,0)+IF($D48="VSO",J51+J53,0)+IF($D61="VSO",J64+J66,0)+IF($D86="VSO",J89+J91,0)+IF($D99="VSO",J102+J104,0)+IF($D112="VSO",J115+J117,0)</f>
        <v>29</v>
      </c>
      <c r="K159" s="25"/>
      <c r="L159" s="429">
        <f>IF($D35="VSO",L38+L40,0)+IF($D48="VSO",L51+L53,0)+IF($D61="VSO",L64+L66,0)+IF($D86="VSO",L89+L91,0)+IF($D99="VSO",L102+L104,0)+IF($D112="VSO",L115+L117,0)</f>
        <v>29</v>
      </c>
      <c r="M159" s="429">
        <f>IF($D35="VSO",M38+M40,0)+IF($D48="VSO",M51+M53,0)+IF($D61="VSO",M64+M66,0)+IF($D86="VSO",M89+M91,0)+IF($D99="VSO",M102+M104,0)+IF($D112="VSO",M115+M117,0)</f>
        <v>29</v>
      </c>
      <c r="N159" s="25"/>
      <c r="O159" s="429">
        <f>IF($D35="VSO",O38+O40,0)+IF($D48="VSO",O51+O53,0)+IF($D61="VSO",O64+O66,0)+IF($D86="VSO",O89+O91,0)+IF($D99="VSO",O102+O104,0)+IF($D112="VSO",O115+O117,0)</f>
        <v>29</v>
      </c>
      <c r="P159" s="429">
        <f>IF($D35="VSO",P38+P40,0)+IF($D48="VSO",P51+P53,0)+IF($D61="VSO",P64+P66,0)+IF($D86="VSO",P89+P91,0)+IF($D99="VSO",P102+P104,0)+IF($D112="VSO",P115+P117,0)</f>
        <v>29</v>
      </c>
      <c r="Q159" s="25"/>
      <c r="R159" s="429">
        <f>IF($D35="VSO",R38+R40,0)+IF($D48="VSO",R51+R53,0)+IF($D61="VSO",R64+R66,0)+IF($D86="VSO",R89+R91,0)+IF($D99="VSO",R102+R104,0)+IF($D112="VSO",R115+R117,0)</f>
        <v>29</v>
      </c>
      <c r="S159" s="429">
        <f>IF($D35="VSO",S38+S40,0)+IF($D48="VSO",S51+S53,0)+IF($D61="VSO",S64+S66,0)+IF($D86="VSO",S89+S91,0)+IF($D99="VSO",S102+S104,0)+IF($D112="VSO",S115+S117,0)</f>
        <v>29</v>
      </c>
      <c r="T159" s="1"/>
      <c r="U159" s="429">
        <f>IF($D35="VSO",U38+U40,0)+IF($D48="VSO",U51+U53,0)+IF($D61="VSO",U64+U66,0)+IF($D86="VSO",U89+U91,0)+IF($D99="VSO",U102+U104,0)+IF($D112="VSO",U115+U117,0)</f>
        <v>29</v>
      </c>
      <c r="V159" s="429">
        <f>IF($D35="VSO",V38+V40,0)+IF($D48="VSO",V51+V53,0)+IF($D61="VSO",V64+V66,0)+IF($D86="VSO",V89+V91,0)+IF($D99="VSO",V102+V104,0)+IF($D112="VSO",V115+V117,0)</f>
        <v>29</v>
      </c>
      <c r="W159" s="1"/>
      <c r="X159" s="14"/>
    </row>
    <row r="160" spans="2:24" ht="12.75">
      <c r="B160" s="13"/>
      <c r="C160" s="1"/>
      <c r="D160" s="1"/>
      <c r="E160" s="1"/>
      <c r="F160" s="3"/>
      <c r="G160" s="97" t="s">
        <v>645</v>
      </c>
      <c r="H160" s="1"/>
      <c r="I160" s="429">
        <f>SUM(I158:I159)</f>
        <v>128</v>
      </c>
      <c r="J160" s="429">
        <f aca="true" t="shared" si="28" ref="J160:S160">SUM(J158:J159)</f>
        <v>128</v>
      </c>
      <c r="K160" s="25"/>
      <c r="L160" s="429">
        <f t="shared" si="28"/>
        <v>128</v>
      </c>
      <c r="M160" s="429">
        <f t="shared" si="28"/>
        <v>128</v>
      </c>
      <c r="N160" s="25"/>
      <c r="O160" s="429">
        <f t="shared" si="28"/>
        <v>128</v>
      </c>
      <c r="P160" s="429">
        <f t="shared" si="28"/>
        <v>128</v>
      </c>
      <c r="Q160" s="25"/>
      <c r="R160" s="429">
        <f t="shared" si="28"/>
        <v>128</v>
      </c>
      <c r="S160" s="429">
        <f t="shared" si="28"/>
        <v>128</v>
      </c>
      <c r="T160" s="1"/>
      <c r="U160" s="429">
        <f>SUM(U158:U159)</f>
        <v>128</v>
      </c>
      <c r="V160" s="429">
        <f>SUM(V158:V159)</f>
        <v>128</v>
      </c>
      <c r="W160" s="1"/>
      <c r="X160" s="14"/>
    </row>
    <row r="161" spans="2:24" ht="12.75">
      <c r="B161" s="13"/>
      <c r="C161" s="1"/>
      <c r="D161" s="1"/>
      <c r="E161" s="1"/>
      <c r="F161" s="3"/>
      <c r="G161" s="97"/>
      <c r="H161" s="1"/>
      <c r="I161" s="25"/>
      <c r="J161" s="25"/>
      <c r="K161" s="25"/>
      <c r="L161" s="25"/>
      <c r="M161" s="25"/>
      <c r="N161" s="25"/>
      <c r="O161" s="25"/>
      <c r="P161" s="25"/>
      <c r="Q161" s="25"/>
      <c r="R161" s="25"/>
      <c r="S161" s="25"/>
      <c r="T161" s="1"/>
      <c r="U161" s="25"/>
      <c r="V161" s="25"/>
      <c r="W161" s="1"/>
      <c r="X161" s="14"/>
    </row>
    <row r="162" spans="2:24" ht="12.75">
      <c r="B162" s="13"/>
      <c r="C162" s="1"/>
      <c r="D162" s="3" t="s">
        <v>585</v>
      </c>
      <c r="E162" s="87"/>
      <c r="F162" s="1"/>
      <c r="G162" s="97" t="s">
        <v>586</v>
      </c>
      <c r="H162" s="1"/>
      <c r="I162" s="429">
        <f>+I137</f>
        <v>0</v>
      </c>
      <c r="J162" s="336" t="str">
        <f>+J137</f>
        <v>nvt</v>
      </c>
      <c r="K162" s="25"/>
      <c r="L162" s="429">
        <f aca="true" t="shared" si="29" ref="L162:R162">+L137</f>
        <v>0</v>
      </c>
      <c r="M162" s="336" t="str">
        <f>+M137</f>
        <v>nvt</v>
      </c>
      <c r="N162" s="25"/>
      <c r="O162" s="429">
        <f t="shared" si="29"/>
        <v>0</v>
      </c>
      <c r="P162" s="336" t="str">
        <f>+P137</f>
        <v>nvt</v>
      </c>
      <c r="Q162" s="25"/>
      <c r="R162" s="429">
        <f t="shared" si="29"/>
        <v>0</v>
      </c>
      <c r="S162" s="336" t="str">
        <f>+S137</f>
        <v>nvt</v>
      </c>
      <c r="T162" s="1"/>
      <c r="U162" s="429">
        <f>+U137</f>
        <v>0</v>
      </c>
      <c r="V162" s="336" t="str">
        <f>+V137</f>
        <v>nvt</v>
      </c>
      <c r="W162" s="1"/>
      <c r="X162" s="14"/>
    </row>
    <row r="163" spans="2:24" ht="12.75">
      <c r="B163" s="13"/>
      <c r="C163" s="1"/>
      <c r="D163" s="3"/>
      <c r="E163" s="87"/>
      <c r="F163" s="1"/>
      <c r="G163" s="97" t="s">
        <v>587</v>
      </c>
      <c r="H163" s="1"/>
      <c r="I163" s="429">
        <f>+I138</f>
        <v>0</v>
      </c>
      <c r="J163" s="336" t="str">
        <f>+J138</f>
        <v>nvt</v>
      </c>
      <c r="K163" s="25"/>
      <c r="L163" s="429">
        <f aca="true" t="shared" si="30" ref="L163:R163">+L138</f>
        <v>0</v>
      </c>
      <c r="M163" s="336" t="str">
        <f>+M138</f>
        <v>nvt</v>
      </c>
      <c r="N163" s="25"/>
      <c r="O163" s="429">
        <f t="shared" si="30"/>
        <v>0</v>
      </c>
      <c r="P163" s="336" t="str">
        <f>+P138</f>
        <v>nvt</v>
      </c>
      <c r="Q163" s="25"/>
      <c r="R163" s="429">
        <f t="shared" si="30"/>
        <v>0</v>
      </c>
      <c r="S163" s="336" t="str">
        <f>+S138</f>
        <v>nvt</v>
      </c>
      <c r="T163" s="1"/>
      <c r="U163" s="429">
        <f>+U138</f>
        <v>0</v>
      </c>
      <c r="V163" s="336" t="str">
        <f>+V138</f>
        <v>nvt</v>
      </c>
      <c r="W163" s="1"/>
      <c r="X163" s="14"/>
    </row>
    <row r="164" spans="2:24" ht="12.75">
      <c r="B164" s="13"/>
      <c r="C164" s="1"/>
      <c r="D164" s="1"/>
      <c r="E164" s="87"/>
      <c r="F164" s="1"/>
      <c r="G164" s="97" t="s">
        <v>512</v>
      </c>
      <c r="H164" s="1"/>
      <c r="I164" s="429">
        <f>+I139</f>
        <v>128</v>
      </c>
      <c r="J164" s="429">
        <f>J139</f>
        <v>128</v>
      </c>
      <c r="K164" s="25"/>
      <c r="L164" s="429">
        <f>+L139</f>
        <v>128</v>
      </c>
      <c r="M164" s="429">
        <f>M139</f>
        <v>128</v>
      </c>
      <c r="N164" s="25"/>
      <c r="O164" s="429">
        <f>+O139</f>
        <v>128</v>
      </c>
      <c r="P164" s="429">
        <f>P139</f>
        <v>128</v>
      </c>
      <c r="Q164" s="25"/>
      <c r="R164" s="429">
        <f>+R139</f>
        <v>128</v>
      </c>
      <c r="S164" s="429">
        <f>S139</f>
        <v>128</v>
      </c>
      <c r="T164" s="1"/>
      <c r="U164" s="429">
        <f>+U139</f>
        <v>128</v>
      </c>
      <c r="V164" s="429">
        <f>V139</f>
        <v>128</v>
      </c>
      <c r="W164" s="1"/>
      <c r="X164" s="14"/>
    </row>
    <row r="165" spans="2:24" ht="12.75">
      <c r="B165" s="13"/>
      <c r="C165" s="1"/>
      <c r="D165" s="3"/>
      <c r="E165" s="87"/>
      <c r="F165" s="1"/>
      <c r="G165" s="97"/>
      <c r="H165" s="1"/>
      <c r="I165" s="25"/>
      <c r="J165" s="25"/>
      <c r="K165" s="25"/>
      <c r="L165" s="25"/>
      <c r="M165" s="25"/>
      <c r="N165" s="25"/>
      <c r="O165" s="25"/>
      <c r="P165" s="25"/>
      <c r="Q165" s="25"/>
      <c r="R165" s="25"/>
      <c r="S165" s="25"/>
      <c r="T165" s="1"/>
      <c r="U165" s="25"/>
      <c r="V165" s="25"/>
      <c r="W165" s="1"/>
      <c r="X165" s="14"/>
    </row>
    <row r="166" spans="2:24" ht="12.75">
      <c r="B166" s="13"/>
      <c r="C166" s="1"/>
      <c r="D166" s="1"/>
      <c r="E166" s="1"/>
      <c r="F166" s="1"/>
      <c r="G166" s="97" t="s">
        <v>310</v>
      </c>
      <c r="H166" s="1"/>
      <c r="I166" s="429" t="str">
        <f>IF(E183=1,"ja","nee")</f>
        <v>ja</v>
      </c>
      <c r="J166" s="25"/>
      <c r="K166" s="25"/>
      <c r="L166" s="25"/>
      <c r="M166" s="25"/>
      <c r="N166" s="25"/>
      <c r="O166" s="25"/>
      <c r="P166" s="25"/>
      <c r="Q166" s="25"/>
      <c r="R166" s="25"/>
      <c r="S166" s="25"/>
      <c r="T166" s="1"/>
      <c r="U166" s="25"/>
      <c r="V166" s="25"/>
      <c r="W166" s="1"/>
      <c r="X166" s="14"/>
    </row>
    <row r="167" spans="2:24" ht="12.75">
      <c r="B167" s="13"/>
      <c r="C167" s="1"/>
      <c r="D167" s="3" t="s">
        <v>469</v>
      </c>
      <c r="E167" s="87"/>
      <c r="F167" s="1"/>
      <c r="G167" s="97" t="s">
        <v>609</v>
      </c>
      <c r="H167" s="1"/>
      <c r="I167" s="429" t="str">
        <f>IF(OR(AND($D48=$D167,$G48="ja"),AND($D61=$D167,$G61="ja")),"ja","nee")</f>
        <v>nee</v>
      </c>
      <c r="J167" s="25"/>
      <c r="K167" s="25"/>
      <c r="L167" s="25"/>
      <c r="M167" s="25"/>
      <c r="N167" s="25"/>
      <c r="O167" s="25"/>
      <c r="P167" s="25"/>
      <c r="Q167" s="25"/>
      <c r="R167" s="25"/>
      <c r="S167" s="25"/>
      <c r="T167" s="1"/>
      <c r="U167" s="25"/>
      <c r="V167" s="25"/>
      <c r="W167" s="1"/>
      <c r="X167" s="14"/>
    </row>
    <row r="168" spans="2:24" ht="12.75">
      <c r="B168" s="13"/>
      <c r="C168" s="1"/>
      <c r="D168" s="3" t="s">
        <v>486</v>
      </c>
      <c r="E168" s="87"/>
      <c r="F168" s="1"/>
      <c r="G168" s="97" t="s">
        <v>610</v>
      </c>
      <c r="H168" s="1"/>
      <c r="I168" s="429" t="str">
        <f>IF(OR(AND($D86=$D168,$G86="ja"),AND($D99=$D168,$G99="ja"),AND($D112=$D168,$G112="ja")),"ja","nee")</f>
        <v>ja</v>
      </c>
      <c r="J168" s="25"/>
      <c r="K168" s="25"/>
      <c r="L168" s="25"/>
      <c r="M168" s="25"/>
      <c r="N168" s="25"/>
      <c r="O168" s="25"/>
      <c r="P168" s="25"/>
      <c r="Q168" s="25"/>
      <c r="R168" s="25"/>
      <c r="S168" s="25"/>
      <c r="T168" s="1"/>
      <c r="U168" s="25"/>
      <c r="V168" s="25"/>
      <c r="W168" s="1"/>
      <c r="X168" s="14"/>
    </row>
    <row r="169" spans="2:24" ht="12.75">
      <c r="B169" s="13"/>
      <c r="C169" s="1"/>
      <c r="D169" s="3"/>
      <c r="E169" s="87"/>
      <c r="F169" s="1"/>
      <c r="G169" s="97"/>
      <c r="H169" s="1"/>
      <c r="I169" s="25"/>
      <c r="J169" s="25"/>
      <c r="K169" s="25"/>
      <c r="L169" s="25"/>
      <c r="M169" s="25"/>
      <c r="N169" s="25"/>
      <c r="O169" s="25"/>
      <c r="P169" s="25"/>
      <c r="Q169" s="25"/>
      <c r="R169" s="25"/>
      <c r="S169" s="25"/>
      <c r="T169" s="1"/>
      <c r="U169" s="25"/>
      <c r="V169" s="25"/>
      <c r="W169" s="1"/>
      <c r="X169" s="14"/>
    </row>
    <row r="170" spans="2:24" ht="12.75">
      <c r="B170" s="13"/>
      <c r="D170" s="36"/>
      <c r="E170" s="64"/>
      <c r="G170" s="69"/>
      <c r="X170" s="14"/>
    </row>
    <row r="171" spans="2:24" ht="13.5" thickBot="1">
      <c r="B171" s="48"/>
      <c r="C171" s="49"/>
      <c r="D171" s="72"/>
      <c r="E171" s="73"/>
      <c r="F171" s="49"/>
      <c r="G171" s="74"/>
      <c r="H171" s="49"/>
      <c r="I171" s="50"/>
      <c r="J171" s="50"/>
      <c r="K171" s="50"/>
      <c r="L171" s="50"/>
      <c r="M171" s="50"/>
      <c r="N171" s="50"/>
      <c r="O171" s="50"/>
      <c r="P171" s="50"/>
      <c r="Q171" s="50"/>
      <c r="R171" s="50"/>
      <c r="S171" s="50"/>
      <c r="T171" s="49"/>
      <c r="U171" s="50"/>
      <c r="V171" s="50"/>
      <c r="W171" s="49"/>
      <c r="X171" s="51"/>
    </row>
    <row r="172" spans="4:7" ht="12.75">
      <c r="D172" s="36"/>
      <c r="E172" s="64"/>
      <c r="G172" s="69"/>
    </row>
    <row r="173" spans="4:7" ht="12.75">
      <c r="D173" s="36"/>
      <c r="E173" s="64"/>
      <c r="G173" s="69"/>
    </row>
    <row r="174" spans="4:7" ht="12.75">
      <c r="D174" s="36"/>
      <c r="E174" s="64"/>
      <c r="G174" s="69"/>
    </row>
    <row r="175" spans="4:7" ht="12.75">
      <c r="D175" s="36"/>
      <c r="E175" s="64"/>
      <c r="G175" s="69"/>
    </row>
    <row r="176" spans="4:7" ht="12.75">
      <c r="D176" s="36"/>
      <c r="E176" s="64"/>
      <c r="G176" s="69"/>
    </row>
    <row r="177" spans="4:7" ht="12.75">
      <c r="D177" s="36"/>
      <c r="E177" s="64"/>
      <c r="G177" s="69"/>
    </row>
    <row r="178" spans="4:7" ht="12.75">
      <c r="D178" s="36"/>
      <c r="E178" s="64"/>
      <c r="G178" s="69"/>
    </row>
    <row r="179" spans="3:23" ht="12.75">
      <c r="C179" s="1"/>
      <c r="D179" s="3"/>
      <c r="E179" s="87"/>
      <c r="F179" s="1"/>
      <c r="G179" s="97"/>
      <c r="H179" s="1"/>
      <c r="I179" s="25"/>
      <c r="J179" s="25"/>
      <c r="K179" s="25"/>
      <c r="L179" s="25"/>
      <c r="M179" s="25"/>
      <c r="N179" s="25"/>
      <c r="O179" s="25"/>
      <c r="P179" s="25"/>
      <c r="Q179" s="25"/>
      <c r="R179" s="25"/>
      <c r="S179" s="25"/>
      <c r="T179" s="1"/>
      <c r="U179" s="25"/>
      <c r="V179" s="25"/>
      <c r="W179" s="1"/>
    </row>
    <row r="180" spans="3:23" ht="12.75">
      <c r="C180" s="1"/>
      <c r="D180" s="1"/>
      <c r="E180" s="1"/>
      <c r="F180" s="1"/>
      <c r="G180" s="1"/>
      <c r="H180" s="1"/>
      <c r="I180" s="1" t="s">
        <v>605</v>
      </c>
      <c r="J180" s="1"/>
      <c r="K180" s="1"/>
      <c r="L180" s="1"/>
      <c r="M180" s="1"/>
      <c r="N180" s="1"/>
      <c r="O180" s="1"/>
      <c r="P180" s="1"/>
      <c r="Q180" s="1"/>
      <c r="R180" s="1"/>
      <c r="S180" s="25"/>
      <c r="T180" s="1"/>
      <c r="U180" s="25"/>
      <c r="V180" s="25"/>
      <c r="W180" s="1"/>
    </row>
    <row r="181" spans="3:23" ht="12.75">
      <c r="C181" s="1"/>
      <c r="D181" s="1"/>
      <c r="E181" s="1"/>
      <c r="F181" s="1"/>
      <c r="G181" s="1"/>
      <c r="H181" s="1"/>
      <c r="I181" s="98">
        <f>I8</f>
        <v>39722</v>
      </c>
      <c r="J181" s="98">
        <f>J8</f>
        <v>39829</v>
      </c>
      <c r="K181" s="1"/>
      <c r="L181" s="98">
        <f>L8</f>
        <v>40087</v>
      </c>
      <c r="M181" s="98">
        <f>M8</f>
        <v>40194</v>
      </c>
      <c r="N181" s="1"/>
      <c r="O181" s="98">
        <f>O8</f>
        <v>40452</v>
      </c>
      <c r="P181" s="98">
        <f>P8</f>
        <v>40559</v>
      </c>
      <c r="Q181" s="1"/>
      <c r="R181" s="98">
        <f>R8</f>
        <v>40817</v>
      </c>
      <c r="S181" s="98">
        <f>S8</f>
        <v>40924</v>
      </c>
      <c r="T181" s="1"/>
      <c r="U181" s="432">
        <f>U8</f>
        <v>41183</v>
      </c>
      <c r="V181" s="432">
        <f>V8</f>
        <v>41290</v>
      </c>
      <c r="W181" s="1"/>
    </row>
    <row r="182" spans="3:23" ht="12.75">
      <c r="C182" s="91"/>
      <c r="D182" s="2" t="str">
        <f>+D35</f>
        <v>SO</v>
      </c>
      <c r="E182" s="2" t="str">
        <f>+E35</f>
        <v>ZMLK</v>
      </c>
      <c r="F182" s="91" t="s">
        <v>606</v>
      </c>
      <c r="G182" s="1"/>
      <c r="H182" s="1"/>
      <c r="I182" s="1"/>
      <c r="J182" s="1"/>
      <c r="K182" s="1"/>
      <c r="L182" s="1"/>
      <c r="M182" s="1"/>
      <c r="N182" s="1"/>
      <c r="O182" s="1"/>
      <c r="P182" s="1"/>
      <c r="Q182" s="1"/>
      <c r="R182" s="1"/>
      <c r="S182" s="1"/>
      <c r="T182" s="1"/>
      <c r="U182" s="1"/>
      <c r="V182" s="1"/>
      <c r="W182" s="1"/>
    </row>
    <row r="183" spans="3:23" ht="12.75">
      <c r="C183" s="91"/>
      <c r="D183" s="91"/>
      <c r="E183" s="91">
        <f>IF(OR(F35="ja",F48="ja",F61="ja",F86="ja",F99="ja",F112="ja"),1,0)</f>
        <v>1</v>
      </c>
      <c r="F183" s="91">
        <f>IF(D35="",0,VLOOKUP(E35,grgr,IF(D35="SO",2,3),FALSE))</f>
        <v>12</v>
      </c>
      <c r="G183" s="1"/>
      <c r="H183" s="1"/>
      <c r="I183" s="186">
        <f>(I38+I40)/$F183</f>
        <v>6.666666666666667</v>
      </c>
      <c r="J183" s="186">
        <f>(J38+J40)/$F183</f>
        <v>6.666666666666667</v>
      </c>
      <c r="K183" s="1"/>
      <c r="L183" s="186">
        <f>(L38+L40)/$F183</f>
        <v>6.666666666666667</v>
      </c>
      <c r="M183" s="186">
        <f>(M38+M40)/$F183</f>
        <v>6.666666666666667</v>
      </c>
      <c r="N183" s="1"/>
      <c r="O183" s="186">
        <f>(O38+O40)/$F183</f>
        <v>6.666666666666667</v>
      </c>
      <c r="P183" s="186">
        <f>(P38+P40)/$F183</f>
        <v>6.666666666666667</v>
      </c>
      <c r="Q183" s="1"/>
      <c r="R183" s="186">
        <f>(R38+R40)/$F183</f>
        <v>6.666666666666667</v>
      </c>
      <c r="S183" s="186">
        <f>(S38+S40)/$F183</f>
        <v>6.666666666666667</v>
      </c>
      <c r="T183" s="1"/>
      <c r="U183" s="186">
        <f>(U38+U40)/$F183</f>
        <v>6.666666666666667</v>
      </c>
      <c r="V183" s="186">
        <f>(V38+V40)/$F183</f>
        <v>6.666666666666667</v>
      </c>
      <c r="W183" s="1"/>
    </row>
    <row r="184" spans="3:23" ht="12.75">
      <c r="C184" s="91"/>
      <c r="D184" s="91"/>
      <c r="E184" s="91"/>
      <c r="F184" s="91" t="s">
        <v>27</v>
      </c>
      <c r="G184" s="1"/>
      <c r="H184" s="1"/>
      <c r="I184" s="186">
        <f>(IF(AND($D48=$D35,$G48="ja"),I51+I53,0)+IF(AND($D61=$D35,$G61="ja"),I64+I66,0))/$F183</f>
        <v>0</v>
      </c>
      <c r="J184" s="186">
        <f>(IF(AND($D48=$D35,$G48="ja"),J51+J53,0)+IF(AND($D61=$D35,$G61="ja"),J64+J66,0))/$F183</f>
        <v>0</v>
      </c>
      <c r="K184" s="1"/>
      <c r="L184" s="186">
        <f>(IF(AND($D48=$D35,$G48="ja"),L51+L53,0)+IF(AND($D61=$D35,$G61="ja"),L64+L66,0))/$F183</f>
        <v>0</v>
      </c>
      <c r="M184" s="186">
        <f>(IF(AND($D48=$D35,$G48="ja"),M51+M53,0)+IF(AND($D61=$D35,$G61="ja"),M64+M66,0))/$F183</f>
        <v>0</v>
      </c>
      <c r="N184" s="1"/>
      <c r="O184" s="186">
        <f>(IF(AND($D48=$D35,$G48="ja"),O51+O53,0)+IF(AND($D61=$D35,$G61="ja"),O64+O66,0))/$F183</f>
        <v>0</v>
      </c>
      <c r="P184" s="186">
        <f>(IF(AND($D48=$D35,$G48="ja"),P51+P53,0)+IF(AND($D61=$D35,$G61="ja"),P64+P66,0))/$F183</f>
        <v>0</v>
      </c>
      <c r="Q184" s="1"/>
      <c r="R184" s="186">
        <f>(IF(AND($D48=$D35,$G48="ja"),R51+R53,0)+IF(AND($D61=$D35,$G61="ja"),R64+R66,0))/$F183</f>
        <v>0</v>
      </c>
      <c r="S184" s="186">
        <f>(IF(AND($D48=$D35,$G48="ja"),S51+S53,0)+IF(AND($D61=$D35,$G61="ja"),S64+S66,0))/$F183</f>
        <v>0</v>
      </c>
      <c r="T184" s="1"/>
      <c r="U184" s="186">
        <f>(IF(AND($D48=$D35,$G48="ja"),U51+U53,0)+IF(AND($D61=$D35,$G61="ja"),U64+U66,0))/$F183</f>
        <v>0</v>
      </c>
      <c r="V184" s="186">
        <f>(IF(AND($D48=$D35,$G48="ja"),V51+V53,0)+IF(AND($D61=$D35,$G61="ja"),V64+V66,0))/$F183</f>
        <v>0</v>
      </c>
      <c r="W184" s="1"/>
    </row>
    <row r="185" spans="3:23" ht="12.75">
      <c r="C185" s="91"/>
      <c r="D185" s="91"/>
      <c r="E185" s="91"/>
      <c r="F185" s="91" t="s">
        <v>96</v>
      </c>
      <c r="G185" s="1"/>
      <c r="H185" s="1"/>
      <c r="I185" s="1">
        <f>ROUNDUP((I183+I184),0)</f>
        <v>7</v>
      </c>
      <c r="J185" s="1">
        <f>ROUNDUP((J183+J184),0)</f>
        <v>7</v>
      </c>
      <c r="K185" s="1"/>
      <c r="L185" s="1">
        <f>ROUNDUP((L183+L184),0)</f>
        <v>7</v>
      </c>
      <c r="M185" s="1">
        <f>ROUNDUP((M183+M184),0)</f>
        <v>7</v>
      </c>
      <c r="N185" s="1"/>
      <c r="O185" s="1">
        <f>ROUNDUP((O183+O184),0)</f>
        <v>7</v>
      </c>
      <c r="P185" s="1">
        <f>ROUNDUP((P183+P184),0)</f>
        <v>7</v>
      </c>
      <c r="Q185" s="1"/>
      <c r="R185" s="1">
        <f>ROUNDUP((R183+R184),0)</f>
        <v>7</v>
      </c>
      <c r="S185" s="1">
        <f>ROUNDUP((S183+S184),0)</f>
        <v>7</v>
      </c>
      <c r="T185" s="1"/>
      <c r="U185" s="1">
        <f>ROUNDUP((U183+U184),0)</f>
        <v>7</v>
      </c>
      <c r="V185" s="1">
        <f>ROUNDUP((V183+V184),0)</f>
        <v>7</v>
      </c>
      <c r="W185" s="1"/>
    </row>
    <row r="186" spans="3:23" ht="12.75">
      <c r="C186" s="91"/>
      <c r="D186" s="91"/>
      <c r="E186" s="91"/>
      <c r="F186" s="91" t="s">
        <v>97</v>
      </c>
      <c r="G186" s="1"/>
      <c r="H186" s="1"/>
      <c r="I186" s="1">
        <f>+IF($D48=$D35,IF(MID($E48,1,2)="MG",I190,0),0)+IF($D61=$D35,IF(MID($E61,1,2)="MG",I192,0),0)</f>
        <v>2</v>
      </c>
      <c r="J186" s="1">
        <f>+IF($D48=$D35,IF(MID($E48,1,2)="MG",J190,0),0)+IF($D61=$D35,IF(MID($E61,1,2)="MG",J192,0),0)</f>
        <v>2</v>
      </c>
      <c r="K186" s="1"/>
      <c r="L186" s="1">
        <f>+IF($D48=$D35,IF(MID($E48,1,2)="MG",L190,0),0)+IF($D61=$D35,IF(MID($E61,1,2)="MG",L192,0),0)</f>
        <v>2</v>
      </c>
      <c r="M186" s="1">
        <f>+IF($D48=$D35,IF(MID($E48,1,2)="MG",M190,0),0)+IF($D61=$D35,IF(MID($E61,1,2)="MG",M192,0),0)</f>
        <v>2</v>
      </c>
      <c r="N186" s="1"/>
      <c r="O186" s="1">
        <f>+IF($D48=$D35,IF(MID($E48,1,2)="MG",O190,0),0)+IF($D61=$D35,IF(MID($E61,1,2)="MG",O192,0),0)</f>
        <v>2</v>
      </c>
      <c r="P186" s="1">
        <f>+IF($D48=$D35,IF(MID($E48,1,2)="MG",P190,0),0)+IF($D61=$D35,IF(MID($E61,1,2)="MG",P192,0),0)</f>
        <v>2</v>
      </c>
      <c r="Q186" s="1"/>
      <c r="R186" s="1">
        <f>+IF($D48=$D35,IF(MID($E48,1,2)="MG",R190,0),0)+IF($D61=$D35,IF(MID($E61,1,2)="MG",R192,0),0)</f>
        <v>2</v>
      </c>
      <c r="S186" s="1">
        <f>+IF($D48=$D35,IF(MID($E48,1,2)="MG",S190,0),0)+IF($D61=$D35,IF(MID($E61,1,2)="MG",S192,0),0)</f>
        <v>2</v>
      </c>
      <c r="T186" s="1"/>
      <c r="U186" s="1">
        <f>+IF($D48=$D35,IF(MID($E48,1,2)="MG",U190,0),0)+IF($D61=$D35,IF(MID($E61,1,2)="MG",U192,0),0)</f>
        <v>2</v>
      </c>
      <c r="V186" s="1">
        <f>+IF($D48=$D35,IF(MID($E48,1,2)="MG",V190,0),0)+IF($D61=$D35,IF(MID($E61,1,2)="MG",V192,0),0)</f>
        <v>2</v>
      </c>
      <c r="W186" s="1"/>
    </row>
    <row r="187" spans="3:23" ht="12.75">
      <c r="C187" s="91"/>
      <c r="D187" s="91"/>
      <c r="E187" s="91"/>
      <c r="F187" s="91" t="s">
        <v>98</v>
      </c>
      <c r="G187" s="1"/>
      <c r="H187" s="1"/>
      <c r="I187" s="1">
        <f>SUM(I185:I186)</f>
        <v>9</v>
      </c>
      <c r="J187" s="1">
        <f>SUM(J185:J186)</f>
        <v>9</v>
      </c>
      <c r="K187" s="1"/>
      <c r="L187" s="1">
        <f>SUM(L185:L186)</f>
        <v>9</v>
      </c>
      <c r="M187" s="1">
        <f>SUM(M185:M186)</f>
        <v>9</v>
      </c>
      <c r="N187" s="1"/>
      <c r="O187" s="1">
        <f>SUM(O185:O186)</f>
        <v>9</v>
      </c>
      <c r="P187" s="1">
        <f>SUM(P185:P186)</f>
        <v>9</v>
      </c>
      <c r="Q187" s="1"/>
      <c r="R187" s="1">
        <f>SUM(R185:R186)</f>
        <v>9</v>
      </c>
      <c r="S187" s="1">
        <f>SUM(S185:S186)</f>
        <v>9</v>
      </c>
      <c r="T187" s="1"/>
      <c r="U187" s="1">
        <f>SUM(U185:U186)</f>
        <v>9</v>
      </c>
      <c r="V187" s="1">
        <f>SUM(V185:V186)</f>
        <v>9</v>
      </c>
      <c r="W187" s="1"/>
    </row>
    <row r="188" spans="3:23" ht="12.75">
      <c r="C188" s="91"/>
      <c r="D188" s="91"/>
      <c r="E188" s="91"/>
      <c r="F188" s="91"/>
      <c r="G188" s="1"/>
      <c r="H188" s="1"/>
      <c r="I188" s="1"/>
      <c r="J188" s="1"/>
      <c r="K188" s="1"/>
      <c r="L188" s="1"/>
      <c r="M188" s="1"/>
      <c r="N188" s="1"/>
      <c r="O188" s="1"/>
      <c r="P188" s="1"/>
      <c r="Q188" s="1"/>
      <c r="R188" s="1"/>
      <c r="S188" s="1"/>
      <c r="T188" s="1"/>
      <c r="U188" s="1"/>
      <c r="V188" s="1"/>
      <c r="W188" s="1"/>
    </row>
    <row r="189" spans="3:23" ht="12.75">
      <c r="C189" s="91"/>
      <c r="D189" s="91" t="str">
        <f>+D48</f>
        <v>SO</v>
      </c>
      <c r="E189" s="91" t="str">
        <f>+E48</f>
        <v>MG (LG-ZMLK)</v>
      </c>
      <c r="F189" s="91"/>
      <c r="G189" s="1"/>
      <c r="H189" s="1"/>
      <c r="I189" s="1"/>
      <c r="J189" s="1"/>
      <c r="K189" s="1"/>
      <c r="L189" s="1"/>
      <c r="M189" s="1"/>
      <c r="N189" s="1"/>
      <c r="O189" s="1"/>
      <c r="P189" s="1"/>
      <c r="Q189" s="1"/>
      <c r="R189" s="1"/>
      <c r="S189" s="1"/>
      <c r="T189" s="1"/>
      <c r="U189" s="1"/>
      <c r="V189" s="1"/>
      <c r="W189" s="1"/>
    </row>
    <row r="190" spans="3:23" ht="12.75">
      <c r="C190" s="91"/>
      <c r="D190" s="91"/>
      <c r="E190" s="91">
        <f>IF(F48="ja",1,0)</f>
        <v>1</v>
      </c>
      <c r="F190" s="91">
        <f>IF(D48="",0,VLOOKUP(E48,grgr,IF(D48="SO",2,3),FALSE))</f>
        <v>7</v>
      </c>
      <c r="G190" s="1"/>
      <c r="H190" s="1"/>
      <c r="I190" s="1">
        <f>IF($F190=0,0,IF($G48="ja",0,ROUNDUP((I51+I53)/$F190,0)))</f>
        <v>2</v>
      </c>
      <c r="J190" s="1">
        <f>IF($F190=0,0,IF($G48="ja",0,ROUNDUP((J51+J53)/$F190,0)))</f>
        <v>2</v>
      </c>
      <c r="K190" s="1"/>
      <c r="L190" s="1">
        <f>IF($F190=0,0,IF($G48="ja",0,ROUNDUP((L51+L53)/$F190,0)))</f>
        <v>2</v>
      </c>
      <c r="M190" s="1">
        <f>IF($F190=0,0,IF($G48="ja",0,ROUNDUP((M51+M53)/$F190,0)))</f>
        <v>2</v>
      </c>
      <c r="N190" s="1"/>
      <c r="O190" s="1">
        <f>IF($F190=0,0,IF($G48="ja",0,ROUNDUP((O51+O53)/$F190,0)))</f>
        <v>2</v>
      </c>
      <c r="P190" s="1">
        <f>IF($F190=0,0,IF($G48="ja",0,ROUNDUP((P51+P53)/$F190,0)))</f>
        <v>2</v>
      </c>
      <c r="Q190" s="1"/>
      <c r="R190" s="1">
        <f>IF($F190=0,0,IF($G48="ja",0,ROUNDUP((R51+R53)/$F190,0)))</f>
        <v>2</v>
      </c>
      <c r="S190" s="1">
        <f>IF($F190=0,0,IF($G48="ja",0,ROUNDUP((S51+S53)/$F190,0)))</f>
        <v>2</v>
      </c>
      <c r="T190" s="1"/>
      <c r="U190" s="1">
        <f>IF($F190=0,0,IF($G48="ja",0,ROUNDUP((U51+U53)/$F190,0)))</f>
        <v>2</v>
      </c>
      <c r="V190" s="1">
        <f>IF($F190=0,0,IF($G48="ja",0,ROUNDUP((V51+V53)/$F190,0)))</f>
        <v>2</v>
      </c>
      <c r="W190" s="1"/>
    </row>
    <row r="191" spans="3:23" ht="12.75">
      <c r="C191" s="91"/>
      <c r="D191" s="91" t="str">
        <f>+D61</f>
        <v>SO</v>
      </c>
      <c r="E191" s="91" t="str">
        <f>+E61</f>
        <v>LG</v>
      </c>
      <c r="F191" s="91"/>
      <c r="G191" s="1"/>
      <c r="H191" s="1"/>
      <c r="I191" s="1"/>
      <c r="J191" s="1"/>
      <c r="K191" s="1"/>
      <c r="L191" s="1"/>
      <c r="M191" s="1"/>
      <c r="N191" s="1"/>
      <c r="O191" s="1"/>
      <c r="P191" s="1"/>
      <c r="Q191" s="1"/>
      <c r="R191" s="1"/>
      <c r="S191" s="1"/>
      <c r="T191" s="1"/>
      <c r="U191" s="1"/>
      <c r="V191" s="1"/>
      <c r="W191" s="1"/>
    </row>
    <row r="192" spans="3:23" ht="12.75">
      <c r="C192" s="91"/>
      <c r="D192" s="91"/>
      <c r="E192" s="91">
        <f>IF(F61="ja",1,0)</f>
        <v>0</v>
      </c>
      <c r="F192" s="91">
        <f>IF(D61="",0,VLOOKUP(E61,grgr,IF(D61="SO",2,3),FALSE))</f>
        <v>12</v>
      </c>
      <c r="G192" s="1"/>
      <c r="H192" s="1"/>
      <c r="I192" s="1">
        <f>IF($F192=0,0,IF($G61="ja",0,ROUNDUP((I64+I66)/$F192,0)))</f>
        <v>1</v>
      </c>
      <c r="J192" s="1">
        <f>IF($F192=0,0,IF($G61="ja",0,ROUNDUP((J64+J66)/$F192,0)))</f>
        <v>1</v>
      </c>
      <c r="K192" s="1"/>
      <c r="L192" s="1">
        <f>IF($F192=0,0,IF($G61="ja",0,ROUNDUP((L64+L66)/$F192,0)))</f>
        <v>1</v>
      </c>
      <c r="M192" s="1">
        <f>IF($F192=0,0,IF($G61="ja",0,ROUNDUP((M64+M66)/$F192,0)))</f>
        <v>1</v>
      </c>
      <c r="N192" s="1"/>
      <c r="O192" s="1">
        <f>IF($F192=0,0,IF($G61="ja",0,ROUNDUP((O64+O66)/$F192,0)))</f>
        <v>1</v>
      </c>
      <c r="P192" s="1">
        <f>IF($F192=0,0,IF($G61="ja",0,ROUNDUP((P64+P66)/$F192,0)))</f>
        <v>1</v>
      </c>
      <c r="Q192" s="1"/>
      <c r="R192" s="1">
        <f>IF($F192=0,0,IF($G61="ja",0,ROUNDUP((R64+R66)/$F192,0)))</f>
        <v>1</v>
      </c>
      <c r="S192" s="1">
        <f>IF($F192=0,0,IF($G61="ja",0,ROUNDUP((S64+S66)/$F192,0)))</f>
        <v>1</v>
      </c>
      <c r="T192" s="1"/>
      <c r="U192" s="1">
        <f>IF($F192=0,0,IF($G61="ja",0,ROUNDUP((U64+U66)/$F192,0)))</f>
        <v>1</v>
      </c>
      <c r="V192" s="1">
        <f>IF($F192=0,0,IF($G61="ja",0,ROUNDUP((V64+V66)/$F192,0)))</f>
        <v>1</v>
      </c>
      <c r="W192" s="1"/>
    </row>
    <row r="193" spans="3:23" ht="12.75">
      <c r="C193" s="91"/>
      <c r="D193" s="91"/>
      <c r="E193" s="91"/>
      <c r="F193" s="91"/>
      <c r="G193" s="1"/>
      <c r="H193" s="1"/>
      <c r="I193" s="1"/>
      <c r="J193" s="1"/>
      <c r="K193" s="1"/>
      <c r="L193" s="1"/>
      <c r="M193" s="1"/>
      <c r="N193" s="1"/>
      <c r="O193" s="1"/>
      <c r="P193" s="1"/>
      <c r="Q193" s="1"/>
      <c r="R193" s="1"/>
      <c r="S193" s="1"/>
      <c r="T193" s="1"/>
      <c r="U193" s="1"/>
      <c r="V193" s="1"/>
      <c r="W193" s="1"/>
    </row>
    <row r="194" spans="3:23" ht="12.75">
      <c r="C194" s="91"/>
      <c r="D194" s="2" t="str">
        <f>+D86</f>
        <v>VSO</v>
      </c>
      <c r="E194" s="2" t="str">
        <f>+E86</f>
        <v>ZMLK</v>
      </c>
      <c r="F194" s="91"/>
      <c r="G194" s="1"/>
      <c r="H194" s="1"/>
      <c r="I194" s="1"/>
      <c r="J194" s="1"/>
      <c r="K194" s="1"/>
      <c r="L194" s="1"/>
      <c r="M194" s="1"/>
      <c r="N194" s="1"/>
      <c r="O194" s="1"/>
      <c r="P194" s="1"/>
      <c r="Q194" s="1"/>
      <c r="R194" s="1"/>
      <c r="S194" s="1"/>
      <c r="T194" s="1"/>
      <c r="U194" s="1"/>
      <c r="V194" s="1"/>
      <c r="W194" s="1"/>
    </row>
    <row r="195" spans="3:23" ht="12.75">
      <c r="C195" s="91"/>
      <c r="D195" s="91"/>
      <c r="E195" s="91">
        <f>IF(F86="ja",1,0)</f>
        <v>0</v>
      </c>
      <c r="F195" s="91">
        <f>IF(D86="",0,VLOOKUP(E86,grgr,IF(D86="SO",2,3),FALSE))</f>
        <v>7</v>
      </c>
      <c r="G195" s="1"/>
      <c r="H195" s="1"/>
      <c r="I195" s="186">
        <f>IF($F195=0,0,(I89+I91)/$F195)</f>
        <v>1.4285714285714286</v>
      </c>
      <c r="J195" s="186">
        <f>IF($F195=0,0,(J89+J91)/$F195)</f>
        <v>1.4285714285714286</v>
      </c>
      <c r="K195" s="186"/>
      <c r="L195" s="186">
        <f>IF($F195=0,0,(L89+L91)/$F195)</f>
        <v>1.4285714285714286</v>
      </c>
      <c r="M195" s="186">
        <f aca="true" t="shared" si="31" ref="M195:V195">IF($F195=0,0,(M89+M91)/$F195)</f>
        <v>1.4285714285714286</v>
      </c>
      <c r="N195" s="186"/>
      <c r="O195" s="186">
        <f t="shared" si="31"/>
        <v>1.4285714285714286</v>
      </c>
      <c r="P195" s="186">
        <f t="shared" si="31"/>
        <v>1.4285714285714286</v>
      </c>
      <c r="Q195" s="186"/>
      <c r="R195" s="186">
        <f t="shared" si="31"/>
        <v>1.4285714285714286</v>
      </c>
      <c r="S195" s="186">
        <f t="shared" si="31"/>
        <v>1.4285714285714286</v>
      </c>
      <c r="T195" s="186"/>
      <c r="U195" s="186">
        <f t="shared" si="31"/>
        <v>1.4285714285714286</v>
      </c>
      <c r="V195" s="186">
        <f t="shared" si="31"/>
        <v>1.4285714285714286</v>
      </c>
      <c r="W195" s="1"/>
    </row>
    <row r="196" spans="3:23" ht="12.75">
      <c r="C196" s="91"/>
      <c r="D196" s="91"/>
      <c r="E196" s="91"/>
      <c r="F196" s="91" t="s">
        <v>27</v>
      </c>
      <c r="G196" s="1"/>
      <c r="H196" s="1"/>
      <c r="I196" s="186">
        <f>IF($F195=0,0,(IF(AND($D99=$D86,$G99="ja"),I102+I104,0)+IF(AND($D112=$D86,$G112="ja"),I115+I117,0))/$F195)</f>
        <v>1.4285714285714286</v>
      </c>
      <c r="J196" s="186">
        <f aca="true" t="shared" si="32" ref="J196:V196">IF($F195=0,0,(IF(AND($D99=$D86,$G99="ja"),J102+J104,0)+IF(AND($D112=$D86,$G112="ja"),J115+J117,0))/$F195)</f>
        <v>1.4285714285714286</v>
      </c>
      <c r="K196" s="186"/>
      <c r="L196" s="186">
        <f t="shared" si="32"/>
        <v>1.4285714285714286</v>
      </c>
      <c r="M196" s="186">
        <f t="shared" si="32"/>
        <v>1.4285714285714286</v>
      </c>
      <c r="N196" s="186"/>
      <c r="O196" s="186">
        <f t="shared" si="32"/>
        <v>1.4285714285714286</v>
      </c>
      <c r="P196" s="186">
        <f t="shared" si="32"/>
        <v>1.4285714285714286</v>
      </c>
      <c r="Q196" s="186"/>
      <c r="R196" s="186">
        <f t="shared" si="32"/>
        <v>1.4285714285714286</v>
      </c>
      <c r="S196" s="186">
        <f t="shared" si="32"/>
        <v>1.4285714285714286</v>
      </c>
      <c r="T196" s="186"/>
      <c r="U196" s="186">
        <f t="shared" si="32"/>
        <v>1.4285714285714286</v>
      </c>
      <c r="V196" s="186">
        <f t="shared" si="32"/>
        <v>1.4285714285714286</v>
      </c>
      <c r="W196" s="1"/>
    </row>
    <row r="197" spans="3:23" ht="12.75">
      <c r="C197" s="91"/>
      <c r="D197" s="91"/>
      <c r="E197" s="91"/>
      <c r="F197" s="91" t="s">
        <v>96</v>
      </c>
      <c r="G197" s="1"/>
      <c r="H197" s="1"/>
      <c r="I197" s="1">
        <f>ROUNDUP((I195+I196),0)</f>
        <v>3</v>
      </c>
      <c r="J197" s="1">
        <f>ROUNDUP((J195+J196),0)</f>
        <v>3</v>
      </c>
      <c r="K197" s="1"/>
      <c r="L197" s="1">
        <f>ROUNDUP((L195+L196),0)</f>
        <v>3</v>
      </c>
      <c r="M197" s="1">
        <f>ROUNDUP((M195+M196),0)</f>
        <v>3</v>
      </c>
      <c r="N197" s="1"/>
      <c r="O197" s="1">
        <f>ROUNDUP((O195+O196),0)</f>
        <v>3</v>
      </c>
      <c r="P197" s="1">
        <f>ROUNDUP((P195+P196),0)</f>
        <v>3</v>
      </c>
      <c r="Q197" s="1"/>
      <c r="R197" s="1">
        <f>ROUNDUP((R195+R196),0)</f>
        <v>3</v>
      </c>
      <c r="S197" s="1">
        <f>ROUNDUP((S195+S196),0)</f>
        <v>3</v>
      </c>
      <c r="T197" s="1"/>
      <c r="U197" s="1">
        <f>ROUNDUP((U195+U196),0)</f>
        <v>3</v>
      </c>
      <c r="V197" s="1">
        <f>ROUNDUP((V195+V196),0)</f>
        <v>3</v>
      </c>
      <c r="W197" s="1"/>
    </row>
    <row r="198" spans="3:23" ht="12.75">
      <c r="C198" s="91"/>
      <c r="D198" s="91"/>
      <c r="E198" s="91"/>
      <c r="F198" s="91" t="s">
        <v>97</v>
      </c>
      <c r="G198" s="1"/>
      <c r="H198" s="1"/>
      <c r="I198" s="1">
        <f>+IF($D99=$D86,IF(MID($E99,1,2)="MG",I203,0),0)+IF($D112=$D86,IF(MID($E112,1,2)="MG",I205,0),0)</f>
        <v>2</v>
      </c>
      <c r="J198" s="1">
        <f>+IF($D99=$D86,IF(MID($E99,1,2)="MG",J203,0),0)+IF($D112=$D86,IF(MID($E112,1,2)="MG",J205,0),0)</f>
        <v>2</v>
      </c>
      <c r="K198" s="1"/>
      <c r="L198" s="1">
        <f>+IF($D99=$D86,IF(MID($E99,1,2)="MG",L203,0),0)+IF($D112=$D86,IF(MID($E112,1,2)="MG",L205,0),0)</f>
        <v>2</v>
      </c>
      <c r="M198" s="1">
        <f>+IF($D99=$D86,IF(MID($E99,1,2)="MG",M203,0),0)+IF($D112=$D86,IF(MID($E112,1,2)="MG",M205,0),0)</f>
        <v>2</v>
      </c>
      <c r="N198" s="1"/>
      <c r="O198" s="1">
        <f>+IF($D99=$D86,IF(MID($E99,1,2)="MG",O203,0),0)+IF($D112=$D86,IF(MID($E112,1,2)="MG",O205,0),0)</f>
        <v>2</v>
      </c>
      <c r="P198" s="1">
        <f>+IF($D99=$D86,IF(MID($E99,1,2)="MG",P203,0),0)+IF($D112=$D86,IF(MID($E112,1,2)="MG",P205,0),0)</f>
        <v>2</v>
      </c>
      <c r="Q198" s="1"/>
      <c r="R198" s="1">
        <f>+IF($D99=$D86,IF(MID($E99,1,2)="MG",R203,0),0)+IF($D112=$D86,IF(MID($E112,1,2)="MG",R205,0),0)</f>
        <v>2</v>
      </c>
      <c r="S198" s="1">
        <f>+IF($D99=$D86,IF(MID($E99,1,2)="MG",S203,0),0)+IF($D112=$D86,IF(MID($E112,1,2)="MG",S205,0),0)</f>
        <v>2</v>
      </c>
      <c r="T198" s="1"/>
      <c r="U198" s="1">
        <f>+IF($D99=$D86,IF(MID($E99,1,2)="MG",U203,0),0)+IF($D112=$D86,IF(MID($E112,1,2)="MG",U205,0),0)</f>
        <v>2</v>
      </c>
      <c r="V198" s="1">
        <f>+IF($D99=$D86,IF(MID($E99,1,2)="MG",V203,0),0)+IF($D112=$D86,IF(MID($E112,1,2)="MG",V205,0),0)</f>
        <v>2</v>
      </c>
      <c r="W198" s="1"/>
    </row>
    <row r="199" spans="3:23" ht="12.75">
      <c r="C199" s="91"/>
      <c r="D199" s="91"/>
      <c r="E199" s="91"/>
      <c r="F199" s="91" t="s">
        <v>98</v>
      </c>
      <c r="G199" s="1"/>
      <c r="H199" s="1"/>
      <c r="I199" s="1">
        <f>SUM(I197:I198)</f>
        <v>5</v>
      </c>
      <c r="J199" s="1">
        <f>SUM(J197:J198)</f>
        <v>5</v>
      </c>
      <c r="K199" s="1"/>
      <c r="L199" s="1">
        <f>SUM(L197:L198)</f>
        <v>5</v>
      </c>
      <c r="M199" s="1">
        <f>SUM(M197:M198)</f>
        <v>5</v>
      </c>
      <c r="N199" s="1"/>
      <c r="O199" s="1">
        <f>SUM(O197:O198)</f>
        <v>5</v>
      </c>
      <c r="P199" s="1">
        <f>SUM(P197:P198)</f>
        <v>5</v>
      </c>
      <c r="Q199" s="1"/>
      <c r="R199" s="1">
        <f>SUM(R197:R198)</f>
        <v>5</v>
      </c>
      <c r="S199" s="1">
        <f>SUM(S197:S198)</f>
        <v>5</v>
      </c>
      <c r="T199" s="1"/>
      <c r="U199" s="1">
        <f>SUM(U197:U198)</f>
        <v>5</v>
      </c>
      <c r="V199" s="1">
        <f>SUM(V197:V198)</f>
        <v>5</v>
      </c>
      <c r="W199" s="1"/>
    </row>
    <row r="200" spans="3:23" ht="12.75">
      <c r="C200" s="91"/>
      <c r="D200" s="91"/>
      <c r="E200" s="91"/>
      <c r="F200" s="91"/>
      <c r="G200" s="1"/>
      <c r="H200" s="1"/>
      <c r="I200" s="1"/>
      <c r="J200" s="1"/>
      <c r="K200" s="1"/>
      <c r="L200" s="1"/>
      <c r="M200" s="1"/>
      <c r="N200" s="1"/>
      <c r="O200" s="1"/>
      <c r="P200" s="1"/>
      <c r="Q200" s="1"/>
      <c r="R200" s="1"/>
      <c r="S200" s="1"/>
      <c r="T200" s="1"/>
      <c r="U200" s="1"/>
      <c r="V200" s="1"/>
      <c r="W200" s="1"/>
    </row>
    <row r="201" spans="3:23" ht="12.75">
      <c r="C201" s="91"/>
      <c r="D201" s="91"/>
      <c r="E201" s="91"/>
      <c r="F201" s="91"/>
      <c r="G201" s="1"/>
      <c r="H201" s="1"/>
      <c r="I201" s="1"/>
      <c r="J201" s="1"/>
      <c r="K201" s="1"/>
      <c r="L201" s="1"/>
      <c r="M201" s="1"/>
      <c r="N201" s="1"/>
      <c r="O201" s="1"/>
      <c r="P201" s="1"/>
      <c r="Q201" s="1"/>
      <c r="R201" s="1"/>
      <c r="S201" s="1"/>
      <c r="T201" s="1"/>
      <c r="U201" s="1"/>
      <c r="V201" s="1"/>
      <c r="W201" s="1"/>
    </row>
    <row r="202" spans="3:23" ht="12.75">
      <c r="C202" s="91"/>
      <c r="D202" s="91" t="str">
        <f>+D99</f>
        <v>VSO</v>
      </c>
      <c r="E202" s="91" t="str">
        <f>+E99</f>
        <v>MG (LG-ZMLK)</v>
      </c>
      <c r="F202" s="91"/>
      <c r="G202" s="1"/>
      <c r="H202" s="1"/>
      <c r="I202" s="1"/>
      <c r="J202" s="1"/>
      <c r="K202" s="1"/>
      <c r="L202" s="1"/>
      <c r="M202" s="1"/>
      <c r="N202" s="1"/>
      <c r="O202" s="1"/>
      <c r="P202" s="1"/>
      <c r="Q202" s="1"/>
      <c r="R202" s="1"/>
      <c r="S202" s="1"/>
      <c r="T202" s="1"/>
      <c r="U202" s="1"/>
      <c r="V202" s="1"/>
      <c r="W202" s="1"/>
    </row>
    <row r="203" spans="3:23" ht="12.75">
      <c r="C203" s="91"/>
      <c r="D203" s="91"/>
      <c r="E203" s="91">
        <f>IF(F99="ja",1,0)</f>
        <v>1</v>
      </c>
      <c r="F203" s="91">
        <f>IF(D99="",0,VLOOKUP(E99,grgr,IF(D99="SO",2,3),FALSE))</f>
        <v>7</v>
      </c>
      <c r="G203" s="1"/>
      <c r="H203" s="1"/>
      <c r="I203" s="1">
        <f>IF($F203=0,0,IF($G99="ja",0,ROUNDUP((I102+I104)/$F203,0)))</f>
        <v>2</v>
      </c>
      <c r="J203" s="1">
        <f>IF($F203=0,0,IF($G99="ja",0,ROUNDUP((J102+J104)/$F203,0)))</f>
        <v>2</v>
      </c>
      <c r="K203" s="1"/>
      <c r="L203" s="1">
        <f>IF($F203=0,0,IF($G99="ja",0,ROUNDUP((L102+L104)/$F203,0)))</f>
        <v>2</v>
      </c>
      <c r="M203" s="1">
        <f>IF($F203=0,0,IF($G99="ja",0,ROUNDUP((M102+M104)/$F203,0)))</f>
        <v>2</v>
      </c>
      <c r="N203" s="1"/>
      <c r="O203" s="1">
        <f>IF($F203=0,0,IF($G99="ja",0,ROUNDUP((O102+O104)/$F203,0)))</f>
        <v>2</v>
      </c>
      <c r="P203" s="1">
        <f>IF($F203=0,0,IF($G99="ja",0,ROUNDUP((P102+P104)/$F203,0)))</f>
        <v>2</v>
      </c>
      <c r="Q203" s="1"/>
      <c r="R203" s="1">
        <f>IF($F203=0,0,IF($G99="ja",0,ROUNDUP((R102+R104)/$F203,0)))</f>
        <v>2</v>
      </c>
      <c r="S203" s="1">
        <f>IF($F203=0,0,IF($G99="ja",0,ROUNDUP((S102+S104)/$F203,0)))</f>
        <v>2</v>
      </c>
      <c r="T203" s="1"/>
      <c r="U203" s="1">
        <f>IF($F203=0,0,IF($G99="ja",0,ROUNDUP((U102+U104)/$F203,0)))</f>
        <v>2</v>
      </c>
      <c r="V203" s="1">
        <f>IF($F203=0,0,IF($G99="ja",0,ROUNDUP((V102+V104)/$F203,0)))</f>
        <v>2</v>
      </c>
      <c r="W203" s="1"/>
    </row>
    <row r="204" spans="3:23" ht="12.75">
      <c r="C204" s="91"/>
      <c r="D204" s="91" t="str">
        <f>+D112</f>
        <v>VSO</v>
      </c>
      <c r="E204" s="91" t="str">
        <f>+E112</f>
        <v>LG</v>
      </c>
      <c r="F204" s="91"/>
      <c r="G204" s="1"/>
      <c r="H204" s="1"/>
      <c r="I204" s="1"/>
      <c r="J204" s="1"/>
      <c r="K204" s="1"/>
      <c r="L204" s="1"/>
      <c r="M204" s="1"/>
      <c r="N204" s="1"/>
      <c r="O204" s="1"/>
      <c r="P204" s="1"/>
      <c r="Q204" s="1"/>
      <c r="R204" s="1"/>
      <c r="S204" s="1"/>
      <c r="T204" s="1"/>
      <c r="U204" s="1"/>
      <c r="V204" s="1"/>
      <c r="W204" s="1"/>
    </row>
    <row r="205" spans="3:23" ht="12.75">
      <c r="C205" s="91"/>
      <c r="D205" s="91"/>
      <c r="E205" s="91">
        <f>IF(F112="ja",1,0)</f>
        <v>0</v>
      </c>
      <c r="F205" s="91">
        <f>IF(D112="",0,VLOOKUP(E112,grgr,IF(D112="SO",2,3),FALSE))</f>
        <v>7</v>
      </c>
      <c r="G205" s="1"/>
      <c r="H205" s="1"/>
      <c r="I205" s="1">
        <f>IF($F205=0,0,IF($G112="ja",0,ROUNDUP((I115+I117)/$F205,0)))</f>
        <v>0</v>
      </c>
      <c r="J205" s="1">
        <f>IF($F205=0,0,IF($G112="ja",0,ROUNDUP((J115+J117)/$F205,0)))</f>
        <v>0</v>
      </c>
      <c r="K205" s="1"/>
      <c r="L205" s="1">
        <f>IF($F205=0,0,IF($G112="ja",0,ROUNDUP((L115+L117)/$F205,0)))</f>
        <v>0</v>
      </c>
      <c r="M205" s="1">
        <f>IF($F205=0,0,IF($G112="ja",0,ROUNDUP((M115+M117)/$F205,0)))</f>
        <v>0</v>
      </c>
      <c r="N205" s="1"/>
      <c r="O205" s="1">
        <f>IF($F205=0,0,IF($G112="ja",0,ROUNDUP((O115+O117)/$F205,0)))</f>
        <v>0</v>
      </c>
      <c r="P205" s="1">
        <f>IF($F205=0,0,IF($G112="ja",0,ROUNDUP((P115+P117)/$F205,0)))</f>
        <v>0</v>
      </c>
      <c r="Q205" s="1"/>
      <c r="R205" s="1">
        <f>IF($F205=0,0,IF($G112="ja",0,ROUNDUP((R115+R117)/$F205,0)))</f>
        <v>0</v>
      </c>
      <c r="S205" s="1">
        <f>IF($F205=0,0,IF($G112="ja",0,ROUNDUP((S115+S117)/$F205,0)))</f>
        <v>0</v>
      </c>
      <c r="T205" s="1"/>
      <c r="U205" s="1">
        <f>IF($F205=0,0,IF($G112="ja",0,ROUNDUP((U115+U117)/$F205,0)))</f>
        <v>0</v>
      </c>
      <c r="V205" s="1">
        <f>IF($F205=0,0,IF($G112="ja",0,ROUNDUP((V115+V117)/$F205,0)))</f>
        <v>0</v>
      </c>
      <c r="W205" s="1"/>
    </row>
    <row r="206" spans="3:23" ht="12.75">
      <c r="C206" s="91"/>
      <c r="D206" s="91"/>
      <c r="E206" s="91"/>
      <c r="F206" s="91"/>
      <c r="G206" s="1"/>
      <c r="H206" s="1"/>
      <c r="I206" s="1"/>
      <c r="J206" s="1"/>
      <c r="K206" s="1"/>
      <c r="L206" s="1"/>
      <c r="M206" s="1"/>
      <c r="N206" s="1"/>
      <c r="O206" s="1"/>
      <c r="P206" s="1"/>
      <c r="Q206" s="1"/>
      <c r="R206" s="1"/>
      <c r="S206" s="1"/>
      <c r="T206" s="1"/>
      <c r="U206" s="1"/>
      <c r="V206" s="1"/>
      <c r="W206" s="1"/>
    </row>
    <row r="207" spans="3:23" ht="12.75">
      <c r="C207" s="91"/>
      <c r="D207" s="91"/>
      <c r="E207" s="91"/>
      <c r="F207" s="91"/>
      <c r="G207" s="1"/>
      <c r="H207" s="1"/>
      <c r="I207" s="1"/>
      <c r="J207" s="1"/>
      <c r="K207" s="1"/>
      <c r="L207" s="1"/>
      <c r="M207" s="1"/>
      <c r="N207" s="1"/>
      <c r="O207" s="1"/>
      <c r="P207" s="1"/>
      <c r="Q207" s="1"/>
      <c r="R207" s="1"/>
      <c r="S207" s="1"/>
      <c r="T207" s="1"/>
      <c r="U207" s="1"/>
      <c r="V207" s="1"/>
      <c r="W207" s="1"/>
    </row>
    <row r="208" spans="3:23" ht="12.75">
      <c r="C208" s="91"/>
      <c r="D208" s="91"/>
      <c r="E208" s="91"/>
      <c r="F208" s="91"/>
      <c r="G208" s="1"/>
      <c r="H208" s="1"/>
      <c r="I208" s="1" t="s">
        <v>605</v>
      </c>
      <c r="J208" s="1"/>
      <c r="K208" s="1"/>
      <c r="L208" s="1"/>
      <c r="M208" s="1"/>
      <c r="N208" s="1"/>
      <c r="O208" s="1"/>
      <c r="P208" s="1"/>
      <c r="Q208" s="1"/>
      <c r="R208" s="1"/>
      <c r="S208" s="1"/>
      <c r="T208" s="1"/>
      <c r="U208" s="1"/>
      <c r="V208" s="1"/>
      <c r="W208" s="1"/>
    </row>
    <row r="209" spans="3:23" ht="12.75">
      <c r="C209" s="91"/>
      <c r="D209" s="91"/>
      <c r="E209" s="91"/>
      <c r="F209" s="91"/>
      <c r="G209" s="1"/>
      <c r="H209" s="1"/>
      <c r="I209" s="432">
        <f>+I181</f>
        <v>39722</v>
      </c>
      <c r="J209" s="432">
        <f>+J181</f>
        <v>39829</v>
      </c>
      <c r="K209" s="1"/>
      <c r="L209" s="432">
        <f>+L181</f>
        <v>40087</v>
      </c>
      <c r="M209" s="432">
        <f>+M181</f>
        <v>40194</v>
      </c>
      <c r="N209" s="1"/>
      <c r="O209" s="432">
        <f>+O181</f>
        <v>40452</v>
      </c>
      <c r="P209" s="432">
        <f>+P181</f>
        <v>40559</v>
      </c>
      <c r="Q209" s="1"/>
      <c r="R209" s="432">
        <f>+R181</f>
        <v>40817</v>
      </c>
      <c r="S209" s="432">
        <f>+S181</f>
        <v>40924</v>
      </c>
      <c r="T209" s="1"/>
      <c r="U209" s="432">
        <f>+U181</f>
        <v>41183</v>
      </c>
      <c r="V209" s="432">
        <f>+V181</f>
        <v>41290</v>
      </c>
      <c r="W209" s="1"/>
    </row>
    <row r="210" spans="3:23" ht="12.75">
      <c r="C210" s="91"/>
      <c r="D210" s="91"/>
      <c r="E210" s="91" t="s">
        <v>607</v>
      </c>
      <c r="F210" s="91" t="s">
        <v>606</v>
      </c>
      <c r="G210" s="1"/>
      <c r="H210" s="1"/>
      <c r="I210" s="1"/>
      <c r="J210" s="1"/>
      <c r="K210" s="1"/>
      <c r="L210" s="1"/>
      <c r="M210" s="1"/>
      <c r="N210" s="1"/>
      <c r="O210" s="1"/>
      <c r="P210" s="1"/>
      <c r="Q210" s="1"/>
      <c r="R210" s="1"/>
      <c r="S210" s="1"/>
      <c r="T210" s="1"/>
      <c r="U210" s="1"/>
      <c r="V210" s="1"/>
      <c r="W210" s="1"/>
    </row>
    <row r="211" spans="3:23" ht="12.75">
      <c r="C211" s="91"/>
      <c r="D211" s="91"/>
      <c r="E211" s="91">
        <v>1</v>
      </c>
      <c r="F211" s="91">
        <f>+F183</f>
        <v>12</v>
      </c>
      <c r="G211" s="1"/>
      <c r="H211" s="1"/>
      <c r="I211" s="1">
        <f>+I185</f>
        <v>7</v>
      </c>
      <c r="J211" s="1">
        <f>+J185</f>
        <v>7</v>
      </c>
      <c r="K211" s="1"/>
      <c r="L211" s="1">
        <f>+L185</f>
        <v>7</v>
      </c>
      <c r="M211" s="1">
        <f>+M185</f>
        <v>7</v>
      </c>
      <c r="N211" s="1"/>
      <c r="O211" s="1">
        <f>+O185</f>
        <v>7</v>
      </c>
      <c r="P211" s="1">
        <f>+P185</f>
        <v>7</v>
      </c>
      <c r="Q211" s="1"/>
      <c r="R211" s="1">
        <f>+R185</f>
        <v>7</v>
      </c>
      <c r="S211" s="1">
        <f>+S185</f>
        <v>7</v>
      </c>
      <c r="T211" s="1"/>
      <c r="U211" s="1">
        <f>+U185</f>
        <v>7</v>
      </c>
      <c r="V211" s="1">
        <f>+V185</f>
        <v>7</v>
      </c>
      <c r="W211" s="1"/>
    </row>
    <row r="212" spans="3:23" ht="12.75">
      <c r="C212" s="91"/>
      <c r="D212" s="91"/>
      <c r="E212" s="91">
        <v>2</v>
      </c>
      <c r="F212" s="91">
        <f>+F190</f>
        <v>7</v>
      </c>
      <c r="G212" s="1"/>
      <c r="H212" s="1"/>
      <c r="I212" s="1">
        <f>+I190</f>
        <v>2</v>
      </c>
      <c r="J212" s="1">
        <f>+J190</f>
        <v>2</v>
      </c>
      <c r="K212" s="1"/>
      <c r="L212" s="1">
        <f>+L190</f>
        <v>2</v>
      </c>
      <c r="M212" s="1">
        <f>+M190</f>
        <v>2</v>
      </c>
      <c r="N212" s="1"/>
      <c r="O212" s="1">
        <f>+O190</f>
        <v>2</v>
      </c>
      <c r="P212" s="1">
        <f>+P190</f>
        <v>2</v>
      </c>
      <c r="Q212" s="1"/>
      <c r="R212" s="1">
        <f>+R190</f>
        <v>2</v>
      </c>
      <c r="S212" s="1">
        <f>+S190</f>
        <v>2</v>
      </c>
      <c r="T212" s="1"/>
      <c r="U212" s="1">
        <f>+U190</f>
        <v>2</v>
      </c>
      <c r="V212" s="1">
        <f>+V190</f>
        <v>2</v>
      </c>
      <c r="W212" s="1"/>
    </row>
    <row r="213" spans="3:23" ht="12.75">
      <c r="C213" s="91"/>
      <c r="D213" s="91"/>
      <c r="E213" s="91">
        <v>3</v>
      </c>
      <c r="F213" s="91">
        <f>+F192</f>
        <v>12</v>
      </c>
      <c r="G213" s="1"/>
      <c r="H213" s="1"/>
      <c r="I213" s="1">
        <f>I192</f>
        <v>1</v>
      </c>
      <c r="J213" s="1">
        <f>J192</f>
        <v>1</v>
      </c>
      <c r="K213" s="1"/>
      <c r="L213" s="1">
        <f>L192</f>
        <v>1</v>
      </c>
      <c r="M213" s="1">
        <f>M192</f>
        <v>1</v>
      </c>
      <c r="N213" s="1"/>
      <c r="O213" s="1">
        <f>O192</f>
        <v>1</v>
      </c>
      <c r="P213" s="1">
        <f>P192</f>
        <v>1</v>
      </c>
      <c r="Q213" s="1"/>
      <c r="R213" s="1">
        <f>R192</f>
        <v>1</v>
      </c>
      <c r="S213" s="1">
        <f>S192</f>
        <v>1</v>
      </c>
      <c r="T213" s="1"/>
      <c r="U213" s="1">
        <f>U192</f>
        <v>1</v>
      </c>
      <c r="V213" s="1">
        <f>V192</f>
        <v>1</v>
      </c>
      <c r="W213" s="1"/>
    </row>
    <row r="214" spans="3:23" ht="12.75">
      <c r="C214" s="91"/>
      <c r="D214" s="91"/>
      <c r="E214" s="91" t="s">
        <v>1</v>
      </c>
      <c r="F214" s="91"/>
      <c r="G214" s="1"/>
      <c r="H214" s="1"/>
      <c r="I214" s="1">
        <f>SUM(I211:I213)</f>
        <v>10</v>
      </c>
      <c r="J214" s="1">
        <f aca="true" t="shared" si="33" ref="J214:V214">SUM(J211:J213)</f>
        <v>10</v>
      </c>
      <c r="K214" s="1"/>
      <c r="L214" s="1">
        <f t="shared" si="33"/>
        <v>10</v>
      </c>
      <c r="M214" s="1">
        <f t="shared" si="33"/>
        <v>10</v>
      </c>
      <c r="N214" s="1"/>
      <c r="O214" s="1">
        <f t="shared" si="33"/>
        <v>10</v>
      </c>
      <c r="P214" s="1">
        <f t="shared" si="33"/>
        <v>10</v>
      </c>
      <c r="Q214" s="1"/>
      <c r="R214" s="1">
        <f t="shared" si="33"/>
        <v>10</v>
      </c>
      <c r="S214" s="1">
        <f t="shared" si="33"/>
        <v>10</v>
      </c>
      <c r="T214" s="1"/>
      <c r="U214" s="1">
        <f t="shared" si="33"/>
        <v>10</v>
      </c>
      <c r="V214" s="1">
        <f t="shared" si="33"/>
        <v>10</v>
      </c>
      <c r="W214" s="1"/>
    </row>
    <row r="215" spans="3:23" ht="12.75">
      <c r="C215" s="91"/>
      <c r="D215" s="91"/>
      <c r="E215" s="91">
        <v>4</v>
      </c>
      <c r="F215" s="91">
        <f>+F195</f>
        <v>7</v>
      </c>
      <c r="G215" s="1"/>
      <c r="H215" s="1"/>
      <c r="I215" s="1">
        <f>+I197</f>
        <v>3</v>
      </c>
      <c r="J215" s="1">
        <f>+J197</f>
        <v>3</v>
      </c>
      <c r="K215" s="1"/>
      <c r="L215" s="1">
        <f>+L197</f>
        <v>3</v>
      </c>
      <c r="M215" s="1">
        <f>+M197</f>
        <v>3</v>
      </c>
      <c r="N215" s="1"/>
      <c r="O215" s="1">
        <f>+O197</f>
        <v>3</v>
      </c>
      <c r="P215" s="1">
        <f>+P197</f>
        <v>3</v>
      </c>
      <c r="Q215" s="1"/>
      <c r="R215" s="1">
        <f>+R197</f>
        <v>3</v>
      </c>
      <c r="S215" s="1">
        <f>+S197</f>
        <v>3</v>
      </c>
      <c r="T215" s="1"/>
      <c r="U215" s="1">
        <f>+U197</f>
        <v>3</v>
      </c>
      <c r="V215" s="1">
        <f>+V197</f>
        <v>3</v>
      </c>
      <c r="W215" s="1"/>
    </row>
    <row r="216" spans="3:23" ht="12.75">
      <c r="C216" s="91"/>
      <c r="D216" s="91"/>
      <c r="E216" s="91">
        <v>5</v>
      </c>
      <c r="F216" s="91">
        <f>+F203</f>
        <v>7</v>
      </c>
      <c r="G216" s="1"/>
      <c r="H216" s="1"/>
      <c r="I216" s="1">
        <f>+I203</f>
        <v>2</v>
      </c>
      <c r="J216" s="1">
        <f>+J203</f>
        <v>2</v>
      </c>
      <c r="K216" s="1"/>
      <c r="L216" s="1">
        <f>+L203</f>
        <v>2</v>
      </c>
      <c r="M216" s="1">
        <f>+M203</f>
        <v>2</v>
      </c>
      <c r="N216" s="1"/>
      <c r="O216" s="1">
        <f>+O203</f>
        <v>2</v>
      </c>
      <c r="P216" s="1">
        <f>+P203</f>
        <v>2</v>
      </c>
      <c r="Q216" s="1"/>
      <c r="R216" s="1">
        <f>+R203</f>
        <v>2</v>
      </c>
      <c r="S216" s="1">
        <f>+S203</f>
        <v>2</v>
      </c>
      <c r="T216" s="1"/>
      <c r="U216" s="1">
        <f>+U203</f>
        <v>2</v>
      </c>
      <c r="V216" s="1">
        <f>+V203</f>
        <v>2</v>
      </c>
      <c r="W216" s="1"/>
    </row>
    <row r="217" spans="3:23" ht="12.75">
      <c r="C217" s="91"/>
      <c r="D217" s="91"/>
      <c r="E217" s="91">
        <v>6</v>
      </c>
      <c r="F217" s="91">
        <f>+F205</f>
        <v>7</v>
      </c>
      <c r="G217" s="1"/>
      <c r="H217" s="1"/>
      <c r="I217" s="1">
        <f>+I205</f>
        <v>0</v>
      </c>
      <c r="J217" s="1">
        <f>+J205</f>
        <v>0</v>
      </c>
      <c r="K217" s="1"/>
      <c r="L217" s="1">
        <f>+L205</f>
        <v>0</v>
      </c>
      <c r="M217" s="1">
        <f>+M205</f>
        <v>0</v>
      </c>
      <c r="N217" s="1"/>
      <c r="O217" s="1">
        <f>+O205</f>
        <v>0</v>
      </c>
      <c r="P217" s="1">
        <f>+P205</f>
        <v>0</v>
      </c>
      <c r="Q217" s="1"/>
      <c r="R217" s="1">
        <f>+R205</f>
        <v>0</v>
      </c>
      <c r="S217" s="1">
        <f>+S205</f>
        <v>0</v>
      </c>
      <c r="T217" s="1"/>
      <c r="U217" s="1">
        <f>+U205</f>
        <v>0</v>
      </c>
      <c r="V217" s="1">
        <f>+V205</f>
        <v>0</v>
      </c>
      <c r="W217" s="1"/>
    </row>
    <row r="218" spans="3:23" ht="12.75">
      <c r="C218" s="91"/>
      <c r="D218" s="91"/>
      <c r="E218" s="91" t="s">
        <v>2</v>
      </c>
      <c r="F218" s="91"/>
      <c r="G218" s="1"/>
      <c r="H218" s="1"/>
      <c r="I218" s="1">
        <f>SUM(I215:I217)</f>
        <v>5</v>
      </c>
      <c r="J218" s="1">
        <f aca="true" t="shared" si="34" ref="J218:V218">SUM(J215:J217)</f>
        <v>5</v>
      </c>
      <c r="K218" s="1"/>
      <c r="L218" s="1">
        <f t="shared" si="34"/>
        <v>5</v>
      </c>
      <c r="M218" s="1">
        <f t="shared" si="34"/>
        <v>5</v>
      </c>
      <c r="N218" s="1"/>
      <c r="O218" s="1">
        <f t="shared" si="34"/>
        <v>5</v>
      </c>
      <c r="P218" s="1">
        <f t="shared" si="34"/>
        <v>5</v>
      </c>
      <c r="Q218" s="1"/>
      <c r="R218" s="1">
        <f t="shared" si="34"/>
        <v>5</v>
      </c>
      <c r="S218" s="1">
        <f t="shared" si="34"/>
        <v>5</v>
      </c>
      <c r="T218" s="1"/>
      <c r="U218" s="1">
        <f t="shared" si="34"/>
        <v>5</v>
      </c>
      <c r="V218" s="1">
        <f t="shared" si="34"/>
        <v>5</v>
      </c>
      <c r="W218" s="1"/>
    </row>
    <row r="219" spans="3:23" ht="12.75">
      <c r="C219" s="91"/>
      <c r="D219" s="91"/>
      <c r="E219" s="91" t="s">
        <v>577</v>
      </c>
      <c r="F219" s="91"/>
      <c r="G219" s="1"/>
      <c r="H219" s="1"/>
      <c r="I219" s="1">
        <f>+I214+I218</f>
        <v>15</v>
      </c>
      <c r="J219" s="1">
        <f aca="true" t="shared" si="35" ref="J219:V219">+J214+J218</f>
        <v>15</v>
      </c>
      <c r="K219" s="1"/>
      <c r="L219" s="1">
        <f t="shared" si="35"/>
        <v>15</v>
      </c>
      <c r="M219" s="1">
        <f t="shared" si="35"/>
        <v>15</v>
      </c>
      <c r="N219" s="1"/>
      <c r="O219" s="1">
        <f t="shared" si="35"/>
        <v>15</v>
      </c>
      <c r="P219" s="1">
        <f t="shared" si="35"/>
        <v>15</v>
      </c>
      <c r="Q219" s="1"/>
      <c r="R219" s="1">
        <f t="shared" si="35"/>
        <v>15</v>
      </c>
      <c r="S219" s="1">
        <f t="shared" si="35"/>
        <v>15</v>
      </c>
      <c r="T219" s="1"/>
      <c r="U219" s="1">
        <f t="shared" si="35"/>
        <v>15</v>
      </c>
      <c r="V219" s="1">
        <f t="shared" si="35"/>
        <v>15</v>
      </c>
      <c r="W219" s="1"/>
    </row>
    <row r="220" spans="3:23" ht="12.75">
      <c r="C220" s="1"/>
      <c r="D220" s="1"/>
      <c r="E220" s="1"/>
      <c r="F220" s="1"/>
      <c r="G220" s="1"/>
      <c r="H220" s="1"/>
      <c r="I220" s="1"/>
      <c r="J220" s="1"/>
      <c r="K220" s="1"/>
      <c r="L220" s="1"/>
      <c r="M220" s="1"/>
      <c r="N220" s="1"/>
      <c r="O220" s="1"/>
      <c r="P220" s="1"/>
      <c r="Q220" s="1"/>
      <c r="R220" s="25"/>
      <c r="S220" s="25"/>
      <c r="T220" s="25"/>
      <c r="U220" s="1"/>
      <c r="V220" s="25"/>
      <c r="W220" s="1"/>
    </row>
    <row r="221" spans="4:21" ht="12.75">
      <c r="D221" s="36"/>
      <c r="E221" s="64"/>
      <c r="G221" s="69"/>
      <c r="Q221" s="7"/>
      <c r="T221" s="8"/>
      <c r="U221" s="7"/>
    </row>
    <row r="222" spans="4:21" ht="12.75">
      <c r="D222" s="36"/>
      <c r="E222" s="64"/>
      <c r="G222" s="69"/>
      <c r="Q222" s="7"/>
      <c r="T222" s="8"/>
      <c r="U222" s="7"/>
    </row>
    <row r="223" ht="12.75">
      <c r="AV223" s="8"/>
    </row>
    <row r="224" spans="4:10" ht="12.75">
      <c r="D224" s="7" t="s">
        <v>565</v>
      </c>
      <c r="F224" s="99">
        <f>VLOOKUP(I15,grgr,2,FALSE)</f>
        <v>12</v>
      </c>
      <c r="G224" s="99">
        <f>VLOOKUP(I15,grgr,3,FALSE)</f>
        <v>7</v>
      </c>
      <c r="I224" s="7" t="s">
        <v>469</v>
      </c>
      <c r="J224" s="7" t="s">
        <v>471</v>
      </c>
    </row>
    <row r="225" spans="4:10" ht="12" customHeight="1">
      <c r="D225" s="7" t="s">
        <v>566</v>
      </c>
      <c r="F225" s="7" t="s">
        <v>469</v>
      </c>
      <c r="G225" s="7" t="s">
        <v>486</v>
      </c>
      <c r="I225" s="7"/>
      <c r="J225" s="7" t="s">
        <v>472</v>
      </c>
    </row>
    <row r="226" spans="6:10" ht="12" customHeight="1">
      <c r="F226" s="7" t="s">
        <v>486</v>
      </c>
      <c r="I226" s="7"/>
      <c r="J226" s="65" t="s">
        <v>473</v>
      </c>
    </row>
    <row r="227" spans="6:10" ht="12" customHeight="1">
      <c r="F227" s="7" t="s">
        <v>530</v>
      </c>
      <c r="I227" s="7"/>
      <c r="J227" s="65" t="s">
        <v>474</v>
      </c>
    </row>
    <row r="228" spans="4:10" ht="12" customHeight="1">
      <c r="D228" s="36"/>
      <c r="E228" s="64"/>
      <c r="G228" s="69"/>
      <c r="I228" s="7"/>
      <c r="J228" s="65" t="s">
        <v>475</v>
      </c>
    </row>
    <row r="229" spans="4:10" ht="12" customHeight="1">
      <c r="D229" s="36"/>
      <c r="E229" s="64"/>
      <c r="G229" s="69"/>
      <c r="I229" s="7"/>
      <c r="J229" s="65" t="s">
        <v>476</v>
      </c>
    </row>
    <row r="230" spans="4:10" ht="12" customHeight="1">
      <c r="D230" s="36"/>
      <c r="E230" s="64"/>
      <c r="G230" s="69"/>
      <c r="I230" s="7"/>
      <c r="J230" s="65" t="s">
        <v>477</v>
      </c>
    </row>
    <row r="231" spans="4:10" ht="12" customHeight="1">
      <c r="D231" s="36"/>
      <c r="E231" s="64"/>
      <c r="G231" s="69"/>
      <c r="I231" s="7"/>
      <c r="J231" s="65" t="s">
        <v>478</v>
      </c>
    </row>
    <row r="232" spans="4:10" ht="12" customHeight="1">
      <c r="D232" s="36"/>
      <c r="E232" s="64"/>
      <c r="G232" s="69"/>
      <c r="I232" s="7"/>
      <c r="J232" s="65" t="s">
        <v>479</v>
      </c>
    </row>
    <row r="233" spans="4:10" ht="12" customHeight="1">
      <c r="D233" s="63"/>
      <c r="E233" s="64"/>
      <c r="G233" s="69"/>
      <c r="I233" s="7"/>
      <c r="J233" s="65" t="s">
        <v>480</v>
      </c>
    </row>
    <row r="234" spans="4:10" ht="12" customHeight="1">
      <c r="D234" s="63"/>
      <c r="E234" s="64"/>
      <c r="G234" s="69"/>
      <c r="I234" s="7"/>
      <c r="J234" s="65" t="s">
        <v>481</v>
      </c>
    </row>
    <row r="235" spans="4:10" ht="12" customHeight="1">
      <c r="D235" s="63"/>
      <c r="E235" s="64"/>
      <c r="G235" s="69"/>
      <c r="I235" s="7"/>
      <c r="J235" s="65" t="s">
        <v>482</v>
      </c>
    </row>
    <row r="236" spans="4:10" ht="12" customHeight="1">
      <c r="D236" s="63"/>
      <c r="E236" s="64"/>
      <c r="G236" s="69"/>
      <c r="I236" s="7"/>
      <c r="J236" s="65" t="s">
        <v>483</v>
      </c>
    </row>
    <row r="237" spans="9:10" ht="12" customHeight="1">
      <c r="I237" s="7"/>
      <c r="J237" s="65" t="s">
        <v>484</v>
      </c>
    </row>
    <row r="238" spans="9:10" ht="12" customHeight="1">
      <c r="I238" s="7"/>
      <c r="J238" s="65" t="s">
        <v>485</v>
      </c>
    </row>
    <row r="239" spans="9:10" ht="12" customHeight="1">
      <c r="I239" s="7" t="s">
        <v>486</v>
      </c>
      <c r="J239" s="7" t="s">
        <v>471</v>
      </c>
    </row>
    <row r="240" spans="9:10" ht="12" customHeight="1">
      <c r="I240" s="7"/>
      <c r="J240" s="7" t="s">
        <v>472</v>
      </c>
    </row>
    <row r="241" spans="9:10" ht="12" customHeight="1">
      <c r="I241" s="7"/>
      <c r="J241" s="65" t="s">
        <v>473</v>
      </c>
    </row>
    <row r="242" spans="9:10" ht="12" customHeight="1">
      <c r="I242" s="7"/>
      <c r="J242" s="65" t="s">
        <v>474</v>
      </c>
    </row>
    <row r="243" spans="9:10" ht="12" customHeight="1">
      <c r="I243" s="7"/>
      <c r="J243" s="65" t="s">
        <v>477</v>
      </c>
    </row>
    <row r="244" spans="9:10" ht="12" customHeight="1">
      <c r="I244" s="7"/>
      <c r="J244" s="65" t="s">
        <v>478</v>
      </c>
    </row>
    <row r="245" spans="9:10" ht="12" customHeight="1">
      <c r="I245" s="7"/>
      <c r="J245" s="65" t="s">
        <v>479</v>
      </c>
    </row>
    <row r="246" spans="9:10" ht="12" customHeight="1">
      <c r="I246" s="7"/>
      <c r="J246" s="65" t="s">
        <v>480</v>
      </c>
    </row>
    <row r="247" spans="9:10" ht="12" customHeight="1">
      <c r="I247" s="7"/>
      <c r="J247" s="65" t="s">
        <v>481</v>
      </c>
    </row>
    <row r="248" spans="9:10" ht="12" customHeight="1">
      <c r="I248" s="7"/>
      <c r="J248" s="65" t="s">
        <v>482</v>
      </c>
    </row>
    <row r="249" spans="9:10" ht="12" customHeight="1">
      <c r="I249" s="7"/>
      <c r="J249" s="65" t="s">
        <v>483</v>
      </c>
    </row>
    <row r="250" spans="9:10" ht="12" customHeight="1">
      <c r="I250" s="7"/>
      <c r="J250" s="65" t="s">
        <v>484</v>
      </c>
    </row>
    <row r="251" spans="9:10" ht="12" customHeight="1">
      <c r="I251" s="7"/>
      <c r="J251" s="65" t="s">
        <v>485</v>
      </c>
    </row>
    <row r="252" spans="9:10" ht="12" customHeight="1">
      <c r="I252" s="7"/>
      <c r="J252" s="7"/>
    </row>
    <row r="253" ht="12" customHeight="1"/>
    <row r="254" ht="12" customHeight="1"/>
    <row r="255" ht="12" customHeight="1"/>
    <row r="256" ht="12" customHeight="1"/>
    <row r="322" ht="12.75">
      <c r="AM322" s="81"/>
    </row>
    <row r="359" ht="12.75">
      <c r="AC359" s="36"/>
    </row>
    <row r="360" ht="12.75">
      <c r="AC360" s="36"/>
    </row>
    <row r="361" ht="12.75">
      <c r="AD361" s="36"/>
    </row>
  </sheetData>
  <sheetProtection password="DE55" sheet="1" objects="1" scenarios="1"/>
  <mergeCells count="15">
    <mergeCell ref="R78:S78"/>
    <mergeCell ref="I7:J7"/>
    <mergeCell ref="L7:M7"/>
    <mergeCell ref="O7:P7"/>
    <mergeCell ref="R7:S7"/>
    <mergeCell ref="U7:V7"/>
    <mergeCell ref="U78:V78"/>
    <mergeCell ref="I147:J147"/>
    <mergeCell ref="L147:M147"/>
    <mergeCell ref="O147:P147"/>
    <mergeCell ref="R147:S147"/>
    <mergeCell ref="U147:V147"/>
    <mergeCell ref="I78:J78"/>
    <mergeCell ref="L78:M78"/>
    <mergeCell ref="O78:P78"/>
  </mergeCells>
  <dataValidations count="7">
    <dataValidation type="list" allowBlank="1" showInputMessage="1" showErrorMessage="1" sqref="I14">
      <formula1>"SO,VSO,SOVSO"</formula1>
    </dataValidation>
    <dataValidation type="list" allowBlank="1" showInputMessage="1" showErrorMessage="1" sqref="G48 G112 G99 G61 I17 L23 I23">
      <formula1>"ja,nee"</formula1>
    </dataValidation>
    <dataValidation allowBlank="1" showInputMessage="1" showErrorMessage="1" prompt="VSO: dan geen leerlingen jonger dan 8 jaar!" sqref="I87 I113 I100"/>
    <dataValidation allowBlank="1" showErrorMessage="1" prompt="VSO: dan geen leerlingen jonger dan 8 jaar!" sqref="S37 J87:Q88 L116:L121 J113:Q114 J100:Q101 J63:Q63 I62:S62 J50:Q50 I49:S49 M37:Q37 R100:S100 I88 I39:I44 I90:I95 U49:V49 U36:V36 V114 U113:V113 V88 U87:V87 V63 V50 V101 U100:V100 V37 I116:I121 I114 I103:I108 I101 L65:L70 L52:L57 I36:L37 U62:V62 M36:S36 L103:L108 L90:L95 S114 R113:S113 S88 R87:S87 S63 S50 S101 L39:L44"/>
    <dataValidation type="list" allowBlank="1" showInputMessage="1" showErrorMessage="1" sqref="E99 I15 E112 E35 E48 E61 E86">
      <formula1>$J$226:$J$238</formula1>
    </dataValidation>
    <dataValidation type="list" allowBlank="1" showInputMessage="1" showErrorMessage="1" sqref="D86 D99 D112">
      <formula1>$I$238:$I$239</formula1>
    </dataValidation>
    <dataValidation type="list" allowBlank="1" showInputMessage="1" showErrorMessage="1" sqref="D35 D61 D48">
      <formula1>$I$224:$I$225</formula1>
    </dataValidation>
  </dataValidations>
  <printOptions/>
  <pageMargins left="0.75" right="0.75" top="1" bottom="1" header="0.5" footer="0.5"/>
  <pageSetup horizontalDpi="600" verticalDpi="600" orientation="landscape" paperSize="9" scale="49" r:id="rId3"/>
  <headerFooter alignWithMargins="0">
    <oddHeader>&amp;L&amp;"Arial,Vet"&amp;F&amp;R&amp;"Arial,Vet"&amp;A</oddHeader>
    <oddFooter>&amp;L&amp;"Arial,Vet"keizer / goedhart&amp;C&amp;"Arial,Vet"&amp;D&amp;R&amp;"Arial,Vet"pagina &amp;P</oddFooter>
  </headerFooter>
  <rowBreaks count="2" manualBreakCount="2">
    <brk id="74" min="1" max="20" man="1"/>
    <brk id="143" min="1" max="23" man="1"/>
  </rowBreaks>
  <legacyDrawing r:id="rId2"/>
</worksheet>
</file>

<file path=xl/worksheets/sheet3.xml><?xml version="1.0" encoding="utf-8"?>
<worksheet xmlns="http://schemas.openxmlformats.org/spreadsheetml/2006/main" xmlns:r="http://schemas.openxmlformats.org/officeDocument/2006/relationships">
  <dimension ref="A2:AW230"/>
  <sheetViews>
    <sheetView zoomScale="85" zoomScaleNormal="85" workbookViewId="0" topLeftCell="A1">
      <selection activeCell="B2" sqref="B2"/>
    </sheetView>
  </sheetViews>
  <sheetFormatPr defaultColWidth="9.140625" defaultRowHeight="12.75"/>
  <cols>
    <col min="1" max="1" width="5.7109375" style="56" customWidth="1"/>
    <col min="2" max="3" width="2.7109375" style="56" customWidth="1"/>
    <col min="4" max="4" width="13.421875" style="56" customWidth="1"/>
    <col min="5" max="5" width="15.00390625" style="56" customWidth="1"/>
    <col min="6" max="6" width="10.8515625" style="56" customWidth="1"/>
    <col min="7" max="7" width="12.7109375" style="350" customWidth="1"/>
    <col min="8" max="8" width="2.7109375" style="56" customWidth="1"/>
    <col min="9" max="20" width="11.7109375" style="55" customWidth="1"/>
    <col min="21" max="22" width="2.7109375" style="56" customWidth="1"/>
    <col min="23" max="24" width="2.8515625" style="56" customWidth="1"/>
    <col min="25" max="49" width="10.7109375" style="56" customWidth="1"/>
    <col min="50" max="16384" width="9.140625" style="56" customWidth="1"/>
  </cols>
  <sheetData>
    <row r="1" ht="12.75" customHeight="1" thickBot="1"/>
    <row r="2" spans="2:22" ht="12.75">
      <c r="B2" s="76"/>
      <c r="C2" s="77"/>
      <c r="D2" s="77"/>
      <c r="E2" s="77"/>
      <c r="F2" s="77"/>
      <c r="G2" s="58"/>
      <c r="H2" s="77"/>
      <c r="I2" s="58"/>
      <c r="J2" s="58"/>
      <c r="K2" s="58"/>
      <c r="L2" s="58"/>
      <c r="M2" s="58"/>
      <c r="N2" s="58"/>
      <c r="O2" s="58"/>
      <c r="P2" s="58"/>
      <c r="Q2" s="58"/>
      <c r="R2" s="58"/>
      <c r="S2" s="58"/>
      <c r="T2" s="58"/>
      <c r="U2" s="77"/>
      <c r="V2" s="351"/>
    </row>
    <row r="3" spans="2:22" ht="12.75">
      <c r="B3" s="61"/>
      <c r="C3" s="62"/>
      <c r="D3" s="62"/>
      <c r="E3" s="62"/>
      <c r="F3" s="62"/>
      <c r="G3" s="55"/>
      <c r="H3" s="62"/>
      <c r="U3" s="62"/>
      <c r="V3" s="352"/>
    </row>
    <row r="4" spans="2:22" ht="18">
      <c r="B4" s="61"/>
      <c r="C4" s="17" t="s">
        <v>702</v>
      </c>
      <c r="D4" s="62"/>
      <c r="E4" s="62"/>
      <c r="F4" s="62"/>
      <c r="G4" s="55"/>
      <c r="H4" s="62"/>
      <c r="K4" s="103"/>
      <c r="U4" s="62"/>
      <c r="V4" s="352"/>
    </row>
    <row r="5" spans="2:22" ht="12" customHeight="1">
      <c r="B5" s="61"/>
      <c r="C5" s="353"/>
      <c r="D5" s="62"/>
      <c r="E5" s="62"/>
      <c r="F5" s="62"/>
      <c r="G5" s="55"/>
      <c r="H5" s="62"/>
      <c r="K5" s="103"/>
      <c r="U5" s="62"/>
      <c r="V5" s="352"/>
    </row>
    <row r="6" spans="2:22" ht="12" customHeight="1">
      <c r="B6" s="61"/>
      <c r="C6" s="353"/>
      <c r="D6" s="62"/>
      <c r="E6" s="62"/>
      <c r="F6" s="62"/>
      <c r="G6" s="55"/>
      <c r="H6" s="62"/>
      <c r="K6" s="103"/>
      <c r="U6" s="62"/>
      <c r="V6" s="352"/>
    </row>
    <row r="7" spans="2:22" ht="12" customHeight="1">
      <c r="B7" s="61"/>
      <c r="C7" s="353"/>
      <c r="D7" s="62"/>
      <c r="E7" s="62"/>
      <c r="F7" s="62"/>
      <c r="G7" s="55"/>
      <c r="H7" s="62"/>
      <c r="K7" s="103"/>
      <c r="U7" s="62"/>
      <c r="V7" s="352"/>
    </row>
    <row r="8" spans="2:38" ht="12.75">
      <c r="B8" s="61"/>
      <c r="C8" s="85"/>
      <c r="D8" s="85"/>
      <c r="E8" s="85"/>
      <c r="F8" s="85"/>
      <c r="G8" s="83"/>
      <c r="H8" s="85"/>
      <c r="I8" s="83"/>
      <c r="J8" s="83"/>
      <c r="K8" s="83"/>
      <c r="L8" s="83"/>
      <c r="M8" s="83"/>
      <c r="N8" s="83"/>
      <c r="O8" s="83"/>
      <c r="P8" s="4"/>
      <c r="Q8" s="4"/>
      <c r="R8" s="83"/>
      <c r="S8" s="83"/>
      <c r="T8" s="83"/>
      <c r="U8" s="85"/>
      <c r="V8" s="352"/>
      <c r="Y8" s="338" t="s">
        <v>652</v>
      </c>
      <c r="AL8" s="338" t="s">
        <v>651</v>
      </c>
    </row>
    <row r="9" spans="2:38" ht="12.75">
      <c r="B9" s="61"/>
      <c r="C9" s="85"/>
      <c r="D9" s="2" t="s">
        <v>518</v>
      </c>
      <c r="E9" s="3" t="str">
        <f>tabel!B2</f>
        <v>2008/09</v>
      </c>
      <c r="F9" s="85"/>
      <c r="G9" s="83"/>
      <c r="H9" s="85"/>
      <c r="I9" s="83"/>
      <c r="J9" s="83"/>
      <c r="K9" s="68">
        <v>13</v>
      </c>
      <c r="L9" s="83"/>
      <c r="M9" s="83"/>
      <c r="N9" s="83"/>
      <c r="O9" s="83"/>
      <c r="P9" s="83"/>
      <c r="Q9" s="83"/>
      <c r="R9" s="83"/>
      <c r="S9" s="83"/>
      <c r="T9" s="83"/>
      <c r="U9" s="85"/>
      <c r="V9" s="352"/>
      <c r="Y9" s="338"/>
      <c r="AL9" s="338"/>
    </row>
    <row r="10" spans="2:49" ht="12.75">
      <c r="B10" s="61"/>
      <c r="C10" s="85"/>
      <c r="D10" s="2" t="s">
        <v>518</v>
      </c>
      <c r="E10" s="433" t="str">
        <f>tabel!C2</f>
        <v>2009/10</v>
      </c>
      <c r="F10" s="3" t="s">
        <v>646</v>
      </c>
      <c r="G10" s="333" t="str">
        <f>tabel!C2</f>
        <v>2009/10</v>
      </c>
      <c r="H10" s="3"/>
      <c r="I10" s="162" t="s">
        <v>590</v>
      </c>
      <c r="J10" s="162" t="s">
        <v>591</v>
      </c>
      <c r="K10" s="162" t="s">
        <v>592</v>
      </c>
      <c r="L10" s="162" t="s">
        <v>593</v>
      </c>
      <c r="M10" s="162" t="s">
        <v>594</v>
      </c>
      <c r="N10" s="162" t="s">
        <v>588</v>
      </c>
      <c r="O10" s="162" t="s">
        <v>589</v>
      </c>
      <c r="P10" s="162" t="s">
        <v>595</v>
      </c>
      <c r="Q10" s="162" t="s">
        <v>596</v>
      </c>
      <c r="R10" s="162" t="s">
        <v>597</v>
      </c>
      <c r="S10" s="162" t="s">
        <v>598</v>
      </c>
      <c r="T10" s="162" t="s">
        <v>599</v>
      </c>
      <c r="U10" s="1"/>
      <c r="V10" s="352"/>
      <c r="Y10" s="56" t="s">
        <v>590</v>
      </c>
      <c r="Z10" s="56" t="s">
        <v>591</v>
      </c>
      <c r="AA10" s="56" t="s">
        <v>592</v>
      </c>
      <c r="AB10" s="56" t="s">
        <v>593</v>
      </c>
      <c r="AC10" s="105" t="s">
        <v>594</v>
      </c>
      <c r="AD10" s="105" t="s">
        <v>588</v>
      </c>
      <c r="AE10" s="105" t="s">
        <v>589</v>
      </c>
      <c r="AF10" s="105" t="s">
        <v>595</v>
      </c>
      <c r="AG10" s="105" t="s">
        <v>596</v>
      </c>
      <c r="AH10" s="105" t="s">
        <v>597</v>
      </c>
      <c r="AI10" s="105" t="s">
        <v>598</v>
      </c>
      <c r="AJ10" s="105" t="s">
        <v>599</v>
      </c>
      <c r="AL10" s="56" t="s">
        <v>590</v>
      </c>
      <c r="AM10" s="56" t="s">
        <v>591</v>
      </c>
      <c r="AN10" s="56" t="s">
        <v>592</v>
      </c>
      <c r="AO10" s="56" t="s">
        <v>593</v>
      </c>
      <c r="AP10" s="105" t="s">
        <v>594</v>
      </c>
      <c r="AQ10" s="105" t="s">
        <v>588</v>
      </c>
      <c r="AR10" s="105" t="s">
        <v>589</v>
      </c>
      <c r="AS10" s="105" t="s">
        <v>595</v>
      </c>
      <c r="AT10" s="105" t="s">
        <v>596</v>
      </c>
      <c r="AU10" s="105" t="s">
        <v>597</v>
      </c>
      <c r="AV10" s="105" t="s">
        <v>598</v>
      </c>
      <c r="AW10" s="105" t="s">
        <v>599</v>
      </c>
    </row>
    <row r="11" spans="2:49" ht="12.75">
      <c r="B11" s="61"/>
      <c r="C11" s="85"/>
      <c r="D11" s="85"/>
      <c r="E11" s="84"/>
      <c r="F11" s="3"/>
      <c r="G11" s="4"/>
      <c r="H11" s="3"/>
      <c r="I11" s="83"/>
      <c r="J11" s="83"/>
      <c r="K11" s="83"/>
      <c r="L11" s="83"/>
      <c r="M11" s="106"/>
      <c r="N11" s="106"/>
      <c r="O11" s="106"/>
      <c r="P11" s="106"/>
      <c r="Q11" s="106"/>
      <c r="R11" s="106"/>
      <c r="S11" s="106"/>
      <c r="T11" s="106"/>
      <c r="U11" s="1"/>
      <c r="V11" s="352"/>
      <c r="AC11" s="105"/>
      <c r="AD11" s="105"/>
      <c r="AE11" s="105"/>
      <c r="AF11" s="105"/>
      <c r="AG11" s="105"/>
      <c r="AH11" s="105"/>
      <c r="AI11" s="105"/>
      <c r="AJ11" s="105"/>
      <c r="AP11" s="105"/>
      <c r="AQ11" s="105"/>
      <c r="AR11" s="105"/>
      <c r="AS11" s="105"/>
      <c r="AT11" s="105"/>
      <c r="AU11" s="105"/>
      <c r="AV11" s="105"/>
      <c r="AW11" s="105"/>
    </row>
    <row r="12" spans="2:49" ht="12.75">
      <c r="B12" s="61"/>
      <c r="C12" s="85"/>
      <c r="D12" s="85" t="s">
        <v>473</v>
      </c>
      <c r="E12" s="85"/>
      <c r="F12" s="85" t="s">
        <v>661</v>
      </c>
      <c r="G12" s="108">
        <f>ROUND(SUM(I12:T12)/12,2)</f>
        <v>1</v>
      </c>
      <c r="H12" s="107"/>
      <c r="I12" s="68">
        <v>1</v>
      </c>
      <c r="J12" s="5">
        <f>+I12</f>
        <v>1</v>
      </c>
      <c r="K12" s="5">
        <f aca="true" t="shared" si="0" ref="K12:T12">+J12</f>
        <v>1</v>
      </c>
      <c r="L12" s="5">
        <f t="shared" si="0"/>
        <v>1</v>
      </c>
      <c r="M12" s="5">
        <f t="shared" si="0"/>
        <v>1</v>
      </c>
      <c r="N12" s="5">
        <f t="shared" si="0"/>
        <v>1</v>
      </c>
      <c r="O12" s="5">
        <f t="shared" si="0"/>
        <v>1</v>
      </c>
      <c r="P12" s="5">
        <f t="shared" si="0"/>
        <v>1</v>
      </c>
      <c r="Q12" s="5">
        <f t="shared" si="0"/>
        <v>1</v>
      </c>
      <c r="R12" s="5">
        <f t="shared" si="0"/>
        <v>1</v>
      </c>
      <c r="S12" s="5">
        <f t="shared" si="0"/>
        <v>1</v>
      </c>
      <c r="T12" s="5">
        <f t="shared" si="0"/>
        <v>1</v>
      </c>
      <c r="U12" s="1"/>
      <c r="V12" s="352"/>
      <c r="Y12" s="356">
        <f aca="true" t="shared" si="1" ref="Y12:Y24">ROUND(+I12*1/12*VLOOKUP($D12,LGFPOVO,2,FALSE),2)</f>
        <v>910.28</v>
      </c>
      <c r="Z12" s="356">
        <f aca="true" t="shared" si="2" ref="Z12:Z24">ROUND(+J12*1/12*VLOOKUP($D12,LGFPOVO,2,FALSE),2)</f>
        <v>910.28</v>
      </c>
      <c r="AA12" s="356">
        <f aca="true" t="shared" si="3" ref="AA12:AA24">ROUND(+K12*1/12*VLOOKUP($D12,LGFPOVO,2,FALSE),2)</f>
        <v>910.28</v>
      </c>
      <c r="AB12" s="356">
        <f aca="true" t="shared" si="4" ref="AB12:AB24">ROUND(+L12*1/12*VLOOKUP($D12,LGFPOVO,2,FALSE),2)</f>
        <v>910.28</v>
      </c>
      <c r="AC12" s="356">
        <f aca="true" t="shared" si="5" ref="AC12:AC24">ROUND(+M12*1/12*VLOOKUP($D12,LGFPOVO,2,FALSE),2)</f>
        <v>910.28</v>
      </c>
      <c r="AD12" s="356">
        <f aca="true" t="shared" si="6" ref="AD12:AD24">ROUND(+N12*1/12*VLOOKUP($D12,LGFPOVO,2,FALSE),2)</f>
        <v>910.28</v>
      </c>
      <c r="AE12" s="356">
        <f aca="true" t="shared" si="7" ref="AE12:AE24">ROUND(+O12*1/12*VLOOKUP($D12,LGFPOVO,2,FALSE),2)</f>
        <v>910.28</v>
      </c>
      <c r="AF12" s="356">
        <f aca="true" t="shared" si="8" ref="AF12:AF24">ROUND(+P12*1/12*VLOOKUP($D12,LGFPOVO,2,FALSE),2)</f>
        <v>910.28</v>
      </c>
      <c r="AG12" s="356">
        <f aca="true" t="shared" si="9" ref="AG12:AG24">ROUND(+Q12*1/12*VLOOKUP($D12,LGFPOVO,2,FALSE),2)</f>
        <v>910.28</v>
      </c>
      <c r="AH12" s="356">
        <f aca="true" t="shared" si="10" ref="AH12:AH24">ROUND(+R12*1/12*VLOOKUP($D12,LGFPOVO,2,FALSE),2)</f>
        <v>910.28</v>
      </c>
      <c r="AI12" s="356">
        <f aca="true" t="shared" si="11" ref="AI12:AI24">ROUND(+S12*1/12*VLOOKUP($D12,LGFPOVO,2,FALSE),2)</f>
        <v>910.28</v>
      </c>
      <c r="AJ12" s="356">
        <f aca="true" t="shared" si="12" ref="AJ12:AJ24">ROUND(+T12*1/12*VLOOKUP($D12,LGFPOVO,2,FALSE),2)</f>
        <v>910.28</v>
      </c>
      <c r="AL12" s="356">
        <f aca="true" t="shared" si="13" ref="AL12:AL24">ROUND(+I12*1/12*VLOOKUP($D12,LGFPOVO,4,FALSE),2)</f>
        <v>115.92</v>
      </c>
      <c r="AM12" s="356">
        <f aca="true" t="shared" si="14" ref="AM12:AM24">ROUND(+J12*1/12*VLOOKUP($D12,LGFPOVO,4,FALSE),2)</f>
        <v>115.92</v>
      </c>
      <c r="AN12" s="356">
        <f aca="true" t="shared" si="15" ref="AN12:AN24">ROUND(+K12*1/12*VLOOKUP($D12,LGFPOVO,4,FALSE),2)</f>
        <v>115.92</v>
      </c>
      <c r="AO12" s="356">
        <f aca="true" t="shared" si="16" ref="AO12:AO24">ROUND(+L12*1/12*VLOOKUP($D12,LGFPOVO,4,FALSE),2)</f>
        <v>115.92</v>
      </c>
      <c r="AP12" s="356">
        <f aca="true" t="shared" si="17" ref="AP12:AP24">ROUND(+M12*1/12*VLOOKUP($D12,LGFPOVO,4,FALSE),2)</f>
        <v>115.92</v>
      </c>
      <c r="AQ12" s="356">
        <f aca="true" t="shared" si="18" ref="AQ12:AQ24">ROUND(+N12*1/12*VLOOKUP($D12,LGFPOVO,4,FALSE),2)</f>
        <v>115.92</v>
      </c>
      <c r="AR12" s="356">
        <f aca="true" t="shared" si="19" ref="AR12:AR24">ROUND(+O12*1/12*VLOOKUP($D12,LGFPOVO,4,FALSE),2)</f>
        <v>115.92</v>
      </c>
      <c r="AS12" s="356">
        <f aca="true" t="shared" si="20" ref="AS12:AS24">ROUND(+P12*1/12*VLOOKUP($D12,LGFPOVO,4,FALSE),2)</f>
        <v>115.92</v>
      </c>
      <c r="AT12" s="356">
        <f aca="true" t="shared" si="21" ref="AT12:AT24">ROUND(+Q12*1/12*VLOOKUP($D12,LGFPOVO,4,FALSE),2)</f>
        <v>115.92</v>
      </c>
      <c r="AU12" s="356">
        <f aca="true" t="shared" si="22" ref="AU12:AU24">ROUND(+R12*1/12*VLOOKUP($D12,LGFPOVO,4,FALSE),2)</f>
        <v>115.92</v>
      </c>
      <c r="AV12" s="356">
        <f aca="true" t="shared" si="23" ref="AV12:AV24">ROUND(+S12*1/12*VLOOKUP($D12,LGFPOVO,4,FALSE),2)</f>
        <v>115.92</v>
      </c>
      <c r="AW12" s="356">
        <f aca="true" t="shared" si="24" ref="AW12:AW24">ROUND(+T12*1/12*VLOOKUP($D12,LGFPOVO,4,FALSE),2)</f>
        <v>115.92</v>
      </c>
    </row>
    <row r="13" spans="2:49" ht="12.75">
      <c r="B13" s="61"/>
      <c r="C13" s="85"/>
      <c r="D13" s="85" t="s">
        <v>474</v>
      </c>
      <c r="E13" s="85"/>
      <c r="F13" s="85" t="s">
        <v>661</v>
      </c>
      <c r="G13" s="108">
        <f aca="true" t="shared" si="25" ref="G13:G24">ROUND(SUM(I13:T13)/12,2)</f>
        <v>1</v>
      </c>
      <c r="H13" s="107"/>
      <c r="I13" s="68">
        <v>1</v>
      </c>
      <c r="J13" s="5">
        <f aca="true" t="shared" si="26" ref="J13:T13">+I13</f>
        <v>1</v>
      </c>
      <c r="K13" s="5">
        <f t="shared" si="26"/>
        <v>1</v>
      </c>
      <c r="L13" s="5">
        <f t="shared" si="26"/>
        <v>1</v>
      </c>
      <c r="M13" s="5">
        <f t="shared" si="26"/>
        <v>1</v>
      </c>
      <c r="N13" s="5">
        <f t="shared" si="26"/>
        <v>1</v>
      </c>
      <c r="O13" s="5">
        <f t="shared" si="26"/>
        <v>1</v>
      </c>
      <c r="P13" s="5">
        <f t="shared" si="26"/>
        <v>1</v>
      </c>
      <c r="Q13" s="5">
        <f t="shared" si="26"/>
        <v>1</v>
      </c>
      <c r="R13" s="5">
        <f t="shared" si="26"/>
        <v>1</v>
      </c>
      <c r="S13" s="5">
        <f t="shared" si="26"/>
        <v>1</v>
      </c>
      <c r="T13" s="5">
        <f t="shared" si="26"/>
        <v>1</v>
      </c>
      <c r="U13" s="1"/>
      <c r="V13" s="352"/>
      <c r="Y13" s="356">
        <f t="shared" si="1"/>
        <v>404.84</v>
      </c>
      <c r="Z13" s="356">
        <f t="shared" si="2"/>
        <v>404.84</v>
      </c>
      <c r="AA13" s="356">
        <f t="shared" si="3"/>
        <v>404.84</v>
      </c>
      <c r="AB13" s="356">
        <f t="shared" si="4"/>
        <v>404.84</v>
      </c>
      <c r="AC13" s="356">
        <f t="shared" si="5"/>
        <v>404.84</v>
      </c>
      <c r="AD13" s="356">
        <f t="shared" si="6"/>
        <v>404.84</v>
      </c>
      <c r="AE13" s="356">
        <f t="shared" si="7"/>
        <v>404.84</v>
      </c>
      <c r="AF13" s="356">
        <f t="shared" si="8"/>
        <v>404.84</v>
      </c>
      <c r="AG13" s="356">
        <f t="shared" si="9"/>
        <v>404.84</v>
      </c>
      <c r="AH13" s="356">
        <f t="shared" si="10"/>
        <v>404.84</v>
      </c>
      <c r="AI13" s="356">
        <f t="shared" si="11"/>
        <v>404.84</v>
      </c>
      <c r="AJ13" s="356">
        <f t="shared" si="12"/>
        <v>404.84</v>
      </c>
      <c r="AL13" s="356">
        <f t="shared" si="13"/>
        <v>42.67</v>
      </c>
      <c r="AM13" s="356">
        <f t="shared" si="14"/>
        <v>42.67</v>
      </c>
      <c r="AN13" s="356">
        <f t="shared" si="15"/>
        <v>42.67</v>
      </c>
      <c r="AO13" s="356">
        <f t="shared" si="16"/>
        <v>42.67</v>
      </c>
      <c r="AP13" s="356">
        <f t="shared" si="17"/>
        <v>42.67</v>
      </c>
      <c r="AQ13" s="356">
        <f t="shared" si="18"/>
        <v>42.67</v>
      </c>
      <c r="AR13" s="356">
        <f t="shared" si="19"/>
        <v>42.67</v>
      </c>
      <c r="AS13" s="356">
        <f t="shared" si="20"/>
        <v>42.67</v>
      </c>
      <c r="AT13" s="356">
        <f t="shared" si="21"/>
        <v>42.67</v>
      </c>
      <c r="AU13" s="356">
        <f t="shared" si="22"/>
        <v>42.67</v>
      </c>
      <c r="AV13" s="356">
        <f t="shared" si="23"/>
        <v>42.67</v>
      </c>
      <c r="AW13" s="356">
        <f t="shared" si="24"/>
        <v>42.67</v>
      </c>
    </row>
    <row r="14" spans="2:49" ht="12.75">
      <c r="B14" s="61"/>
      <c r="C14" s="85"/>
      <c r="D14" s="85" t="s">
        <v>475</v>
      </c>
      <c r="E14" s="85"/>
      <c r="F14" s="85" t="s">
        <v>661</v>
      </c>
      <c r="G14" s="108">
        <f t="shared" si="25"/>
        <v>1</v>
      </c>
      <c r="H14" s="107"/>
      <c r="I14" s="68">
        <v>1</v>
      </c>
      <c r="J14" s="5">
        <f aca="true" t="shared" si="27" ref="J14:T14">+I14</f>
        <v>1</v>
      </c>
      <c r="K14" s="5">
        <f t="shared" si="27"/>
        <v>1</v>
      </c>
      <c r="L14" s="5">
        <f t="shared" si="27"/>
        <v>1</v>
      </c>
      <c r="M14" s="5">
        <f t="shared" si="27"/>
        <v>1</v>
      </c>
      <c r="N14" s="5">
        <f t="shared" si="27"/>
        <v>1</v>
      </c>
      <c r="O14" s="5">
        <f t="shared" si="27"/>
        <v>1</v>
      </c>
      <c r="P14" s="5">
        <f t="shared" si="27"/>
        <v>1</v>
      </c>
      <c r="Q14" s="5">
        <f t="shared" si="27"/>
        <v>1</v>
      </c>
      <c r="R14" s="5">
        <f t="shared" si="27"/>
        <v>1</v>
      </c>
      <c r="S14" s="5">
        <f t="shared" si="27"/>
        <v>1</v>
      </c>
      <c r="T14" s="5">
        <f t="shared" si="27"/>
        <v>1</v>
      </c>
      <c r="U14" s="1"/>
      <c r="V14" s="352"/>
      <c r="Y14" s="356">
        <f t="shared" si="1"/>
        <v>404.84</v>
      </c>
      <c r="Z14" s="356">
        <f t="shared" si="2"/>
        <v>404.84</v>
      </c>
      <c r="AA14" s="356">
        <f t="shared" si="3"/>
        <v>404.84</v>
      </c>
      <c r="AB14" s="356">
        <f t="shared" si="4"/>
        <v>404.84</v>
      </c>
      <c r="AC14" s="356">
        <f t="shared" si="5"/>
        <v>404.84</v>
      </c>
      <c r="AD14" s="356">
        <f t="shared" si="6"/>
        <v>404.84</v>
      </c>
      <c r="AE14" s="356">
        <f t="shared" si="7"/>
        <v>404.84</v>
      </c>
      <c r="AF14" s="356">
        <f t="shared" si="8"/>
        <v>404.84</v>
      </c>
      <c r="AG14" s="356">
        <f t="shared" si="9"/>
        <v>404.84</v>
      </c>
      <c r="AH14" s="356">
        <f t="shared" si="10"/>
        <v>404.84</v>
      </c>
      <c r="AI14" s="356">
        <f t="shared" si="11"/>
        <v>404.84</v>
      </c>
      <c r="AJ14" s="356">
        <f t="shared" si="12"/>
        <v>404.84</v>
      </c>
      <c r="AL14" s="356">
        <f t="shared" si="13"/>
        <v>42.67</v>
      </c>
      <c r="AM14" s="356">
        <f t="shared" si="14"/>
        <v>42.67</v>
      </c>
      <c r="AN14" s="356">
        <f t="shared" si="15"/>
        <v>42.67</v>
      </c>
      <c r="AO14" s="356">
        <f t="shared" si="16"/>
        <v>42.67</v>
      </c>
      <c r="AP14" s="356">
        <f t="shared" si="17"/>
        <v>42.67</v>
      </c>
      <c r="AQ14" s="356">
        <f t="shared" si="18"/>
        <v>42.67</v>
      </c>
      <c r="AR14" s="356">
        <f t="shared" si="19"/>
        <v>42.67</v>
      </c>
      <c r="AS14" s="356">
        <f t="shared" si="20"/>
        <v>42.67</v>
      </c>
      <c r="AT14" s="356">
        <f t="shared" si="21"/>
        <v>42.67</v>
      </c>
      <c r="AU14" s="356">
        <f t="shared" si="22"/>
        <v>42.67</v>
      </c>
      <c r="AV14" s="356">
        <f t="shared" si="23"/>
        <v>42.67</v>
      </c>
      <c r="AW14" s="356">
        <f t="shared" si="24"/>
        <v>42.67</v>
      </c>
    </row>
    <row r="15" spans="2:49" ht="12.75">
      <c r="B15" s="61"/>
      <c r="C15" s="85"/>
      <c r="D15" s="85" t="s">
        <v>476</v>
      </c>
      <c r="E15" s="85"/>
      <c r="F15" s="85" t="s">
        <v>661</v>
      </c>
      <c r="G15" s="108">
        <f t="shared" si="25"/>
        <v>1</v>
      </c>
      <c r="H15" s="107"/>
      <c r="I15" s="68">
        <v>1</v>
      </c>
      <c r="J15" s="5">
        <f aca="true" t="shared" si="28" ref="J15:T15">+I15</f>
        <v>1</v>
      </c>
      <c r="K15" s="5">
        <f t="shared" si="28"/>
        <v>1</v>
      </c>
      <c r="L15" s="5">
        <f t="shared" si="28"/>
        <v>1</v>
      </c>
      <c r="M15" s="5">
        <f t="shared" si="28"/>
        <v>1</v>
      </c>
      <c r="N15" s="5">
        <f t="shared" si="28"/>
        <v>1</v>
      </c>
      <c r="O15" s="5">
        <f t="shared" si="28"/>
        <v>1</v>
      </c>
      <c r="P15" s="5">
        <f t="shared" si="28"/>
        <v>1</v>
      </c>
      <c r="Q15" s="5">
        <f t="shared" si="28"/>
        <v>1</v>
      </c>
      <c r="R15" s="5">
        <f t="shared" si="28"/>
        <v>1</v>
      </c>
      <c r="S15" s="5">
        <f t="shared" si="28"/>
        <v>1</v>
      </c>
      <c r="T15" s="5">
        <f t="shared" si="28"/>
        <v>1</v>
      </c>
      <c r="U15" s="1"/>
      <c r="V15" s="352"/>
      <c r="Y15" s="356">
        <f t="shared" si="1"/>
        <v>404.84</v>
      </c>
      <c r="Z15" s="356">
        <f t="shared" si="2"/>
        <v>404.84</v>
      </c>
      <c r="AA15" s="356">
        <f t="shared" si="3"/>
        <v>404.84</v>
      </c>
      <c r="AB15" s="356">
        <f t="shared" si="4"/>
        <v>404.84</v>
      </c>
      <c r="AC15" s="356">
        <f t="shared" si="5"/>
        <v>404.84</v>
      </c>
      <c r="AD15" s="356">
        <f t="shared" si="6"/>
        <v>404.84</v>
      </c>
      <c r="AE15" s="356">
        <f t="shared" si="7"/>
        <v>404.84</v>
      </c>
      <c r="AF15" s="356">
        <f t="shared" si="8"/>
        <v>404.84</v>
      </c>
      <c r="AG15" s="356">
        <f t="shared" si="9"/>
        <v>404.84</v>
      </c>
      <c r="AH15" s="356">
        <f t="shared" si="10"/>
        <v>404.84</v>
      </c>
      <c r="AI15" s="356">
        <f t="shared" si="11"/>
        <v>404.84</v>
      </c>
      <c r="AJ15" s="356">
        <f t="shared" si="12"/>
        <v>404.84</v>
      </c>
      <c r="AL15" s="356">
        <f t="shared" si="13"/>
        <v>47.42</v>
      </c>
      <c r="AM15" s="356">
        <f t="shared" si="14"/>
        <v>47.42</v>
      </c>
      <c r="AN15" s="356">
        <f t="shared" si="15"/>
        <v>47.42</v>
      </c>
      <c r="AO15" s="356">
        <f t="shared" si="16"/>
        <v>47.42</v>
      </c>
      <c r="AP15" s="356">
        <f t="shared" si="17"/>
        <v>47.42</v>
      </c>
      <c r="AQ15" s="356">
        <f t="shared" si="18"/>
        <v>47.42</v>
      </c>
      <c r="AR15" s="356">
        <f t="shared" si="19"/>
        <v>47.42</v>
      </c>
      <c r="AS15" s="356">
        <f t="shared" si="20"/>
        <v>47.42</v>
      </c>
      <c r="AT15" s="356">
        <f t="shared" si="21"/>
        <v>47.42</v>
      </c>
      <c r="AU15" s="356">
        <f t="shared" si="22"/>
        <v>47.42</v>
      </c>
      <c r="AV15" s="356">
        <f t="shared" si="23"/>
        <v>47.42</v>
      </c>
      <c r="AW15" s="356">
        <f t="shared" si="24"/>
        <v>47.42</v>
      </c>
    </row>
    <row r="16" spans="2:49" ht="12.75">
      <c r="B16" s="61"/>
      <c r="C16" s="85"/>
      <c r="D16" s="85" t="s">
        <v>478</v>
      </c>
      <c r="E16" s="85"/>
      <c r="F16" s="85" t="s">
        <v>661</v>
      </c>
      <c r="G16" s="108">
        <f t="shared" si="25"/>
        <v>1</v>
      </c>
      <c r="H16" s="107"/>
      <c r="I16" s="68">
        <v>1</v>
      </c>
      <c r="J16" s="5">
        <f aca="true" t="shared" si="29" ref="J16:T16">+I16</f>
        <v>1</v>
      </c>
      <c r="K16" s="5">
        <f t="shared" si="29"/>
        <v>1</v>
      </c>
      <c r="L16" s="5">
        <f t="shared" si="29"/>
        <v>1</v>
      </c>
      <c r="M16" s="5">
        <f t="shared" si="29"/>
        <v>1</v>
      </c>
      <c r="N16" s="5">
        <f t="shared" si="29"/>
        <v>1</v>
      </c>
      <c r="O16" s="5">
        <f t="shared" si="29"/>
        <v>1</v>
      </c>
      <c r="P16" s="5">
        <f t="shared" si="29"/>
        <v>1</v>
      </c>
      <c r="Q16" s="5">
        <f t="shared" si="29"/>
        <v>1</v>
      </c>
      <c r="R16" s="5">
        <f t="shared" si="29"/>
        <v>1</v>
      </c>
      <c r="S16" s="5">
        <f t="shared" si="29"/>
        <v>1</v>
      </c>
      <c r="T16" s="5">
        <f t="shared" si="29"/>
        <v>1</v>
      </c>
      <c r="U16" s="1"/>
      <c r="V16" s="352"/>
      <c r="Y16" s="356">
        <f t="shared" si="1"/>
        <v>404.84</v>
      </c>
      <c r="Z16" s="356">
        <f t="shared" si="2"/>
        <v>404.84</v>
      </c>
      <c r="AA16" s="356">
        <f t="shared" si="3"/>
        <v>404.84</v>
      </c>
      <c r="AB16" s="356">
        <f t="shared" si="4"/>
        <v>404.84</v>
      </c>
      <c r="AC16" s="356">
        <f t="shared" si="5"/>
        <v>404.84</v>
      </c>
      <c r="AD16" s="356">
        <f t="shared" si="6"/>
        <v>404.84</v>
      </c>
      <c r="AE16" s="356">
        <f t="shared" si="7"/>
        <v>404.84</v>
      </c>
      <c r="AF16" s="356">
        <f t="shared" si="8"/>
        <v>404.84</v>
      </c>
      <c r="AG16" s="356">
        <f t="shared" si="9"/>
        <v>404.84</v>
      </c>
      <c r="AH16" s="356">
        <f t="shared" si="10"/>
        <v>404.84</v>
      </c>
      <c r="AI16" s="356">
        <f t="shared" si="11"/>
        <v>404.84</v>
      </c>
      <c r="AJ16" s="356">
        <f t="shared" si="12"/>
        <v>404.84</v>
      </c>
      <c r="AL16" s="356">
        <f t="shared" si="13"/>
        <v>42.67</v>
      </c>
      <c r="AM16" s="356">
        <f t="shared" si="14"/>
        <v>42.67</v>
      </c>
      <c r="AN16" s="356">
        <f t="shared" si="15"/>
        <v>42.67</v>
      </c>
      <c r="AO16" s="356">
        <f t="shared" si="16"/>
        <v>42.67</v>
      </c>
      <c r="AP16" s="356">
        <f t="shared" si="17"/>
        <v>42.67</v>
      </c>
      <c r="AQ16" s="356">
        <f t="shared" si="18"/>
        <v>42.67</v>
      </c>
      <c r="AR16" s="356">
        <f t="shared" si="19"/>
        <v>42.67</v>
      </c>
      <c r="AS16" s="356">
        <f t="shared" si="20"/>
        <v>42.67</v>
      </c>
      <c r="AT16" s="356">
        <f t="shared" si="21"/>
        <v>42.67</v>
      </c>
      <c r="AU16" s="356">
        <f t="shared" si="22"/>
        <v>42.67</v>
      </c>
      <c r="AV16" s="356">
        <f t="shared" si="23"/>
        <v>42.67</v>
      </c>
      <c r="AW16" s="356">
        <f t="shared" si="24"/>
        <v>42.67</v>
      </c>
    </row>
    <row r="17" spans="2:49" ht="12.75">
      <c r="B17" s="61"/>
      <c r="C17" s="85"/>
      <c r="D17" s="85" t="s">
        <v>479</v>
      </c>
      <c r="E17" s="85"/>
      <c r="F17" s="85" t="s">
        <v>661</v>
      </c>
      <c r="G17" s="108">
        <f t="shared" si="25"/>
        <v>1</v>
      </c>
      <c r="H17" s="107"/>
      <c r="I17" s="68">
        <v>1</v>
      </c>
      <c r="J17" s="5">
        <f aca="true" t="shared" si="30" ref="J17:T17">+I17</f>
        <v>1</v>
      </c>
      <c r="K17" s="5">
        <f t="shared" si="30"/>
        <v>1</v>
      </c>
      <c r="L17" s="5">
        <f t="shared" si="30"/>
        <v>1</v>
      </c>
      <c r="M17" s="5">
        <f t="shared" si="30"/>
        <v>1</v>
      </c>
      <c r="N17" s="5">
        <f t="shared" si="30"/>
        <v>1</v>
      </c>
      <c r="O17" s="5">
        <f t="shared" si="30"/>
        <v>1</v>
      </c>
      <c r="P17" s="5">
        <f t="shared" si="30"/>
        <v>1</v>
      </c>
      <c r="Q17" s="5">
        <f t="shared" si="30"/>
        <v>1</v>
      </c>
      <c r="R17" s="5">
        <f t="shared" si="30"/>
        <v>1</v>
      </c>
      <c r="S17" s="5">
        <f t="shared" si="30"/>
        <v>1</v>
      </c>
      <c r="T17" s="5">
        <f t="shared" si="30"/>
        <v>1</v>
      </c>
      <c r="U17" s="1"/>
      <c r="V17" s="352"/>
      <c r="Y17" s="356">
        <f t="shared" si="1"/>
        <v>404.84</v>
      </c>
      <c r="Z17" s="356">
        <f t="shared" si="2"/>
        <v>404.84</v>
      </c>
      <c r="AA17" s="356">
        <f t="shared" si="3"/>
        <v>404.84</v>
      </c>
      <c r="AB17" s="356">
        <f t="shared" si="4"/>
        <v>404.84</v>
      </c>
      <c r="AC17" s="356">
        <f t="shared" si="5"/>
        <v>404.84</v>
      </c>
      <c r="AD17" s="356">
        <f t="shared" si="6"/>
        <v>404.84</v>
      </c>
      <c r="AE17" s="356">
        <f t="shared" si="7"/>
        <v>404.84</v>
      </c>
      <c r="AF17" s="356">
        <f t="shared" si="8"/>
        <v>404.84</v>
      </c>
      <c r="AG17" s="356">
        <f t="shared" si="9"/>
        <v>404.84</v>
      </c>
      <c r="AH17" s="356">
        <f t="shared" si="10"/>
        <v>404.84</v>
      </c>
      <c r="AI17" s="356">
        <f t="shared" si="11"/>
        <v>404.84</v>
      </c>
      <c r="AJ17" s="356">
        <f t="shared" si="12"/>
        <v>404.84</v>
      </c>
      <c r="AL17" s="356">
        <f t="shared" si="13"/>
        <v>42.67</v>
      </c>
      <c r="AM17" s="356">
        <f t="shared" si="14"/>
        <v>42.67</v>
      </c>
      <c r="AN17" s="356">
        <f t="shared" si="15"/>
        <v>42.67</v>
      </c>
      <c r="AO17" s="356">
        <f t="shared" si="16"/>
        <v>42.67</v>
      </c>
      <c r="AP17" s="356">
        <f t="shared" si="17"/>
        <v>42.67</v>
      </c>
      <c r="AQ17" s="356">
        <f t="shared" si="18"/>
        <v>42.67</v>
      </c>
      <c r="AR17" s="356">
        <f t="shared" si="19"/>
        <v>42.67</v>
      </c>
      <c r="AS17" s="356">
        <f t="shared" si="20"/>
        <v>42.67</v>
      </c>
      <c r="AT17" s="356">
        <f t="shared" si="21"/>
        <v>42.67</v>
      </c>
      <c r="AU17" s="356">
        <f t="shared" si="22"/>
        <v>42.67</v>
      </c>
      <c r="AV17" s="356">
        <f t="shared" si="23"/>
        <v>42.67</v>
      </c>
      <c r="AW17" s="356">
        <f t="shared" si="24"/>
        <v>42.67</v>
      </c>
    </row>
    <row r="18" spans="2:49" ht="12.75">
      <c r="B18" s="61"/>
      <c r="C18" s="85"/>
      <c r="D18" s="85" t="s">
        <v>477</v>
      </c>
      <c r="E18" s="85"/>
      <c r="F18" s="85" t="s">
        <v>661</v>
      </c>
      <c r="G18" s="108">
        <f t="shared" si="25"/>
        <v>1</v>
      </c>
      <c r="H18" s="107"/>
      <c r="I18" s="68">
        <v>1</v>
      </c>
      <c r="J18" s="5">
        <f aca="true" t="shared" si="31" ref="J18:T18">+I18</f>
        <v>1</v>
      </c>
      <c r="K18" s="5">
        <f t="shared" si="31"/>
        <v>1</v>
      </c>
      <c r="L18" s="5">
        <f t="shared" si="31"/>
        <v>1</v>
      </c>
      <c r="M18" s="5">
        <f t="shared" si="31"/>
        <v>1</v>
      </c>
      <c r="N18" s="5">
        <f t="shared" si="31"/>
        <v>1</v>
      </c>
      <c r="O18" s="5">
        <f t="shared" si="31"/>
        <v>1</v>
      </c>
      <c r="P18" s="5">
        <f t="shared" si="31"/>
        <v>1</v>
      </c>
      <c r="Q18" s="5">
        <f t="shared" si="31"/>
        <v>1</v>
      </c>
      <c r="R18" s="5">
        <f t="shared" si="31"/>
        <v>1</v>
      </c>
      <c r="S18" s="5">
        <f t="shared" si="31"/>
        <v>1</v>
      </c>
      <c r="T18" s="5">
        <f t="shared" si="31"/>
        <v>1</v>
      </c>
      <c r="U18" s="1"/>
      <c r="V18" s="352"/>
      <c r="Y18" s="356">
        <f t="shared" si="1"/>
        <v>404.84</v>
      </c>
      <c r="Z18" s="356">
        <f t="shared" si="2"/>
        <v>404.84</v>
      </c>
      <c r="AA18" s="356">
        <f t="shared" si="3"/>
        <v>404.84</v>
      </c>
      <c r="AB18" s="356">
        <f t="shared" si="4"/>
        <v>404.84</v>
      </c>
      <c r="AC18" s="356">
        <f t="shared" si="5"/>
        <v>404.84</v>
      </c>
      <c r="AD18" s="356">
        <f t="shared" si="6"/>
        <v>404.84</v>
      </c>
      <c r="AE18" s="356">
        <f t="shared" si="7"/>
        <v>404.84</v>
      </c>
      <c r="AF18" s="356">
        <f t="shared" si="8"/>
        <v>404.84</v>
      </c>
      <c r="AG18" s="356">
        <f t="shared" si="9"/>
        <v>404.84</v>
      </c>
      <c r="AH18" s="356">
        <f t="shared" si="10"/>
        <v>404.84</v>
      </c>
      <c r="AI18" s="356">
        <f t="shared" si="11"/>
        <v>404.84</v>
      </c>
      <c r="AJ18" s="356">
        <f t="shared" si="12"/>
        <v>404.84</v>
      </c>
      <c r="AL18" s="356">
        <f t="shared" si="13"/>
        <v>28.5</v>
      </c>
      <c r="AM18" s="356">
        <f t="shared" si="14"/>
        <v>28.5</v>
      </c>
      <c r="AN18" s="356">
        <f t="shared" si="15"/>
        <v>28.5</v>
      </c>
      <c r="AO18" s="356">
        <f t="shared" si="16"/>
        <v>28.5</v>
      </c>
      <c r="AP18" s="356">
        <f t="shared" si="17"/>
        <v>28.5</v>
      </c>
      <c r="AQ18" s="356">
        <f t="shared" si="18"/>
        <v>28.5</v>
      </c>
      <c r="AR18" s="356">
        <f t="shared" si="19"/>
        <v>28.5</v>
      </c>
      <c r="AS18" s="356">
        <f t="shared" si="20"/>
        <v>28.5</v>
      </c>
      <c r="AT18" s="356">
        <f t="shared" si="21"/>
        <v>28.5</v>
      </c>
      <c r="AU18" s="356">
        <f t="shared" si="22"/>
        <v>28.5</v>
      </c>
      <c r="AV18" s="356">
        <f t="shared" si="23"/>
        <v>28.5</v>
      </c>
      <c r="AW18" s="356">
        <f t="shared" si="24"/>
        <v>28.5</v>
      </c>
    </row>
    <row r="19" spans="2:49" ht="12.75">
      <c r="B19" s="61"/>
      <c r="C19" s="85"/>
      <c r="D19" s="85" t="s">
        <v>480</v>
      </c>
      <c r="E19" s="85"/>
      <c r="F19" s="85" t="s">
        <v>661</v>
      </c>
      <c r="G19" s="108">
        <f t="shared" si="25"/>
        <v>1</v>
      </c>
      <c r="H19" s="107"/>
      <c r="I19" s="68">
        <v>1</v>
      </c>
      <c r="J19" s="5">
        <f aca="true" t="shared" si="32" ref="J19:T19">+I19</f>
        <v>1</v>
      </c>
      <c r="K19" s="5">
        <f t="shared" si="32"/>
        <v>1</v>
      </c>
      <c r="L19" s="5">
        <f t="shared" si="32"/>
        <v>1</v>
      </c>
      <c r="M19" s="5">
        <f t="shared" si="32"/>
        <v>1</v>
      </c>
      <c r="N19" s="5">
        <f t="shared" si="32"/>
        <v>1</v>
      </c>
      <c r="O19" s="5">
        <f t="shared" si="32"/>
        <v>1</v>
      </c>
      <c r="P19" s="5">
        <f t="shared" si="32"/>
        <v>1</v>
      </c>
      <c r="Q19" s="5">
        <f t="shared" si="32"/>
        <v>1</v>
      </c>
      <c r="R19" s="5">
        <f t="shared" si="32"/>
        <v>1</v>
      </c>
      <c r="S19" s="5">
        <f t="shared" si="32"/>
        <v>1</v>
      </c>
      <c r="T19" s="5">
        <f t="shared" si="32"/>
        <v>1</v>
      </c>
      <c r="U19" s="1"/>
      <c r="V19" s="352"/>
      <c r="Y19" s="356">
        <f t="shared" si="1"/>
        <v>404.84</v>
      </c>
      <c r="Z19" s="356">
        <f t="shared" si="2"/>
        <v>404.84</v>
      </c>
      <c r="AA19" s="356">
        <f t="shared" si="3"/>
        <v>404.84</v>
      </c>
      <c r="AB19" s="356">
        <f t="shared" si="4"/>
        <v>404.84</v>
      </c>
      <c r="AC19" s="356">
        <f t="shared" si="5"/>
        <v>404.84</v>
      </c>
      <c r="AD19" s="356">
        <f t="shared" si="6"/>
        <v>404.84</v>
      </c>
      <c r="AE19" s="356">
        <f t="shared" si="7"/>
        <v>404.84</v>
      </c>
      <c r="AF19" s="356">
        <f t="shared" si="8"/>
        <v>404.84</v>
      </c>
      <c r="AG19" s="356">
        <f t="shared" si="9"/>
        <v>404.84</v>
      </c>
      <c r="AH19" s="356">
        <f t="shared" si="10"/>
        <v>404.84</v>
      </c>
      <c r="AI19" s="356">
        <f t="shared" si="11"/>
        <v>404.84</v>
      </c>
      <c r="AJ19" s="356">
        <f t="shared" si="12"/>
        <v>404.84</v>
      </c>
      <c r="AL19" s="356">
        <f t="shared" si="13"/>
        <v>42.67</v>
      </c>
      <c r="AM19" s="356">
        <f t="shared" si="14"/>
        <v>42.67</v>
      </c>
      <c r="AN19" s="356">
        <f t="shared" si="15"/>
        <v>42.67</v>
      </c>
      <c r="AO19" s="356">
        <f t="shared" si="16"/>
        <v>42.67</v>
      </c>
      <c r="AP19" s="356">
        <f t="shared" si="17"/>
        <v>42.67</v>
      </c>
      <c r="AQ19" s="356">
        <f t="shared" si="18"/>
        <v>42.67</v>
      </c>
      <c r="AR19" s="356">
        <f t="shared" si="19"/>
        <v>42.67</v>
      </c>
      <c r="AS19" s="356">
        <f t="shared" si="20"/>
        <v>42.67</v>
      </c>
      <c r="AT19" s="356">
        <f t="shared" si="21"/>
        <v>42.67</v>
      </c>
      <c r="AU19" s="356">
        <f t="shared" si="22"/>
        <v>42.67</v>
      </c>
      <c r="AV19" s="356">
        <f t="shared" si="23"/>
        <v>42.67</v>
      </c>
      <c r="AW19" s="356">
        <f t="shared" si="24"/>
        <v>42.67</v>
      </c>
    </row>
    <row r="20" spans="2:49" ht="12.75">
      <c r="B20" s="61"/>
      <c r="C20" s="85"/>
      <c r="D20" s="85" t="s">
        <v>481</v>
      </c>
      <c r="E20" s="85"/>
      <c r="F20" s="85" t="s">
        <v>661</v>
      </c>
      <c r="G20" s="108">
        <f t="shared" si="25"/>
        <v>1</v>
      </c>
      <c r="H20" s="107"/>
      <c r="I20" s="68">
        <v>1</v>
      </c>
      <c r="J20" s="5">
        <f aca="true" t="shared" si="33" ref="J20:T20">+I20</f>
        <v>1</v>
      </c>
      <c r="K20" s="5">
        <f t="shared" si="33"/>
        <v>1</v>
      </c>
      <c r="L20" s="5">
        <f t="shared" si="33"/>
        <v>1</v>
      </c>
      <c r="M20" s="5">
        <f t="shared" si="33"/>
        <v>1</v>
      </c>
      <c r="N20" s="5">
        <f t="shared" si="33"/>
        <v>1</v>
      </c>
      <c r="O20" s="5">
        <f t="shared" si="33"/>
        <v>1</v>
      </c>
      <c r="P20" s="5">
        <f t="shared" si="33"/>
        <v>1</v>
      </c>
      <c r="Q20" s="5">
        <f t="shared" si="33"/>
        <v>1</v>
      </c>
      <c r="R20" s="5">
        <f t="shared" si="33"/>
        <v>1</v>
      </c>
      <c r="S20" s="5">
        <f t="shared" si="33"/>
        <v>1</v>
      </c>
      <c r="T20" s="5">
        <f t="shared" si="33"/>
        <v>1</v>
      </c>
      <c r="U20" s="1"/>
      <c r="V20" s="352"/>
      <c r="Y20" s="356">
        <f t="shared" si="1"/>
        <v>404.84</v>
      </c>
      <c r="Z20" s="356">
        <f t="shared" si="2"/>
        <v>404.84</v>
      </c>
      <c r="AA20" s="356">
        <f t="shared" si="3"/>
        <v>404.84</v>
      </c>
      <c r="AB20" s="356">
        <f t="shared" si="4"/>
        <v>404.84</v>
      </c>
      <c r="AC20" s="356">
        <f t="shared" si="5"/>
        <v>404.84</v>
      </c>
      <c r="AD20" s="356">
        <f t="shared" si="6"/>
        <v>404.84</v>
      </c>
      <c r="AE20" s="356">
        <f t="shared" si="7"/>
        <v>404.84</v>
      </c>
      <c r="AF20" s="356">
        <f t="shared" si="8"/>
        <v>404.84</v>
      </c>
      <c r="AG20" s="356">
        <f t="shared" si="9"/>
        <v>404.84</v>
      </c>
      <c r="AH20" s="356">
        <f t="shared" si="10"/>
        <v>404.84</v>
      </c>
      <c r="AI20" s="356">
        <f t="shared" si="11"/>
        <v>404.84</v>
      </c>
      <c r="AJ20" s="356">
        <f t="shared" si="12"/>
        <v>404.84</v>
      </c>
      <c r="AL20" s="356">
        <f t="shared" si="13"/>
        <v>42.67</v>
      </c>
      <c r="AM20" s="356">
        <f t="shared" si="14"/>
        <v>42.67</v>
      </c>
      <c r="AN20" s="356">
        <f t="shared" si="15"/>
        <v>42.67</v>
      </c>
      <c r="AO20" s="356">
        <f t="shared" si="16"/>
        <v>42.67</v>
      </c>
      <c r="AP20" s="356">
        <f t="shared" si="17"/>
        <v>42.67</v>
      </c>
      <c r="AQ20" s="356">
        <f t="shared" si="18"/>
        <v>42.67</v>
      </c>
      <c r="AR20" s="356">
        <f t="shared" si="19"/>
        <v>42.67</v>
      </c>
      <c r="AS20" s="356">
        <f t="shared" si="20"/>
        <v>42.67</v>
      </c>
      <c r="AT20" s="356">
        <f t="shared" si="21"/>
        <v>42.67</v>
      </c>
      <c r="AU20" s="356">
        <f t="shared" si="22"/>
        <v>42.67</v>
      </c>
      <c r="AV20" s="356">
        <f t="shared" si="23"/>
        <v>42.67</v>
      </c>
      <c r="AW20" s="356">
        <f t="shared" si="24"/>
        <v>42.67</v>
      </c>
    </row>
    <row r="21" spans="2:49" ht="12.75">
      <c r="B21" s="61"/>
      <c r="C21" s="85"/>
      <c r="D21" s="85" t="s">
        <v>483</v>
      </c>
      <c r="E21" s="85"/>
      <c r="F21" s="85" t="s">
        <v>661</v>
      </c>
      <c r="G21" s="108">
        <f t="shared" si="25"/>
        <v>1</v>
      </c>
      <c r="H21" s="107"/>
      <c r="I21" s="68">
        <v>1</v>
      </c>
      <c r="J21" s="5">
        <f aca="true" t="shared" si="34" ref="J21:T21">+I21</f>
        <v>1</v>
      </c>
      <c r="K21" s="5">
        <f t="shared" si="34"/>
        <v>1</v>
      </c>
      <c r="L21" s="5">
        <f t="shared" si="34"/>
        <v>1</v>
      </c>
      <c r="M21" s="5">
        <f t="shared" si="34"/>
        <v>1</v>
      </c>
      <c r="N21" s="5">
        <f t="shared" si="34"/>
        <v>1</v>
      </c>
      <c r="O21" s="5">
        <f t="shared" si="34"/>
        <v>1</v>
      </c>
      <c r="P21" s="5">
        <f t="shared" si="34"/>
        <v>1</v>
      </c>
      <c r="Q21" s="5">
        <f t="shared" si="34"/>
        <v>1</v>
      </c>
      <c r="R21" s="5">
        <f t="shared" si="34"/>
        <v>1</v>
      </c>
      <c r="S21" s="5">
        <f t="shared" si="34"/>
        <v>1</v>
      </c>
      <c r="T21" s="5">
        <f t="shared" si="34"/>
        <v>1</v>
      </c>
      <c r="U21" s="1"/>
      <c r="V21" s="352"/>
      <c r="Y21" s="356">
        <f t="shared" si="1"/>
        <v>404.84</v>
      </c>
      <c r="Z21" s="356">
        <f t="shared" si="2"/>
        <v>404.84</v>
      </c>
      <c r="AA21" s="356">
        <f t="shared" si="3"/>
        <v>404.84</v>
      </c>
      <c r="AB21" s="356">
        <f t="shared" si="4"/>
        <v>404.84</v>
      </c>
      <c r="AC21" s="356">
        <f t="shared" si="5"/>
        <v>404.84</v>
      </c>
      <c r="AD21" s="356">
        <f t="shared" si="6"/>
        <v>404.84</v>
      </c>
      <c r="AE21" s="356">
        <f t="shared" si="7"/>
        <v>404.84</v>
      </c>
      <c r="AF21" s="356">
        <f t="shared" si="8"/>
        <v>404.84</v>
      </c>
      <c r="AG21" s="356">
        <f t="shared" si="9"/>
        <v>404.84</v>
      </c>
      <c r="AH21" s="356">
        <f t="shared" si="10"/>
        <v>404.84</v>
      </c>
      <c r="AI21" s="356">
        <f t="shared" si="11"/>
        <v>404.84</v>
      </c>
      <c r="AJ21" s="356">
        <f t="shared" si="12"/>
        <v>404.84</v>
      </c>
      <c r="AL21" s="356">
        <f t="shared" si="13"/>
        <v>42.67</v>
      </c>
      <c r="AM21" s="356">
        <f t="shared" si="14"/>
        <v>42.67</v>
      </c>
      <c r="AN21" s="356">
        <f t="shared" si="15"/>
        <v>42.67</v>
      </c>
      <c r="AO21" s="356">
        <f t="shared" si="16"/>
        <v>42.67</v>
      </c>
      <c r="AP21" s="356">
        <f t="shared" si="17"/>
        <v>42.67</v>
      </c>
      <c r="AQ21" s="356">
        <f t="shared" si="18"/>
        <v>42.67</v>
      </c>
      <c r="AR21" s="356">
        <f t="shared" si="19"/>
        <v>42.67</v>
      </c>
      <c r="AS21" s="356">
        <f t="shared" si="20"/>
        <v>42.67</v>
      </c>
      <c r="AT21" s="356">
        <f t="shared" si="21"/>
        <v>42.67</v>
      </c>
      <c r="AU21" s="356">
        <f t="shared" si="22"/>
        <v>42.67</v>
      </c>
      <c r="AV21" s="356">
        <f t="shared" si="23"/>
        <v>42.67</v>
      </c>
      <c r="AW21" s="356">
        <f t="shared" si="24"/>
        <v>42.67</v>
      </c>
    </row>
    <row r="22" spans="2:49" ht="12.75">
      <c r="B22" s="61"/>
      <c r="C22" s="85"/>
      <c r="D22" s="85" t="s">
        <v>484</v>
      </c>
      <c r="E22" s="85"/>
      <c r="F22" s="85" t="s">
        <v>661</v>
      </c>
      <c r="G22" s="108">
        <f t="shared" si="25"/>
        <v>1</v>
      </c>
      <c r="H22" s="107"/>
      <c r="I22" s="68">
        <v>1</v>
      </c>
      <c r="J22" s="5">
        <f aca="true" t="shared" si="35" ref="J22:T22">+I22</f>
        <v>1</v>
      </c>
      <c r="K22" s="5">
        <f t="shared" si="35"/>
        <v>1</v>
      </c>
      <c r="L22" s="5">
        <f t="shared" si="35"/>
        <v>1</v>
      </c>
      <c r="M22" s="5">
        <f t="shared" si="35"/>
        <v>1</v>
      </c>
      <c r="N22" s="5">
        <f t="shared" si="35"/>
        <v>1</v>
      </c>
      <c r="O22" s="5">
        <f t="shared" si="35"/>
        <v>1</v>
      </c>
      <c r="P22" s="5">
        <f t="shared" si="35"/>
        <v>1</v>
      </c>
      <c r="Q22" s="5">
        <f t="shared" si="35"/>
        <v>1</v>
      </c>
      <c r="R22" s="5">
        <f t="shared" si="35"/>
        <v>1</v>
      </c>
      <c r="S22" s="5">
        <f t="shared" si="35"/>
        <v>1</v>
      </c>
      <c r="T22" s="5">
        <f t="shared" si="35"/>
        <v>1</v>
      </c>
      <c r="U22" s="1"/>
      <c r="V22" s="352"/>
      <c r="Y22" s="356">
        <f t="shared" si="1"/>
        <v>404.84</v>
      </c>
      <c r="Z22" s="356">
        <f t="shared" si="2"/>
        <v>404.84</v>
      </c>
      <c r="AA22" s="356">
        <f t="shared" si="3"/>
        <v>404.84</v>
      </c>
      <c r="AB22" s="356">
        <f t="shared" si="4"/>
        <v>404.84</v>
      </c>
      <c r="AC22" s="356">
        <f t="shared" si="5"/>
        <v>404.84</v>
      </c>
      <c r="AD22" s="356">
        <f t="shared" si="6"/>
        <v>404.84</v>
      </c>
      <c r="AE22" s="356">
        <f t="shared" si="7"/>
        <v>404.84</v>
      </c>
      <c r="AF22" s="356">
        <f t="shared" si="8"/>
        <v>404.84</v>
      </c>
      <c r="AG22" s="356">
        <f t="shared" si="9"/>
        <v>404.84</v>
      </c>
      <c r="AH22" s="356">
        <f t="shared" si="10"/>
        <v>404.84</v>
      </c>
      <c r="AI22" s="356">
        <f t="shared" si="11"/>
        <v>404.84</v>
      </c>
      <c r="AJ22" s="356">
        <f t="shared" si="12"/>
        <v>404.84</v>
      </c>
      <c r="AL22" s="356">
        <f t="shared" si="13"/>
        <v>42.67</v>
      </c>
      <c r="AM22" s="356">
        <f t="shared" si="14"/>
        <v>42.67</v>
      </c>
      <c r="AN22" s="356">
        <f t="shared" si="15"/>
        <v>42.67</v>
      </c>
      <c r="AO22" s="356">
        <f t="shared" si="16"/>
        <v>42.67</v>
      </c>
      <c r="AP22" s="356">
        <f t="shared" si="17"/>
        <v>42.67</v>
      </c>
      <c r="AQ22" s="356">
        <f t="shared" si="18"/>
        <v>42.67</v>
      </c>
      <c r="AR22" s="356">
        <f t="shared" si="19"/>
        <v>42.67</v>
      </c>
      <c r="AS22" s="356">
        <f t="shared" si="20"/>
        <v>42.67</v>
      </c>
      <c r="AT22" s="356">
        <f t="shared" si="21"/>
        <v>42.67</v>
      </c>
      <c r="AU22" s="356">
        <f t="shared" si="22"/>
        <v>42.67</v>
      </c>
      <c r="AV22" s="356">
        <f t="shared" si="23"/>
        <v>42.67</v>
      </c>
      <c r="AW22" s="356">
        <f t="shared" si="24"/>
        <v>42.67</v>
      </c>
    </row>
    <row r="23" spans="2:49" ht="12.75">
      <c r="B23" s="61"/>
      <c r="C23" s="85"/>
      <c r="D23" s="85" t="s">
        <v>482</v>
      </c>
      <c r="E23" s="85"/>
      <c r="F23" s="85" t="s">
        <v>661</v>
      </c>
      <c r="G23" s="108">
        <f t="shared" si="25"/>
        <v>1</v>
      </c>
      <c r="H23" s="107"/>
      <c r="I23" s="68">
        <v>1</v>
      </c>
      <c r="J23" s="5">
        <f aca="true" t="shared" si="36" ref="J23:T23">+I23</f>
        <v>1</v>
      </c>
      <c r="K23" s="5">
        <f t="shared" si="36"/>
        <v>1</v>
      </c>
      <c r="L23" s="5">
        <f t="shared" si="36"/>
        <v>1</v>
      </c>
      <c r="M23" s="5">
        <f t="shared" si="36"/>
        <v>1</v>
      </c>
      <c r="N23" s="5">
        <f t="shared" si="36"/>
        <v>1</v>
      </c>
      <c r="O23" s="5">
        <f t="shared" si="36"/>
        <v>1</v>
      </c>
      <c r="P23" s="5">
        <f t="shared" si="36"/>
        <v>1</v>
      </c>
      <c r="Q23" s="5">
        <f t="shared" si="36"/>
        <v>1</v>
      </c>
      <c r="R23" s="5">
        <f t="shared" si="36"/>
        <v>1</v>
      </c>
      <c r="S23" s="5">
        <f t="shared" si="36"/>
        <v>1</v>
      </c>
      <c r="T23" s="5">
        <f t="shared" si="36"/>
        <v>1</v>
      </c>
      <c r="U23" s="1"/>
      <c r="V23" s="352"/>
      <c r="Y23" s="356">
        <f t="shared" si="1"/>
        <v>404.84</v>
      </c>
      <c r="Z23" s="356">
        <f t="shared" si="2"/>
        <v>404.84</v>
      </c>
      <c r="AA23" s="356">
        <f t="shared" si="3"/>
        <v>404.84</v>
      </c>
      <c r="AB23" s="356">
        <f t="shared" si="4"/>
        <v>404.84</v>
      </c>
      <c r="AC23" s="356">
        <f t="shared" si="5"/>
        <v>404.84</v>
      </c>
      <c r="AD23" s="356">
        <f t="shared" si="6"/>
        <v>404.84</v>
      </c>
      <c r="AE23" s="356">
        <f t="shared" si="7"/>
        <v>404.84</v>
      </c>
      <c r="AF23" s="356">
        <f t="shared" si="8"/>
        <v>404.84</v>
      </c>
      <c r="AG23" s="356">
        <f t="shared" si="9"/>
        <v>404.84</v>
      </c>
      <c r="AH23" s="356">
        <f t="shared" si="10"/>
        <v>404.84</v>
      </c>
      <c r="AI23" s="356">
        <f t="shared" si="11"/>
        <v>404.84</v>
      </c>
      <c r="AJ23" s="356">
        <f t="shared" si="12"/>
        <v>404.84</v>
      </c>
      <c r="AL23" s="356">
        <f t="shared" si="13"/>
        <v>42.67</v>
      </c>
      <c r="AM23" s="356">
        <f t="shared" si="14"/>
        <v>42.67</v>
      </c>
      <c r="AN23" s="356">
        <f t="shared" si="15"/>
        <v>42.67</v>
      </c>
      <c r="AO23" s="356">
        <f t="shared" si="16"/>
        <v>42.67</v>
      </c>
      <c r="AP23" s="356">
        <f t="shared" si="17"/>
        <v>42.67</v>
      </c>
      <c r="AQ23" s="356">
        <f t="shared" si="18"/>
        <v>42.67</v>
      </c>
      <c r="AR23" s="356">
        <f t="shared" si="19"/>
        <v>42.67</v>
      </c>
      <c r="AS23" s="356">
        <f t="shared" si="20"/>
        <v>42.67</v>
      </c>
      <c r="AT23" s="356">
        <f t="shared" si="21"/>
        <v>42.67</v>
      </c>
      <c r="AU23" s="356">
        <f t="shared" si="22"/>
        <v>42.67</v>
      </c>
      <c r="AV23" s="356">
        <f t="shared" si="23"/>
        <v>42.67</v>
      </c>
      <c r="AW23" s="356">
        <f t="shared" si="24"/>
        <v>42.67</v>
      </c>
    </row>
    <row r="24" spans="2:49" ht="12.75">
      <c r="B24" s="61"/>
      <c r="C24" s="85"/>
      <c r="D24" s="85" t="s">
        <v>485</v>
      </c>
      <c r="E24" s="85"/>
      <c r="F24" s="85" t="s">
        <v>661</v>
      </c>
      <c r="G24" s="108">
        <f t="shared" si="25"/>
        <v>1</v>
      </c>
      <c r="H24" s="107"/>
      <c r="I24" s="68">
        <v>1</v>
      </c>
      <c r="J24" s="5">
        <f aca="true" t="shared" si="37" ref="J24:T24">+I24</f>
        <v>1</v>
      </c>
      <c r="K24" s="5">
        <f t="shared" si="37"/>
        <v>1</v>
      </c>
      <c r="L24" s="5">
        <f t="shared" si="37"/>
        <v>1</v>
      </c>
      <c r="M24" s="5">
        <f t="shared" si="37"/>
        <v>1</v>
      </c>
      <c r="N24" s="5">
        <f t="shared" si="37"/>
        <v>1</v>
      </c>
      <c r="O24" s="5">
        <f t="shared" si="37"/>
        <v>1</v>
      </c>
      <c r="P24" s="5">
        <f t="shared" si="37"/>
        <v>1</v>
      </c>
      <c r="Q24" s="5">
        <f t="shared" si="37"/>
        <v>1</v>
      </c>
      <c r="R24" s="5">
        <f t="shared" si="37"/>
        <v>1</v>
      </c>
      <c r="S24" s="5">
        <f t="shared" si="37"/>
        <v>1</v>
      </c>
      <c r="T24" s="5">
        <f t="shared" si="37"/>
        <v>1</v>
      </c>
      <c r="U24" s="1"/>
      <c r="V24" s="352"/>
      <c r="Y24" s="356">
        <f t="shared" si="1"/>
        <v>404.84</v>
      </c>
      <c r="Z24" s="356">
        <f t="shared" si="2"/>
        <v>404.84</v>
      </c>
      <c r="AA24" s="356">
        <f t="shared" si="3"/>
        <v>404.84</v>
      </c>
      <c r="AB24" s="356">
        <f t="shared" si="4"/>
        <v>404.84</v>
      </c>
      <c r="AC24" s="356">
        <f t="shared" si="5"/>
        <v>404.84</v>
      </c>
      <c r="AD24" s="356">
        <f t="shared" si="6"/>
        <v>404.84</v>
      </c>
      <c r="AE24" s="356">
        <f t="shared" si="7"/>
        <v>404.84</v>
      </c>
      <c r="AF24" s="356">
        <f t="shared" si="8"/>
        <v>404.84</v>
      </c>
      <c r="AG24" s="356">
        <f t="shared" si="9"/>
        <v>404.84</v>
      </c>
      <c r="AH24" s="356">
        <f t="shared" si="10"/>
        <v>404.84</v>
      </c>
      <c r="AI24" s="356">
        <f t="shared" si="11"/>
        <v>404.84</v>
      </c>
      <c r="AJ24" s="356">
        <f t="shared" si="12"/>
        <v>404.84</v>
      </c>
      <c r="AL24" s="356">
        <f t="shared" si="13"/>
        <v>42.67</v>
      </c>
      <c r="AM24" s="356">
        <f t="shared" si="14"/>
        <v>42.67</v>
      </c>
      <c r="AN24" s="356">
        <f t="shared" si="15"/>
        <v>42.67</v>
      </c>
      <c r="AO24" s="356">
        <f t="shared" si="16"/>
        <v>42.67</v>
      </c>
      <c r="AP24" s="356">
        <f t="shared" si="17"/>
        <v>42.67</v>
      </c>
      <c r="AQ24" s="356">
        <f t="shared" si="18"/>
        <v>42.67</v>
      </c>
      <c r="AR24" s="356">
        <f t="shared" si="19"/>
        <v>42.67</v>
      </c>
      <c r="AS24" s="356">
        <f t="shared" si="20"/>
        <v>42.67</v>
      </c>
      <c r="AT24" s="356">
        <f t="shared" si="21"/>
        <v>42.67</v>
      </c>
      <c r="AU24" s="356">
        <f t="shared" si="22"/>
        <v>42.67</v>
      </c>
      <c r="AV24" s="356">
        <f t="shared" si="23"/>
        <v>42.67</v>
      </c>
      <c r="AW24" s="356">
        <f t="shared" si="24"/>
        <v>42.67</v>
      </c>
    </row>
    <row r="25" spans="2:36" s="6" customFormat="1" ht="12.75">
      <c r="B25" s="13"/>
      <c r="C25" s="1"/>
      <c r="D25" s="3" t="s">
        <v>649</v>
      </c>
      <c r="E25" s="3"/>
      <c r="F25" s="3"/>
      <c r="G25" s="357">
        <f>SUM(I25:T25)</f>
        <v>69220.32</v>
      </c>
      <c r="H25" s="160"/>
      <c r="I25" s="43">
        <f>+Y25</f>
        <v>5768.360000000001</v>
      </c>
      <c r="J25" s="43">
        <f aca="true" t="shared" si="38" ref="J25:T25">+Z25</f>
        <v>5768.360000000001</v>
      </c>
      <c r="K25" s="43">
        <f t="shared" si="38"/>
        <v>5768.360000000001</v>
      </c>
      <c r="L25" s="43">
        <f t="shared" si="38"/>
        <v>5768.360000000001</v>
      </c>
      <c r="M25" s="43">
        <f t="shared" si="38"/>
        <v>5768.360000000001</v>
      </c>
      <c r="N25" s="43">
        <f t="shared" si="38"/>
        <v>5768.360000000001</v>
      </c>
      <c r="O25" s="43">
        <f t="shared" si="38"/>
        <v>5768.360000000001</v>
      </c>
      <c r="P25" s="43">
        <f t="shared" si="38"/>
        <v>5768.360000000001</v>
      </c>
      <c r="Q25" s="43">
        <f t="shared" si="38"/>
        <v>5768.360000000001</v>
      </c>
      <c r="R25" s="43">
        <f t="shared" si="38"/>
        <v>5768.360000000001</v>
      </c>
      <c r="S25" s="43">
        <f t="shared" si="38"/>
        <v>5768.360000000001</v>
      </c>
      <c r="T25" s="43">
        <f t="shared" si="38"/>
        <v>5768.360000000001</v>
      </c>
      <c r="U25" s="1"/>
      <c r="V25" s="14"/>
      <c r="Y25" s="358">
        <f>SUM(Y12:Y24)</f>
        <v>5768.360000000001</v>
      </c>
      <c r="Z25" s="358">
        <f aca="true" t="shared" si="39" ref="Z25:AJ25">SUM(Z12:Z24)</f>
        <v>5768.360000000001</v>
      </c>
      <c r="AA25" s="358">
        <f t="shared" si="39"/>
        <v>5768.360000000001</v>
      </c>
      <c r="AB25" s="358">
        <f t="shared" si="39"/>
        <v>5768.360000000001</v>
      </c>
      <c r="AC25" s="358">
        <f t="shared" si="39"/>
        <v>5768.360000000001</v>
      </c>
      <c r="AD25" s="358">
        <f t="shared" si="39"/>
        <v>5768.360000000001</v>
      </c>
      <c r="AE25" s="358">
        <f t="shared" si="39"/>
        <v>5768.360000000001</v>
      </c>
      <c r="AF25" s="358">
        <f t="shared" si="39"/>
        <v>5768.360000000001</v>
      </c>
      <c r="AG25" s="358">
        <f t="shared" si="39"/>
        <v>5768.360000000001</v>
      </c>
      <c r="AH25" s="358">
        <f t="shared" si="39"/>
        <v>5768.360000000001</v>
      </c>
      <c r="AI25" s="358">
        <f t="shared" si="39"/>
        <v>5768.360000000001</v>
      </c>
      <c r="AJ25" s="358">
        <f t="shared" si="39"/>
        <v>5768.360000000001</v>
      </c>
    </row>
    <row r="26" spans="2:49" s="6" customFormat="1" ht="12.75">
      <c r="B26" s="13"/>
      <c r="C26" s="1"/>
      <c r="D26" s="3" t="s">
        <v>650</v>
      </c>
      <c r="E26" s="3"/>
      <c r="F26" s="3"/>
      <c r="G26" s="357">
        <f>SUM(I26:T26)</f>
        <v>7422.48</v>
      </c>
      <c r="H26" s="160"/>
      <c r="I26" s="43">
        <f>+AL26</f>
        <v>618.54</v>
      </c>
      <c r="J26" s="43">
        <f aca="true" t="shared" si="40" ref="J26:T26">+AM26</f>
        <v>618.54</v>
      </c>
      <c r="K26" s="43">
        <f t="shared" si="40"/>
        <v>618.54</v>
      </c>
      <c r="L26" s="43">
        <f t="shared" si="40"/>
        <v>618.54</v>
      </c>
      <c r="M26" s="43">
        <f t="shared" si="40"/>
        <v>618.54</v>
      </c>
      <c r="N26" s="43">
        <f t="shared" si="40"/>
        <v>618.54</v>
      </c>
      <c r="O26" s="43">
        <f t="shared" si="40"/>
        <v>618.54</v>
      </c>
      <c r="P26" s="43">
        <f t="shared" si="40"/>
        <v>618.54</v>
      </c>
      <c r="Q26" s="43">
        <f t="shared" si="40"/>
        <v>618.54</v>
      </c>
      <c r="R26" s="43">
        <f t="shared" si="40"/>
        <v>618.54</v>
      </c>
      <c r="S26" s="43">
        <f t="shared" si="40"/>
        <v>618.54</v>
      </c>
      <c r="T26" s="43">
        <f t="shared" si="40"/>
        <v>618.54</v>
      </c>
      <c r="U26" s="1"/>
      <c r="V26" s="14"/>
      <c r="AL26" s="358">
        <f aca="true" t="shared" si="41" ref="AL26:AW26">SUM(AL12:AL24)</f>
        <v>618.54</v>
      </c>
      <c r="AM26" s="358">
        <f t="shared" si="41"/>
        <v>618.54</v>
      </c>
      <c r="AN26" s="358">
        <f t="shared" si="41"/>
        <v>618.54</v>
      </c>
      <c r="AO26" s="358">
        <f t="shared" si="41"/>
        <v>618.54</v>
      </c>
      <c r="AP26" s="358">
        <f t="shared" si="41"/>
        <v>618.54</v>
      </c>
      <c r="AQ26" s="358">
        <f t="shared" si="41"/>
        <v>618.54</v>
      </c>
      <c r="AR26" s="358">
        <f t="shared" si="41"/>
        <v>618.54</v>
      </c>
      <c r="AS26" s="358">
        <f t="shared" si="41"/>
        <v>618.54</v>
      </c>
      <c r="AT26" s="358">
        <f t="shared" si="41"/>
        <v>618.54</v>
      </c>
      <c r="AU26" s="358">
        <f t="shared" si="41"/>
        <v>618.54</v>
      </c>
      <c r="AV26" s="358">
        <f t="shared" si="41"/>
        <v>618.54</v>
      </c>
      <c r="AW26" s="358">
        <f t="shared" si="41"/>
        <v>618.54</v>
      </c>
    </row>
    <row r="27" spans="2:22" ht="12.75">
      <c r="B27" s="61"/>
      <c r="C27" s="85"/>
      <c r="D27" s="3"/>
      <c r="E27" s="85"/>
      <c r="F27" s="3" t="s">
        <v>577</v>
      </c>
      <c r="G27" s="357">
        <f>SUM(G25:G26)</f>
        <v>76642.8</v>
      </c>
      <c r="H27" s="160"/>
      <c r="I27" s="83"/>
      <c r="J27" s="83"/>
      <c r="K27" s="23">
        <f>SUM(K12:K24)</f>
        <v>13</v>
      </c>
      <c r="L27" s="83"/>
      <c r="M27" s="83"/>
      <c r="N27" s="83"/>
      <c r="O27" s="83"/>
      <c r="P27" s="83"/>
      <c r="Q27" s="83"/>
      <c r="R27" s="83"/>
      <c r="S27" s="83"/>
      <c r="T27" s="83"/>
      <c r="U27" s="85"/>
      <c r="V27" s="352"/>
    </row>
    <row r="28" spans="2:22" ht="12.75">
      <c r="B28" s="61"/>
      <c r="C28" s="85"/>
      <c r="D28" s="3"/>
      <c r="E28" s="85"/>
      <c r="F28" s="85"/>
      <c r="G28" s="83"/>
      <c r="H28" s="85"/>
      <c r="I28" s="83"/>
      <c r="J28" s="83"/>
      <c r="K28" s="83"/>
      <c r="L28" s="83"/>
      <c r="M28" s="83"/>
      <c r="N28" s="83"/>
      <c r="O28" s="83"/>
      <c r="P28" s="83"/>
      <c r="Q28" s="83"/>
      <c r="R28" s="83"/>
      <c r="S28" s="83"/>
      <c r="T28" s="83"/>
      <c r="U28" s="85"/>
      <c r="V28" s="352"/>
    </row>
    <row r="29" spans="2:22" ht="12.75">
      <c r="B29" s="61"/>
      <c r="C29" s="62"/>
      <c r="D29" s="36"/>
      <c r="E29" s="62"/>
      <c r="F29" s="62"/>
      <c r="G29" s="55"/>
      <c r="H29" s="62"/>
      <c r="U29" s="62"/>
      <c r="V29" s="352"/>
    </row>
    <row r="30" spans="2:22" ht="12.75">
      <c r="B30" s="61"/>
      <c r="C30" s="85"/>
      <c r="D30" s="3"/>
      <c r="E30" s="85"/>
      <c r="F30" s="85"/>
      <c r="G30" s="83"/>
      <c r="H30" s="85"/>
      <c r="I30" s="83"/>
      <c r="J30" s="83"/>
      <c r="K30" s="83"/>
      <c r="L30" s="83"/>
      <c r="M30" s="83"/>
      <c r="N30" s="83"/>
      <c r="O30" s="83"/>
      <c r="P30" s="83"/>
      <c r="Q30" s="83"/>
      <c r="R30" s="83"/>
      <c r="S30" s="83"/>
      <c r="T30" s="83"/>
      <c r="U30" s="85"/>
      <c r="V30" s="352"/>
    </row>
    <row r="31" spans="2:22" ht="12.75">
      <c r="B31" s="61"/>
      <c r="C31" s="85"/>
      <c r="D31" s="2" t="s">
        <v>518</v>
      </c>
      <c r="E31" s="3" t="str">
        <f>tabel!B2</f>
        <v>2008/09</v>
      </c>
      <c r="F31" s="85"/>
      <c r="G31" s="83"/>
      <c r="H31" s="85"/>
      <c r="I31" s="83"/>
      <c r="J31" s="83"/>
      <c r="K31" s="68">
        <v>13</v>
      </c>
      <c r="L31" s="83"/>
      <c r="M31" s="83"/>
      <c r="N31" s="83"/>
      <c r="O31" s="83"/>
      <c r="P31" s="83"/>
      <c r="Q31" s="83"/>
      <c r="R31" s="83"/>
      <c r="S31" s="83"/>
      <c r="T31" s="83"/>
      <c r="U31" s="85"/>
      <c r="V31" s="352"/>
    </row>
    <row r="32" spans="2:49" ht="12.75">
      <c r="B32" s="61"/>
      <c r="C32" s="85"/>
      <c r="D32" s="2" t="s">
        <v>518</v>
      </c>
      <c r="E32" s="433" t="str">
        <f>tabel!C2</f>
        <v>2009/10</v>
      </c>
      <c r="F32" s="3" t="s">
        <v>704</v>
      </c>
      <c r="G32" s="4" t="str">
        <f>+G10</f>
        <v>2009/10</v>
      </c>
      <c r="H32" s="3"/>
      <c r="I32" s="162" t="s">
        <v>590</v>
      </c>
      <c r="J32" s="162" t="s">
        <v>591</v>
      </c>
      <c r="K32" s="162" t="s">
        <v>592</v>
      </c>
      <c r="L32" s="162" t="s">
        <v>593</v>
      </c>
      <c r="M32" s="162" t="s">
        <v>594</v>
      </c>
      <c r="N32" s="162" t="s">
        <v>588</v>
      </c>
      <c r="O32" s="162" t="s">
        <v>589</v>
      </c>
      <c r="P32" s="162" t="s">
        <v>595</v>
      </c>
      <c r="Q32" s="162" t="s">
        <v>596</v>
      </c>
      <c r="R32" s="162" t="s">
        <v>597</v>
      </c>
      <c r="S32" s="162" t="s">
        <v>598</v>
      </c>
      <c r="T32" s="162" t="s">
        <v>599</v>
      </c>
      <c r="U32" s="1"/>
      <c r="V32" s="352"/>
      <c r="Y32" s="56" t="s">
        <v>590</v>
      </c>
      <c r="Z32" s="56" t="s">
        <v>591</v>
      </c>
      <c r="AA32" s="56" t="s">
        <v>592</v>
      </c>
      <c r="AB32" s="56" t="s">
        <v>593</v>
      </c>
      <c r="AC32" s="105" t="s">
        <v>594</v>
      </c>
      <c r="AD32" s="105" t="s">
        <v>588</v>
      </c>
      <c r="AE32" s="105" t="s">
        <v>589</v>
      </c>
      <c r="AF32" s="105" t="s">
        <v>595</v>
      </c>
      <c r="AG32" s="105" t="s">
        <v>596</v>
      </c>
      <c r="AH32" s="105" t="s">
        <v>597</v>
      </c>
      <c r="AI32" s="105" t="s">
        <v>598</v>
      </c>
      <c r="AJ32" s="105" t="s">
        <v>599</v>
      </c>
      <c r="AL32" s="56" t="s">
        <v>590</v>
      </c>
      <c r="AM32" s="56" t="s">
        <v>591</v>
      </c>
      <c r="AN32" s="56" t="s">
        <v>592</v>
      </c>
      <c r="AO32" s="56" t="s">
        <v>593</v>
      </c>
      <c r="AP32" s="105" t="s">
        <v>594</v>
      </c>
      <c r="AQ32" s="105" t="s">
        <v>588</v>
      </c>
      <c r="AR32" s="105" t="s">
        <v>589</v>
      </c>
      <c r="AS32" s="105" t="s">
        <v>595</v>
      </c>
      <c r="AT32" s="105" t="s">
        <v>596</v>
      </c>
      <c r="AU32" s="105" t="s">
        <v>597</v>
      </c>
      <c r="AV32" s="105" t="s">
        <v>598</v>
      </c>
      <c r="AW32" s="105" t="s">
        <v>599</v>
      </c>
    </row>
    <row r="33" spans="2:49" ht="12.75">
      <c r="B33" s="61"/>
      <c r="C33" s="85"/>
      <c r="D33" s="85"/>
      <c r="E33" s="84"/>
      <c r="F33" s="3"/>
      <c r="G33" s="4"/>
      <c r="H33" s="3"/>
      <c r="I33" s="83"/>
      <c r="J33" s="83"/>
      <c r="K33" s="83"/>
      <c r="L33" s="83"/>
      <c r="M33" s="106"/>
      <c r="N33" s="106"/>
      <c r="O33" s="106"/>
      <c r="P33" s="106"/>
      <c r="Q33" s="106"/>
      <c r="R33" s="106"/>
      <c r="S33" s="106"/>
      <c r="T33" s="106"/>
      <c r="U33" s="1"/>
      <c r="V33" s="352"/>
      <c r="AC33" s="105"/>
      <c r="AD33" s="105"/>
      <c r="AE33" s="105"/>
      <c r="AF33" s="105"/>
      <c r="AG33" s="105"/>
      <c r="AH33" s="105"/>
      <c r="AI33" s="105"/>
      <c r="AJ33" s="105"/>
      <c r="AP33" s="105"/>
      <c r="AQ33" s="105"/>
      <c r="AR33" s="105"/>
      <c r="AS33" s="105"/>
      <c r="AT33" s="105"/>
      <c r="AU33" s="105"/>
      <c r="AV33" s="105"/>
      <c r="AW33" s="105"/>
    </row>
    <row r="34" spans="2:49" ht="12.75">
      <c r="B34" s="61"/>
      <c r="C34" s="85"/>
      <c r="D34" s="85" t="s">
        <v>473</v>
      </c>
      <c r="E34" s="85"/>
      <c r="F34" s="85" t="s">
        <v>661</v>
      </c>
      <c r="G34" s="108">
        <f aca="true" t="shared" si="42" ref="G34:G46">ROUND(SUM(I34:T34)/12,2)</f>
        <v>1</v>
      </c>
      <c r="H34" s="107"/>
      <c r="I34" s="68">
        <v>1</v>
      </c>
      <c r="J34" s="5">
        <f>+I34</f>
        <v>1</v>
      </c>
      <c r="K34" s="5">
        <f aca="true" t="shared" si="43" ref="K34:T34">+J34</f>
        <v>1</v>
      </c>
      <c r="L34" s="5">
        <f t="shared" si="43"/>
        <v>1</v>
      </c>
      <c r="M34" s="5">
        <f t="shared" si="43"/>
        <v>1</v>
      </c>
      <c r="N34" s="5">
        <f t="shared" si="43"/>
        <v>1</v>
      </c>
      <c r="O34" s="5">
        <f t="shared" si="43"/>
        <v>1</v>
      </c>
      <c r="P34" s="5">
        <f t="shared" si="43"/>
        <v>1</v>
      </c>
      <c r="Q34" s="5">
        <f t="shared" si="43"/>
        <v>1</v>
      </c>
      <c r="R34" s="5">
        <f t="shared" si="43"/>
        <v>1</v>
      </c>
      <c r="S34" s="5">
        <f t="shared" si="43"/>
        <v>1</v>
      </c>
      <c r="T34" s="5">
        <f t="shared" si="43"/>
        <v>1</v>
      </c>
      <c r="U34" s="1"/>
      <c r="V34" s="352"/>
      <c r="Y34" s="359">
        <f aca="true" t="shared" si="44" ref="Y34:Y46">ROUND(+I34*1/12*VLOOKUP($D34,LGFPOVO,3,FALSE),2)</f>
        <v>429.99</v>
      </c>
      <c r="Z34" s="359">
        <f aca="true" t="shared" si="45" ref="Z34:Z46">ROUND(+J34*1/12*VLOOKUP($D34,LGFPOVO,3,FALSE),2)</f>
        <v>429.99</v>
      </c>
      <c r="AA34" s="359">
        <f aca="true" t="shared" si="46" ref="AA34:AA46">ROUND(+K34*1/12*VLOOKUP($D34,LGFPOVO,3,FALSE),2)</f>
        <v>429.99</v>
      </c>
      <c r="AB34" s="359">
        <f aca="true" t="shared" si="47" ref="AB34:AB46">ROUND(+L34*1/12*VLOOKUP($D34,LGFPOVO,3,FALSE),2)</f>
        <v>429.99</v>
      </c>
      <c r="AC34" s="359">
        <f aca="true" t="shared" si="48" ref="AC34:AC46">ROUND(+M34*1/12*VLOOKUP($D34,LGFPOVO,3,FALSE),2)</f>
        <v>429.99</v>
      </c>
      <c r="AD34" s="359">
        <f aca="true" t="shared" si="49" ref="AD34:AD46">ROUND(+N34*1/12*VLOOKUP($D34,LGFPOVO,3,FALSE),2)</f>
        <v>429.99</v>
      </c>
      <c r="AE34" s="359">
        <f aca="true" t="shared" si="50" ref="AE34:AE46">ROUND(+O34*1/12*VLOOKUP($D34,LGFPOVO,3,FALSE),2)</f>
        <v>429.99</v>
      </c>
      <c r="AF34" s="359">
        <f aca="true" t="shared" si="51" ref="AF34:AF46">ROUND(+P34*1/12*VLOOKUP($D34,LGFPOVO,3,FALSE),2)</f>
        <v>429.99</v>
      </c>
      <c r="AG34" s="359">
        <f aca="true" t="shared" si="52" ref="AG34:AG46">ROUND(+Q34*1/12*VLOOKUP($D34,LGFPOVO,3,FALSE),2)</f>
        <v>429.99</v>
      </c>
      <c r="AH34" s="359">
        <f aca="true" t="shared" si="53" ref="AH34:AH46">ROUND(+R34*1/12*VLOOKUP($D34,LGFPOVO,3,FALSE),2)</f>
        <v>429.99</v>
      </c>
      <c r="AI34" s="359">
        <f aca="true" t="shared" si="54" ref="AI34:AI46">ROUND(+S34*1/12*VLOOKUP($D34,LGFPOVO,3,FALSE),2)</f>
        <v>429.99</v>
      </c>
      <c r="AJ34" s="359">
        <f aca="true" t="shared" si="55" ref="AJ34:AJ46">ROUND(+T34*1/12*VLOOKUP($D34,LGFPOVO,3,FALSE),2)</f>
        <v>429.99</v>
      </c>
      <c r="AL34" s="359">
        <f aca="true" t="shared" si="56" ref="AL34:AL46">ROUND(+I34*1/12*VLOOKUP($D34,LGFPOVO,5,FALSE),2)</f>
        <v>46.58</v>
      </c>
      <c r="AM34" s="359">
        <f aca="true" t="shared" si="57" ref="AM34:AM46">ROUND(+J34*1/12*VLOOKUP($D34,LGFPOVO,5,FALSE),2)</f>
        <v>46.58</v>
      </c>
      <c r="AN34" s="359">
        <f aca="true" t="shared" si="58" ref="AN34:AN46">ROUND(+K34*1/12*VLOOKUP($D34,LGFPOVO,5,FALSE),2)</f>
        <v>46.58</v>
      </c>
      <c r="AO34" s="359">
        <f aca="true" t="shared" si="59" ref="AO34:AO46">ROUND(+L34*1/12*VLOOKUP($D34,LGFPOVO,5,FALSE),2)</f>
        <v>46.58</v>
      </c>
      <c r="AP34" s="359">
        <f aca="true" t="shared" si="60" ref="AP34:AP46">ROUND(+M34*1/12*VLOOKUP($D34,LGFPOVO,5,FALSE),2)</f>
        <v>46.58</v>
      </c>
      <c r="AQ34" s="359">
        <f aca="true" t="shared" si="61" ref="AQ34:AQ46">ROUND(+N34*1/12*VLOOKUP($D34,LGFPOVO,5,FALSE),2)</f>
        <v>46.58</v>
      </c>
      <c r="AR34" s="359">
        <f aca="true" t="shared" si="62" ref="AR34:AR46">ROUND(+O34*1/12*VLOOKUP($D34,LGFPOVO,5,FALSE),2)</f>
        <v>46.58</v>
      </c>
      <c r="AS34" s="359">
        <f aca="true" t="shared" si="63" ref="AS34:AS46">ROUND(+P34*1/12*VLOOKUP($D34,LGFPOVO,5,FALSE),2)</f>
        <v>46.58</v>
      </c>
      <c r="AT34" s="359">
        <f aca="true" t="shared" si="64" ref="AT34:AT46">ROUND(+Q34*1/12*VLOOKUP($D34,LGFPOVO,5,FALSE),2)</f>
        <v>46.58</v>
      </c>
      <c r="AU34" s="359">
        <f aca="true" t="shared" si="65" ref="AU34:AU46">ROUND(+R34*1/12*VLOOKUP($D34,LGFPOVO,5,FALSE),2)</f>
        <v>46.58</v>
      </c>
      <c r="AV34" s="359">
        <f aca="true" t="shared" si="66" ref="AV34:AV46">ROUND(+S34*1/12*VLOOKUP($D34,LGFPOVO,5,FALSE),2)</f>
        <v>46.58</v>
      </c>
      <c r="AW34" s="359">
        <f aca="true" t="shared" si="67" ref="AW34:AW46">ROUND(+T34*1/12*VLOOKUP($D34,LGFPOVO,5,FALSE),2)</f>
        <v>46.58</v>
      </c>
    </row>
    <row r="35" spans="2:49" ht="12.75">
      <c r="B35" s="61"/>
      <c r="C35" s="85"/>
      <c r="D35" s="85" t="s">
        <v>474</v>
      </c>
      <c r="E35" s="85"/>
      <c r="F35" s="85" t="s">
        <v>661</v>
      </c>
      <c r="G35" s="108">
        <f t="shared" si="42"/>
        <v>1</v>
      </c>
      <c r="H35" s="107"/>
      <c r="I35" s="68">
        <v>1</v>
      </c>
      <c r="J35" s="5">
        <f aca="true" t="shared" si="68" ref="J35:T35">+I35</f>
        <v>1</v>
      </c>
      <c r="K35" s="5">
        <f t="shared" si="68"/>
        <v>1</v>
      </c>
      <c r="L35" s="5">
        <f t="shared" si="68"/>
        <v>1</v>
      </c>
      <c r="M35" s="5">
        <f t="shared" si="68"/>
        <v>1</v>
      </c>
      <c r="N35" s="5">
        <f t="shared" si="68"/>
        <v>1</v>
      </c>
      <c r="O35" s="5">
        <f t="shared" si="68"/>
        <v>1</v>
      </c>
      <c r="P35" s="5">
        <f t="shared" si="68"/>
        <v>1</v>
      </c>
      <c r="Q35" s="5">
        <f t="shared" si="68"/>
        <v>1</v>
      </c>
      <c r="R35" s="5">
        <f t="shared" si="68"/>
        <v>1</v>
      </c>
      <c r="S35" s="5">
        <f t="shared" si="68"/>
        <v>1</v>
      </c>
      <c r="T35" s="5">
        <f t="shared" si="68"/>
        <v>1</v>
      </c>
      <c r="U35" s="1"/>
      <c r="V35" s="352"/>
      <c r="Y35" s="359">
        <f t="shared" si="44"/>
        <v>278.11</v>
      </c>
      <c r="Z35" s="359">
        <f t="shared" si="45"/>
        <v>278.11</v>
      </c>
      <c r="AA35" s="359">
        <f t="shared" si="46"/>
        <v>278.11</v>
      </c>
      <c r="AB35" s="359">
        <f t="shared" si="47"/>
        <v>278.11</v>
      </c>
      <c r="AC35" s="359">
        <f t="shared" si="48"/>
        <v>278.11</v>
      </c>
      <c r="AD35" s="359">
        <f t="shared" si="49"/>
        <v>278.11</v>
      </c>
      <c r="AE35" s="359">
        <f t="shared" si="50"/>
        <v>278.11</v>
      </c>
      <c r="AF35" s="359">
        <f t="shared" si="51"/>
        <v>278.11</v>
      </c>
      <c r="AG35" s="359">
        <f t="shared" si="52"/>
        <v>278.11</v>
      </c>
      <c r="AH35" s="359">
        <f t="shared" si="53"/>
        <v>278.11</v>
      </c>
      <c r="AI35" s="359">
        <f t="shared" si="54"/>
        <v>278.11</v>
      </c>
      <c r="AJ35" s="359">
        <f t="shared" si="55"/>
        <v>278.11</v>
      </c>
      <c r="AL35" s="359">
        <f t="shared" si="56"/>
        <v>18</v>
      </c>
      <c r="AM35" s="359">
        <f t="shared" si="57"/>
        <v>18</v>
      </c>
      <c r="AN35" s="359">
        <f t="shared" si="58"/>
        <v>18</v>
      </c>
      <c r="AO35" s="359">
        <f t="shared" si="59"/>
        <v>18</v>
      </c>
      <c r="AP35" s="359">
        <f t="shared" si="60"/>
        <v>18</v>
      </c>
      <c r="AQ35" s="359">
        <f t="shared" si="61"/>
        <v>18</v>
      </c>
      <c r="AR35" s="359">
        <f t="shared" si="62"/>
        <v>18</v>
      </c>
      <c r="AS35" s="359">
        <f t="shared" si="63"/>
        <v>18</v>
      </c>
      <c r="AT35" s="359">
        <f t="shared" si="64"/>
        <v>18</v>
      </c>
      <c r="AU35" s="359">
        <f t="shared" si="65"/>
        <v>18</v>
      </c>
      <c r="AV35" s="359">
        <f t="shared" si="66"/>
        <v>18</v>
      </c>
      <c r="AW35" s="359">
        <f t="shared" si="67"/>
        <v>18</v>
      </c>
    </row>
    <row r="36" spans="2:49" ht="12.75">
      <c r="B36" s="61"/>
      <c r="C36" s="85"/>
      <c r="D36" s="85" t="s">
        <v>475</v>
      </c>
      <c r="E36" s="85"/>
      <c r="F36" s="85" t="s">
        <v>661</v>
      </c>
      <c r="G36" s="108">
        <f t="shared" si="42"/>
        <v>1</v>
      </c>
      <c r="H36" s="107"/>
      <c r="I36" s="68">
        <v>1</v>
      </c>
      <c r="J36" s="5">
        <f aca="true" t="shared" si="69" ref="J36:T36">+I36</f>
        <v>1</v>
      </c>
      <c r="K36" s="5">
        <f t="shared" si="69"/>
        <v>1</v>
      </c>
      <c r="L36" s="5">
        <f t="shared" si="69"/>
        <v>1</v>
      </c>
      <c r="M36" s="5">
        <f t="shared" si="69"/>
        <v>1</v>
      </c>
      <c r="N36" s="5">
        <f t="shared" si="69"/>
        <v>1</v>
      </c>
      <c r="O36" s="5">
        <f t="shared" si="69"/>
        <v>1</v>
      </c>
      <c r="P36" s="5">
        <f t="shared" si="69"/>
        <v>1</v>
      </c>
      <c r="Q36" s="5">
        <f t="shared" si="69"/>
        <v>1</v>
      </c>
      <c r="R36" s="5">
        <f t="shared" si="69"/>
        <v>1</v>
      </c>
      <c r="S36" s="5">
        <f t="shared" si="69"/>
        <v>1</v>
      </c>
      <c r="T36" s="5">
        <f t="shared" si="69"/>
        <v>1</v>
      </c>
      <c r="U36" s="1"/>
      <c r="V36" s="352"/>
      <c r="Y36" s="359">
        <f t="shared" si="44"/>
        <v>0</v>
      </c>
      <c r="Z36" s="359">
        <f t="shared" si="45"/>
        <v>0</v>
      </c>
      <c r="AA36" s="359">
        <f t="shared" si="46"/>
        <v>0</v>
      </c>
      <c r="AB36" s="359">
        <f t="shared" si="47"/>
        <v>0</v>
      </c>
      <c r="AC36" s="359">
        <f t="shared" si="48"/>
        <v>0</v>
      </c>
      <c r="AD36" s="359">
        <f t="shared" si="49"/>
        <v>0</v>
      </c>
      <c r="AE36" s="359">
        <f t="shared" si="50"/>
        <v>0</v>
      </c>
      <c r="AF36" s="359">
        <f t="shared" si="51"/>
        <v>0</v>
      </c>
      <c r="AG36" s="359">
        <f t="shared" si="52"/>
        <v>0</v>
      </c>
      <c r="AH36" s="359">
        <f t="shared" si="53"/>
        <v>0</v>
      </c>
      <c r="AI36" s="359">
        <f t="shared" si="54"/>
        <v>0</v>
      </c>
      <c r="AJ36" s="359">
        <f t="shared" si="55"/>
        <v>0</v>
      </c>
      <c r="AL36" s="359">
        <f t="shared" si="56"/>
        <v>0</v>
      </c>
      <c r="AM36" s="359">
        <f t="shared" si="57"/>
        <v>0</v>
      </c>
      <c r="AN36" s="359">
        <f t="shared" si="58"/>
        <v>0</v>
      </c>
      <c r="AO36" s="359">
        <f t="shared" si="59"/>
        <v>0</v>
      </c>
      <c r="AP36" s="359">
        <f t="shared" si="60"/>
        <v>0</v>
      </c>
      <c r="AQ36" s="359">
        <f t="shared" si="61"/>
        <v>0</v>
      </c>
      <c r="AR36" s="359">
        <f t="shared" si="62"/>
        <v>0</v>
      </c>
      <c r="AS36" s="359">
        <f t="shared" si="63"/>
        <v>0</v>
      </c>
      <c r="AT36" s="359">
        <f t="shared" si="64"/>
        <v>0</v>
      </c>
      <c r="AU36" s="359">
        <f t="shared" si="65"/>
        <v>0</v>
      </c>
      <c r="AV36" s="359">
        <f t="shared" si="66"/>
        <v>0</v>
      </c>
      <c r="AW36" s="359">
        <f t="shared" si="67"/>
        <v>0</v>
      </c>
    </row>
    <row r="37" spans="2:49" ht="12.75">
      <c r="B37" s="61"/>
      <c r="C37" s="85"/>
      <c r="D37" s="85" t="s">
        <v>476</v>
      </c>
      <c r="E37" s="85"/>
      <c r="F37" s="85" t="s">
        <v>661</v>
      </c>
      <c r="G37" s="108">
        <f t="shared" si="42"/>
        <v>1</v>
      </c>
      <c r="H37" s="107"/>
      <c r="I37" s="68">
        <v>1</v>
      </c>
      <c r="J37" s="5">
        <f aca="true" t="shared" si="70" ref="J37:T37">+I37</f>
        <v>1</v>
      </c>
      <c r="K37" s="5">
        <f t="shared" si="70"/>
        <v>1</v>
      </c>
      <c r="L37" s="5">
        <f t="shared" si="70"/>
        <v>1</v>
      </c>
      <c r="M37" s="5">
        <f t="shared" si="70"/>
        <v>1</v>
      </c>
      <c r="N37" s="5">
        <f t="shared" si="70"/>
        <v>1</v>
      </c>
      <c r="O37" s="5">
        <f t="shared" si="70"/>
        <v>1</v>
      </c>
      <c r="P37" s="5">
        <f t="shared" si="70"/>
        <v>1</v>
      </c>
      <c r="Q37" s="5">
        <f t="shared" si="70"/>
        <v>1</v>
      </c>
      <c r="R37" s="5">
        <f t="shared" si="70"/>
        <v>1</v>
      </c>
      <c r="S37" s="5">
        <f t="shared" si="70"/>
        <v>1</v>
      </c>
      <c r="T37" s="5">
        <f t="shared" si="70"/>
        <v>1</v>
      </c>
      <c r="U37" s="1"/>
      <c r="V37" s="352"/>
      <c r="Y37" s="359">
        <f t="shared" si="44"/>
        <v>429.99</v>
      </c>
      <c r="Z37" s="359">
        <f t="shared" si="45"/>
        <v>429.99</v>
      </c>
      <c r="AA37" s="359">
        <f t="shared" si="46"/>
        <v>429.99</v>
      </c>
      <c r="AB37" s="359">
        <f t="shared" si="47"/>
        <v>429.99</v>
      </c>
      <c r="AC37" s="359">
        <f t="shared" si="48"/>
        <v>429.99</v>
      </c>
      <c r="AD37" s="359">
        <f t="shared" si="49"/>
        <v>429.99</v>
      </c>
      <c r="AE37" s="359">
        <f t="shared" si="50"/>
        <v>429.99</v>
      </c>
      <c r="AF37" s="359">
        <f t="shared" si="51"/>
        <v>429.99</v>
      </c>
      <c r="AG37" s="359">
        <f t="shared" si="52"/>
        <v>429.99</v>
      </c>
      <c r="AH37" s="359">
        <f t="shared" si="53"/>
        <v>429.99</v>
      </c>
      <c r="AI37" s="359">
        <f t="shared" si="54"/>
        <v>429.99</v>
      </c>
      <c r="AJ37" s="359">
        <f t="shared" si="55"/>
        <v>429.99</v>
      </c>
      <c r="AL37" s="359">
        <f t="shared" si="56"/>
        <v>39.08</v>
      </c>
      <c r="AM37" s="359">
        <f t="shared" si="57"/>
        <v>39.08</v>
      </c>
      <c r="AN37" s="359">
        <f t="shared" si="58"/>
        <v>39.08</v>
      </c>
      <c r="AO37" s="359">
        <f t="shared" si="59"/>
        <v>39.08</v>
      </c>
      <c r="AP37" s="359">
        <f t="shared" si="60"/>
        <v>39.08</v>
      </c>
      <c r="AQ37" s="359">
        <f t="shared" si="61"/>
        <v>39.08</v>
      </c>
      <c r="AR37" s="359">
        <f t="shared" si="62"/>
        <v>39.08</v>
      </c>
      <c r="AS37" s="359">
        <f t="shared" si="63"/>
        <v>39.08</v>
      </c>
      <c r="AT37" s="359">
        <f t="shared" si="64"/>
        <v>39.08</v>
      </c>
      <c r="AU37" s="359">
        <f t="shared" si="65"/>
        <v>39.08</v>
      </c>
      <c r="AV37" s="359">
        <f t="shared" si="66"/>
        <v>39.08</v>
      </c>
      <c r="AW37" s="359">
        <f t="shared" si="67"/>
        <v>39.08</v>
      </c>
    </row>
    <row r="38" spans="2:49" ht="12.75">
      <c r="B38" s="61"/>
      <c r="C38" s="85"/>
      <c r="D38" s="85" t="s">
        <v>478</v>
      </c>
      <c r="E38" s="85"/>
      <c r="F38" s="85" t="s">
        <v>661</v>
      </c>
      <c r="G38" s="108">
        <f t="shared" si="42"/>
        <v>1</v>
      </c>
      <c r="H38" s="107"/>
      <c r="I38" s="68">
        <v>1</v>
      </c>
      <c r="J38" s="5">
        <f aca="true" t="shared" si="71" ref="J38:T38">+I38</f>
        <v>1</v>
      </c>
      <c r="K38" s="5">
        <f t="shared" si="71"/>
        <v>1</v>
      </c>
      <c r="L38" s="5">
        <f t="shared" si="71"/>
        <v>1</v>
      </c>
      <c r="M38" s="5">
        <f t="shared" si="71"/>
        <v>1</v>
      </c>
      <c r="N38" s="5">
        <f t="shared" si="71"/>
        <v>1</v>
      </c>
      <c r="O38" s="5">
        <f t="shared" si="71"/>
        <v>1</v>
      </c>
      <c r="P38" s="5">
        <f t="shared" si="71"/>
        <v>1</v>
      </c>
      <c r="Q38" s="5">
        <f t="shared" si="71"/>
        <v>1</v>
      </c>
      <c r="R38" s="5">
        <f t="shared" si="71"/>
        <v>1</v>
      </c>
      <c r="S38" s="5">
        <f t="shared" si="71"/>
        <v>1</v>
      </c>
      <c r="T38" s="5">
        <f t="shared" si="71"/>
        <v>1</v>
      </c>
      <c r="U38" s="1"/>
      <c r="V38" s="352"/>
      <c r="Y38" s="359">
        <f t="shared" si="44"/>
        <v>278.11</v>
      </c>
      <c r="Z38" s="359">
        <f t="shared" si="45"/>
        <v>278.11</v>
      </c>
      <c r="AA38" s="359">
        <f t="shared" si="46"/>
        <v>278.11</v>
      </c>
      <c r="AB38" s="359">
        <f t="shared" si="47"/>
        <v>278.11</v>
      </c>
      <c r="AC38" s="359">
        <f t="shared" si="48"/>
        <v>278.11</v>
      </c>
      <c r="AD38" s="359">
        <f t="shared" si="49"/>
        <v>278.11</v>
      </c>
      <c r="AE38" s="359">
        <f t="shared" si="50"/>
        <v>278.11</v>
      </c>
      <c r="AF38" s="359">
        <f t="shared" si="51"/>
        <v>278.11</v>
      </c>
      <c r="AG38" s="359">
        <f t="shared" si="52"/>
        <v>278.11</v>
      </c>
      <c r="AH38" s="359">
        <f t="shared" si="53"/>
        <v>278.11</v>
      </c>
      <c r="AI38" s="359">
        <f t="shared" si="54"/>
        <v>278.11</v>
      </c>
      <c r="AJ38" s="359">
        <f t="shared" si="55"/>
        <v>278.11</v>
      </c>
      <c r="AL38" s="359">
        <f t="shared" si="56"/>
        <v>22.83</v>
      </c>
      <c r="AM38" s="359">
        <f t="shared" si="57"/>
        <v>22.83</v>
      </c>
      <c r="AN38" s="359">
        <f t="shared" si="58"/>
        <v>22.83</v>
      </c>
      <c r="AO38" s="359">
        <f t="shared" si="59"/>
        <v>22.83</v>
      </c>
      <c r="AP38" s="359">
        <f t="shared" si="60"/>
        <v>22.83</v>
      </c>
      <c r="AQ38" s="359">
        <f t="shared" si="61"/>
        <v>22.83</v>
      </c>
      <c r="AR38" s="359">
        <f t="shared" si="62"/>
        <v>22.83</v>
      </c>
      <c r="AS38" s="359">
        <f t="shared" si="63"/>
        <v>22.83</v>
      </c>
      <c r="AT38" s="359">
        <f t="shared" si="64"/>
        <v>22.83</v>
      </c>
      <c r="AU38" s="359">
        <f t="shared" si="65"/>
        <v>22.83</v>
      </c>
      <c r="AV38" s="359">
        <f t="shared" si="66"/>
        <v>22.83</v>
      </c>
      <c r="AW38" s="359">
        <f t="shared" si="67"/>
        <v>22.83</v>
      </c>
    </row>
    <row r="39" spans="2:49" ht="12.75">
      <c r="B39" s="61"/>
      <c r="C39" s="85"/>
      <c r="D39" s="85" t="s">
        <v>479</v>
      </c>
      <c r="E39" s="85"/>
      <c r="F39" s="85" t="s">
        <v>661</v>
      </c>
      <c r="G39" s="108">
        <f t="shared" si="42"/>
        <v>1</v>
      </c>
      <c r="H39" s="107"/>
      <c r="I39" s="68">
        <v>1</v>
      </c>
      <c r="J39" s="5">
        <f aca="true" t="shared" si="72" ref="J39:T39">+I39</f>
        <v>1</v>
      </c>
      <c r="K39" s="5">
        <f t="shared" si="72"/>
        <v>1</v>
      </c>
      <c r="L39" s="5">
        <f t="shared" si="72"/>
        <v>1</v>
      </c>
      <c r="M39" s="5">
        <f t="shared" si="72"/>
        <v>1</v>
      </c>
      <c r="N39" s="5">
        <f t="shared" si="72"/>
        <v>1</v>
      </c>
      <c r="O39" s="5">
        <f t="shared" si="72"/>
        <v>1</v>
      </c>
      <c r="P39" s="5">
        <f t="shared" si="72"/>
        <v>1</v>
      </c>
      <c r="Q39" s="5">
        <f t="shared" si="72"/>
        <v>1</v>
      </c>
      <c r="R39" s="5">
        <f t="shared" si="72"/>
        <v>1</v>
      </c>
      <c r="S39" s="5">
        <f t="shared" si="72"/>
        <v>1</v>
      </c>
      <c r="T39" s="5">
        <f t="shared" si="72"/>
        <v>1</v>
      </c>
      <c r="U39" s="1"/>
      <c r="V39" s="352"/>
      <c r="Y39" s="359">
        <f t="shared" si="44"/>
        <v>278.11</v>
      </c>
      <c r="Z39" s="359">
        <f t="shared" si="45"/>
        <v>278.11</v>
      </c>
      <c r="AA39" s="359">
        <f t="shared" si="46"/>
        <v>278.11</v>
      </c>
      <c r="AB39" s="359">
        <f t="shared" si="47"/>
        <v>278.11</v>
      </c>
      <c r="AC39" s="359">
        <f t="shared" si="48"/>
        <v>278.11</v>
      </c>
      <c r="AD39" s="359">
        <f t="shared" si="49"/>
        <v>278.11</v>
      </c>
      <c r="AE39" s="359">
        <f t="shared" si="50"/>
        <v>278.11</v>
      </c>
      <c r="AF39" s="359">
        <f t="shared" si="51"/>
        <v>278.11</v>
      </c>
      <c r="AG39" s="359">
        <f t="shared" si="52"/>
        <v>278.11</v>
      </c>
      <c r="AH39" s="359">
        <f t="shared" si="53"/>
        <v>278.11</v>
      </c>
      <c r="AI39" s="359">
        <f t="shared" si="54"/>
        <v>278.11</v>
      </c>
      <c r="AJ39" s="359">
        <f t="shared" si="55"/>
        <v>278.11</v>
      </c>
      <c r="AL39" s="359">
        <f t="shared" si="56"/>
        <v>22.83</v>
      </c>
      <c r="AM39" s="359">
        <f t="shared" si="57"/>
        <v>22.83</v>
      </c>
      <c r="AN39" s="359">
        <f t="shared" si="58"/>
        <v>22.83</v>
      </c>
      <c r="AO39" s="359">
        <f t="shared" si="59"/>
        <v>22.83</v>
      </c>
      <c r="AP39" s="359">
        <f t="shared" si="60"/>
        <v>22.83</v>
      </c>
      <c r="AQ39" s="359">
        <f t="shared" si="61"/>
        <v>22.83</v>
      </c>
      <c r="AR39" s="359">
        <f t="shared" si="62"/>
        <v>22.83</v>
      </c>
      <c r="AS39" s="359">
        <f t="shared" si="63"/>
        <v>22.83</v>
      </c>
      <c r="AT39" s="359">
        <f t="shared" si="64"/>
        <v>22.83</v>
      </c>
      <c r="AU39" s="359">
        <f t="shared" si="65"/>
        <v>22.83</v>
      </c>
      <c r="AV39" s="359">
        <f t="shared" si="66"/>
        <v>22.83</v>
      </c>
      <c r="AW39" s="359">
        <f t="shared" si="67"/>
        <v>22.83</v>
      </c>
    </row>
    <row r="40" spans="2:49" ht="12.75">
      <c r="B40" s="61"/>
      <c r="C40" s="85"/>
      <c r="D40" s="85" t="s">
        <v>477</v>
      </c>
      <c r="E40" s="85"/>
      <c r="F40" s="85" t="s">
        <v>661</v>
      </c>
      <c r="G40" s="108">
        <f t="shared" si="42"/>
        <v>1</v>
      </c>
      <c r="H40" s="107"/>
      <c r="I40" s="68">
        <v>1</v>
      </c>
      <c r="J40" s="5">
        <f aca="true" t="shared" si="73" ref="J40:T40">+I40</f>
        <v>1</v>
      </c>
      <c r="K40" s="5">
        <f t="shared" si="73"/>
        <v>1</v>
      </c>
      <c r="L40" s="5">
        <f t="shared" si="73"/>
        <v>1</v>
      </c>
      <c r="M40" s="5">
        <f t="shared" si="73"/>
        <v>1</v>
      </c>
      <c r="N40" s="5">
        <f t="shared" si="73"/>
        <v>1</v>
      </c>
      <c r="O40" s="5">
        <f t="shared" si="73"/>
        <v>1</v>
      </c>
      <c r="P40" s="5">
        <f t="shared" si="73"/>
        <v>1</v>
      </c>
      <c r="Q40" s="5">
        <f t="shared" si="73"/>
        <v>1</v>
      </c>
      <c r="R40" s="5">
        <f t="shared" si="73"/>
        <v>1</v>
      </c>
      <c r="S40" s="5">
        <f t="shared" si="73"/>
        <v>1</v>
      </c>
      <c r="T40" s="5">
        <f t="shared" si="73"/>
        <v>1</v>
      </c>
      <c r="U40" s="1"/>
      <c r="V40" s="352"/>
      <c r="Y40" s="359">
        <f t="shared" si="44"/>
        <v>278.11</v>
      </c>
      <c r="Z40" s="359">
        <f t="shared" si="45"/>
        <v>278.11</v>
      </c>
      <c r="AA40" s="359">
        <f t="shared" si="46"/>
        <v>278.11</v>
      </c>
      <c r="AB40" s="359">
        <f t="shared" si="47"/>
        <v>278.11</v>
      </c>
      <c r="AC40" s="359">
        <f t="shared" si="48"/>
        <v>278.11</v>
      </c>
      <c r="AD40" s="359">
        <f t="shared" si="49"/>
        <v>278.11</v>
      </c>
      <c r="AE40" s="359">
        <f t="shared" si="50"/>
        <v>278.11</v>
      </c>
      <c r="AF40" s="359">
        <f t="shared" si="51"/>
        <v>278.11</v>
      </c>
      <c r="AG40" s="359">
        <f t="shared" si="52"/>
        <v>278.11</v>
      </c>
      <c r="AH40" s="359">
        <f t="shared" si="53"/>
        <v>278.11</v>
      </c>
      <c r="AI40" s="359">
        <f t="shared" si="54"/>
        <v>278.11</v>
      </c>
      <c r="AJ40" s="359">
        <f t="shared" si="55"/>
        <v>278.11</v>
      </c>
      <c r="AL40" s="359">
        <f t="shared" si="56"/>
        <v>12.42</v>
      </c>
      <c r="AM40" s="359">
        <f t="shared" si="57"/>
        <v>12.42</v>
      </c>
      <c r="AN40" s="359">
        <f t="shared" si="58"/>
        <v>12.42</v>
      </c>
      <c r="AO40" s="359">
        <f t="shared" si="59"/>
        <v>12.42</v>
      </c>
      <c r="AP40" s="359">
        <f t="shared" si="60"/>
        <v>12.42</v>
      </c>
      <c r="AQ40" s="359">
        <f t="shared" si="61"/>
        <v>12.42</v>
      </c>
      <c r="AR40" s="359">
        <f t="shared" si="62"/>
        <v>12.42</v>
      </c>
      <c r="AS40" s="359">
        <f t="shared" si="63"/>
        <v>12.42</v>
      </c>
      <c r="AT40" s="359">
        <f t="shared" si="64"/>
        <v>12.42</v>
      </c>
      <c r="AU40" s="359">
        <f t="shared" si="65"/>
        <v>12.42</v>
      </c>
      <c r="AV40" s="359">
        <f t="shared" si="66"/>
        <v>12.42</v>
      </c>
      <c r="AW40" s="359">
        <f t="shared" si="67"/>
        <v>12.42</v>
      </c>
    </row>
    <row r="41" spans="2:49" ht="12.75">
      <c r="B41" s="61"/>
      <c r="C41" s="85"/>
      <c r="D41" s="85" t="s">
        <v>480</v>
      </c>
      <c r="E41" s="85"/>
      <c r="F41" s="85" t="s">
        <v>661</v>
      </c>
      <c r="G41" s="108">
        <f t="shared" si="42"/>
        <v>1</v>
      </c>
      <c r="H41" s="107"/>
      <c r="I41" s="68">
        <v>1</v>
      </c>
      <c r="J41" s="5">
        <f aca="true" t="shared" si="74" ref="J41:T41">+I41</f>
        <v>1</v>
      </c>
      <c r="K41" s="5">
        <f t="shared" si="74"/>
        <v>1</v>
      </c>
      <c r="L41" s="5">
        <f t="shared" si="74"/>
        <v>1</v>
      </c>
      <c r="M41" s="5">
        <f t="shared" si="74"/>
        <v>1</v>
      </c>
      <c r="N41" s="5">
        <f t="shared" si="74"/>
        <v>1</v>
      </c>
      <c r="O41" s="5">
        <f t="shared" si="74"/>
        <v>1</v>
      </c>
      <c r="P41" s="5">
        <f t="shared" si="74"/>
        <v>1</v>
      </c>
      <c r="Q41" s="5">
        <f t="shared" si="74"/>
        <v>1</v>
      </c>
      <c r="R41" s="5">
        <f t="shared" si="74"/>
        <v>1</v>
      </c>
      <c r="S41" s="5">
        <f t="shared" si="74"/>
        <v>1</v>
      </c>
      <c r="T41" s="5">
        <f t="shared" si="74"/>
        <v>1</v>
      </c>
      <c r="U41" s="1"/>
      <c r="V41" s="352"/>
      <c r="Y41" s="359">
        <f t="shared" si="44"/>
        <v>278.11</v>
      </c>
      <c r="Z41" s="359">
        <f t="shared" si="45"/>
        <v>278.11</v>
      </c>
      <c r="AA41" s="359">
        <f t="shared" si="46"/>
        <v>278.11</v>
      </c>
      <c r="AB41" s="359">
        <f t="shared" si="47"/>
        <v>278.11</v>
      </c>
      <c r="AC41" s="359">
        <f t="shared" si="48"/>
        <v>278.11</v>
      </c>
      <c r="AD41" s="359">
        <f t="shared" si="49"/>
        <v>278.11</v>
      </c>
      <c r="AE41" s="359">
        <f t="shared" si="50"/>
        <v>278.11</v>
      </c>
      <c r="AF41" s="359">
        <f t="shared" si="51"/>
        <v>278.11</v>
      </c>
      <c r="AG41" s="359">
        <f t="shared" si="52"/>
        <v>278.11</v>
      </c>
      <c r="AH41" s="359">
        <f t="shared" si="53"/>
        <v>278.11</v>
      </c>
      <c r="AI41" s="359">
        <f t="shared" si="54"/>
        <v>278.11</v>
      </c>
      <c r="AJ41" s="359">
        <f t="shared" si="55"/>
        <v>278.11</v>
      </c>
      <c r="AL41" s="359">
        <f t="shared" si="56"/>
        <v>22.83</v>
      </c>
      <c r="AM41" s="359">
        <f t="shared" si="57"/>
        <v>22.83</v>
      </c>
      <c r="AN41" s="359">
        <f t="shared" si="58"/>
        <v>22.83</v>
      </c>
      <c r="AO41" s="359">
        <f t="shared" si="59"/>
        <v>22.83</v>
      </c>
      <c r="AP41" s="359">
        <f t="shared" si="60"/>
        <v>22.83</v>
      </c>
      <c r="AQ41" s="359">
        <f t="shared" si="61"/>
        <v>22.83</v>
      </c>
      <c r="AR41" s="359">
        <f t="shared" si="62"/>
        <v>22.83</v>
      </c>
      <c r="AS41" s="359">
        <f t="shared" si="63"/>
        <v>22.83</v>
      </c>
      <c r="AT41" s="359">
        <f t="shared" si="64"/>
        <v>22.83</v>
      </c>
      <c r="AU41" s="359">
        <f t="shared" si="65"/>
        <v>22.83</v>
      </c>
      <c r="AV41" s="359">
        <f t="shared" si="66"/>
        <v>22.83</v>
      </c>
      <c r="AW41" s="359">
        <f t="shared" si="67"/>
        <v>22.83</v>
      </c>
    </row>
    <row r="42" spans="2:49" ht="12.75">
      <c r="B42" s="61"/>
      <c r="C42" s="85"/>
      <c r="D42" s="85" t="s">
        <v>481</v>
      </c>
      <c r="E42" s="85"/>
      <c r="F42" s="85" t="s">
        <v>661</v>
      </c>
      <c r="G42" s="108">
        <f t="shared" si="42"/>
        <v>1</v>
      </c>
      <c r="H42" s="107"/>
      <c r="I42" s="68">
        <v>1</v>
      </c>
      <c r="J42" s="5">
        <f aca="true" t="shared" si="75" ref="J42:T42">+I42</f>
        <v>1</v>
      </c>
      <c r="K42" s="5">
        <f t="shared" si="75"/>
        <v>1</v>
      </c>
      <c r="L42" s="5">
        <f t="shared" si="75"/>
        <v>1</v>
      </c>
      <c r="M42" s="5">
        <f t="shared" si="75"/>
        <v>1</v>
      </c>
      <c r="N42" s="5">
        <f t="shared" si="75"/>
        <v>1</v>
      </c>
      <c r="O42" s="5">
        <f t="shared" si="75"/>
        <v>1</v>
      </c>
      <c r="P42" s="5">
        <f t="shared" si="75"/>
        <v>1</v>
      </c>
      <c r="Q42" s="5">
        <f t="shared" si="75"/>
        <v>1</v>
      </c>
      <c r="R42" s="5">
        <f t="shared" si="75"/>
        <v>1</v>
      </c>
      <c r="S42" s="5">
        <f t="shared" si="75"/>
        <v>1</v>
      </c>
      <c r="T42" s="5">
        <f t="shared" si="75"/>
        <v>1</v>
      </c>
      <c r="U42" s="1"/>
      <c r="V42" s="352"/>
      <c r="Y42" s="359">
        <f t="shared" si="44"/>
        <v>278.11</v>
      </c>
      <c r="Z42" s="359">
        <f t="shared" si="45"/>
        <v>278.11</v>
      </c>
      <c r="AA42" s="359">
        <f t="shared" si="46"/>
        <v>278.11</v>
      </c>
      <c r="AB42" s="359">
        <f t="shared" si="47"/>
        <v>278.11</v>
      </c>
      <c r="AC42" s="359">
        <f t="shared" si="48"/>
        <v>278.11</v>
      </c>
      <c r="AD42" s="359">
        <f t="shared" si="49"/>
        <v>278.11</v>
      </c>
      <c r="AE42" s="359">
        <f t="shared" si="50"/>
        <v>278.11</v>
      </c>
      <c r="AF42" s="359">
        <f t="shared" si="51"/>
        <v>278.11</v>
      </c>
      <c r="AG42" s="359">
        <f t="shared" si="52"/>
        <v>278.11</v>
      </c>
      <c r="AH42" s="359">
        <f t="shared" si="53"/>
        <v>278.11</v>
      </c>
      <c r="AI42" s="359">
        <f t="shared" si="54"/>
        <v>278.11</v>
      </c>
      <c r="AJ42" s="359">
        <f t="shared" si="55"/>
        <v>278.11</v>
      </c>
      <c r="AL42" s="359">
        <f t="shared" si="56"/>
        <v>22.83</v>
      </c>
      <c r="AM42" s="359">
        <f t="shared" si="57"/>
        <v>22.83</v>
      </c>
      <c r="AN42" s="359">
        <f t="shared" si="58"/>
        <v>22.83</v>
      </c>
      <c r="AO42" s="359">
        <f t="shared" si="59"/>
        <v>22.83</v>
      </c>
      <c r="AP42" s="359">
        <f t="shared" si="60"/>
        <v>22.83</v>
      </c>
      <c r="AQ42" s="359">
        <f t="shared" si="61"/>
        <v>22.83</v>
      </c>
      <c r="AR42" s="359">
        <f t="shared" si="62"/>
        <v>22.83</v>
      </c>
      <c r="AS42" s="359">
        <f t="shared" si="63"/>
        <v>22.83</v>
      </c>
      <c r="AT42" s="359">
        <f t="shared" si="64"/>
        <v>22.83</v>
      </c>
      <c r="AU42" s="359">
        <f t="shared" si="65"/>
        <v>22.83</v>
      </c>
      <c r="AV42" s="359">
        <f t="shared" si="66"/>
        <v>22.83</v>
      </c>
      <c r="AW42" s="359">
        <f t="shared" si="67"/>
        <v>22.83</v>
      </c>
    </row>
    <row r="43" spans="2:49" ht="12.75">
      <c r="B43" s="61"/>
      <c r="C43" s="85"/>
      <c r="D43" s="85" t="s">
        <v>483</v>
      </c>
      <c r="E43" s="85"/>
      <c r="F43" s="85" t="s">
        <v>661</v>
      </c>
      <c r="G43" s="108">
        <f t="shared" si="42"/>
        <v>1</v>
      </c>
      <c r="H43" s="107"/>
      <c r="I43" s="68">
        <v>1</v>
      </c>
      <c r="J43" s="5">
        <f aca="true" t="shared" si="76" ref="J43:T43">+I43</f>
        <v>1</v>
      </c>
      <c r="K43" s="5">
        <f t="shared" si="76"/>
        <v>1</v>
      </c>
      <c r="L43" s="5">
        <f t="shared" si="76"/>
        <v>1</v>
      </c>
      <c r="M43" s="5">
        <f t="shared" si="76"/>
        <v>1</v>
      </c>
      <c r="N43" s="5">
        <f t="shared" si="76"/>
        <v>1</v>
      </c>
      <c r="O43" s="5">
        <f t="shared" si="76"/>
        <v>1</v>
      </c>
      <c r="P43" s="5">
        <f t="shared" si="76"/>
        <v>1</v>
      </c>
      <c r="Q43" s="5">
        <f t="shared" si="76"/>
        <v>1</v>
      </c>
      <c r="R43" s="5">
        <f t="shared" si="76"/>
        <v>1</v>
      </c>
      <c r="S43" s="5">
        <f t="shared" si="76"/>
        <v>1</v>
      </c>
      <c r="T43" s="5">
        <f t="shared" si="76"/>
        <v>1</v>
      </c>
      <c r="U43" s="1"/>
      <c r="V43" s="352"/>
      <c r="Y43" s="359">
        <f t="shared" si="44"/>
        <v>278.11</v>
      </c>
      <c r="Z43" s="359">
        <f t="shared" si="45"/>
        <v>278.11</v>
      </c>
      <c r="AA43" s="359">
        <f t="shared" si="46"/>
        <v>278.11</v>
      </c>
      <c r="AB43" s="359">
        <f t="shared" si="47"/>
        <v>278.11</v>
      </c>
      <c r="AC43" s="359">
        <f t="shared" si="48"/>
        <v>278.11</v>
      </c>
      <c r="AD43" s="359">
        <f t="shared" si="49"/>
        <v>278.11</v>
      </c>
      <c r="AE43" s="359">
        <f t="shared" si="50"/>
        <v>278.11</v>
      </c>
      <c r="AF43" s="359">
        <f t="shared" si="51"/>
        <v>278.11</v>
      </c>
      <c r="AG43" s="359">
        <f t="shared" si="52"/>
        <v>278.11</v>
      </c>
      <c r="AH43" s="359">
        <f t="shared" si="53"/>
        <v>278.11</v>
      </c>
      <c r="AI43" s="359">
        <f t="shared" si="54"/>
        <v>278.11</v>
      </c>
      <c r="AJ43" s="359">
        <f t="shared" si="55"/>
        <v>278.11</v>
      </c>
      <c r="AL43" s="359">
        <f t="shared" si="56"/>
        <v>22.83</v>
      </c>
      <c r="AM43" s="359">
        <f t="shared" si="57"/>
        <v>22.83</v>
      </c>
      <c r="AN43" s="359">
        <f t="shared" si="58"/>
        <v>22.83</v>
      </c>
      <c r="AO43" s="359">
        <f t="shared" si="59"/>
        <v>22.83</v>
      </c>
      <c r="AP43" s="359">
        <f t="shared" si="60"/>
        <v>22.83</v>
      </c>
      <c r="AQ43" s="359">
        <f t="shared" si="61"/>
        <v>22.83</v>
      </c>
      <c r="AR43" s="359">
        <f t="shared" si="62"/>
        <v>22.83</v>
      </c>
      <c r="AS43" s="359">
        <f t="shared" si="63"/>
        <v>22.83</v>
      </c>
      <c r="AT43" s="359">
        <f t="shared" si="64"/>
        <v>22.83</v>
      </c>
      <c r="AU43" s="359">
        <f t="shared" si="65"/>
        <v>22.83</v>
      </c>
      <c r="AV43" s="359">
        <f t="shared" si="66"/>
        <v>22.83</v>
      </c>
      <c r="AW43" s="359">
        <f t="shared" si="67"/>
        <v>22.83</v>
      </c>
    </row>
    <row r="44" spans="2:49" ht="12.75">
      <c r="B44" s="61"/>
      <c r="C44" s="85"/>
      <c r="D44" s="85" t="s">
        <v>484</v>
      </c>
      <c r="E44" s="85"/>
      <c r="F44" s="85" t="s">
        <v>661</v>
      </c>
      <c r="G44" s="108">
        <f t="shared" si="42"/>
        <v>1</v>
      </c>
      <c r="H44" s="107"/>
      <c r="I44" s="68">
        <v>1</v>
      </c>
      <c r="J44" s="5">
        <f aca="true" t="shared" si="77" ref="J44:T44">+I44</f>
        <v>1</v>
      </c>
      <c r="K44" s="5">
        <f t="shared" si="77"/>
        <v>1</v>
      </c>
      <c r="L44" s="5">
        <f t="shared" si="77"/>
        <v>1</v>
      </c>
      <c r="M44" s="5">
        <f t="shared" si="77"/>
        <v>1</v>
      </c>
      <c r="N44" s="5">
        <f t="shared" si="77"/>
        <v>1</v>
      </c>
      <c r="O44" s="5">
        <f t="shared" si="77"/>
        <v>1</v>
      </c>
      <c r="P44" s="5">
        <f t="shared" si="77"/>
        <v>1</v>
      </c>
      <c r="Q44" s="5">
        <f t="shared" si="77"/>
        <v>1</v>
      </c>
      <c r="R44" s="5">
        <f t="shared" si="77"/>
        <v>1</v>
      </c>
      <c r="S44" s="5">
        <f t="shared" si="77"/>
        <v>1</v>
      </c>
      <c r="T44" s="5">
        <f t="shared" si="77"/>
        <v>1</v>
      </c>
      <c r="U44" s="1"/>
      <c r="V44" s="352"/>
      <c r="Y44" s="359">
        <f t="shared" si="44"/>
        <v>278.11</v>
      </c>
      <c r="Z44" s="359">
        <f t="shared" si="45"/>
        <v>278.11</v>
      </c>
      <c r="AA44" s="359">
        <f t="shared" si="46"/>
        <v>278.11</v>
      </c>
      <c r="AB44" s="359">
        <f t="shared" si="47"/>
        <v>278.11</v>
      </c>
      <c r="AC44" s="359">
        <f t="shared" si="48"/>
        <v>278.11</v>
      </c>
      <c r="AD44" s="359">
        <f t="shared" si="49"/>
        <v>278.11</v>
      </c>
      <c r="AE44" s="359">
        <f t="shared" si="50"/>
        <v>278.11</v>
      </c>
      <c r="AF44" s="359">
        <f t="shared" si="51"/>
        <v>278.11</v>
      </c>
      <c r="AG44" s="359">
        <f t="shared" si="52"/>
        <v>278.11</v>
      </c>
      <c r="AH44" s="359">
        <f t="shared" si="53"/>
        <v>278.11</v>
      </c>
      <c r="AI44" s="359">
        <f t="shared" si="54"/>
        <v>278.11</v>
      </c>
      <c r="AJ44" s="359">
        <f t="shared" si="55"/>
        <v>278.11</v>
      </c>
      <c r="AL44" s="359">
        <f t="shared" si="56"/>
        <v>22.83</v>
      </c>
      <c r="AM44" s="359">
        <f t="shared" si="57"/>
        <v>22.83</v>
      </c>
      <c r="AN44" s="359">
        <f t="shared" si="58"/>
        <v>22.83</v>
      </c>
      <c r="AO44" s="359">
        <f t="shared" si="59"/>
        <v>22.83</v>
      </c>
      <c r="AP44" s="359">
        <f t="shared" si="60"/>
        <v>22.83</v>
      </c>
      <c r="AQ44" s="359">
        <f t="shared" si="61"/>
        <v>22.83</v>
      </c>
      <c r="AR44" s="359">
        <f t="shared" si="62"/>
        <v>22.83</v>
      </c>
      <c r="AS44" s="359">
        <f t="shared" si="63"/>
        <v>22.83</v>
      </c>
      <c r="AT44" s="359">
        <f t="shared" si="64"/>
        <v>22.83</v>
      </c>
      <c r="AU44" s="359">
        <f t="shared" si="65"/>
        <v>22.83</v>
      </c>
      <c r="AV44" s="359">
        <f t="shared" si="66"/>
        <v>22.83</v>
      </c>
      <c r="AW44" s="359">
        <f t="shared" si="67"/>
        <v>22.83</v>
      </c>
    </row>
    <row r="45" spans="2:49" ht="12.75">
      <c r="B45" s="61"/>
      <c r="C45" s="85"/>
      <c r="D45" s="85" t="s">
        <v>482</v>
      </c>
      <c r="E45" s="85"/>
      <c r="F45" s="85" t="s">
        <v>661</v>
      </c>
      <c r="G45" s="108">
        <f t="shared" si="42"/>
        <v>1</v>
      </c>
      <c r="H45" s="107"/>
      <c r="I45" s="68">
        <v>1</v>
      </c>
      <c r="J45" s="5">
        <f aca="true" t="shared" si="78" ref="J45:T45">+I45</f>
        <v>1</v>
      </c>
      <c r="K45" s="5">
        <f t="shared" si="78"/>
        <v>1</v>
      </c>
      <c r="L45" s="5">
        <f t="shared" si="78"/>
        <v>1</v>
      </c>
      <c r="M45" s="5">
        <f t="shared" si="78"/>
        <v>1</v>
      </c>
      <c r="N45" s="5">
        <f t="shared" si="78"/>
        <v>1</v>
      </c>
      <c r="O45" s="5">
        <f t="shared" si="78"/>
        <v>1</v>
      </c>
      <c r="P45" s="5">
        <f t="shared" si="78"/>
        <v>1</v>
      </c>
      <c r="Q45" s="5">
        <f t="shared" si="78"/>
        <v>1</v>
      </c>
      <c r="R45" s="5">
        <f t="shared" si="78"/>
        <v>1</v>
      </c>
      <c r="S45" s="5">
        <f t="shared" si="78"/>
        <v>1</v>
      </c>
      <c r="T45" s="5">
        <f t="shared" si="78"/>
        <v>1</v>
      </c>
      <c r="U45" s="1"/>
      <c r="V45" s="352"/>
      <c r="Y45" s="359">
        <f t="shared" si="44"/>
        <v>278.11</v>
      </c>
      <c r="Z45" s="359">
        <f t="shared" si="45"/>
        <v>278.11</v>
      </c>
      <c r="AA45" s="359">
        <f t="shared" si="46"/>
        <v>278.11</v>
      </c>
      <c r="AB45" s="359">
        <f t="shared" si="47"/>
        <v>278.11</v>
      </c>
      <c r="AC45" s="359">
        <f t="shared" si="48"/>
        <v>278.11</v>
      </c>
      <c r="AD45" s="359">
        <f t="shared" si="49"/>
        <v>278.11</v>
      </c>
      <c r="AE45" s="359">
        <f t="shared" si="50"/>
        <v>278.11</v>
      </c>
      <c r="AF45" s="359">
        <f t="shared" si="51"/>
        <v>278.11</v>
      </c>
      <c r="AG45" s="359">
        <f t="shared" si="52"/>
        <v>278.11</v>
      </c>
      <c r="AH45" s="359">
        <f t="shared" si="53"/>
        <v>278.11</v>
      </c>
      <c r="AI45" s="359">
        <f t="shared" si="54"/>
        <v>278.11</v>
      </c>
      <c r="AJ45" s="359">
        <f t="shared" si="55"/>
        <v>278.11</v>
      </c>
      <c r="AL45" s="359">
        <f t="shared" si="56"/>
        <v>22.83</v>
      </c>
      <c r="AM45" s="359">
        <f t="shared" si="57"/>
        <v>22.83</v>
      </c>
      <c r="AN45" s="359">
        <f t="shared" si="58"/>
        <v>22.83</v>
      </c>
      <c r="AO45" s="359">
        <f t="shared" si="59"/>
        <v>22.83</v>
      </c>
      <c r="AP45" s="359">
        <f t="shared" si="60"/>
        <v>22.83</v>
      </c>
      <c r="AQ45" s="359">
        <f t="shared" si="61"/>
        <v>22.83</v>
      </c>
      <c r="AR45" s="359">
        <f t="shared" si="62"/>
        <v>22.83</v>
      </c>
      <c r="AS45" s="359">
        <f t="shared" si="63"/>
        <v>22.83</v>
      </c>
      <c r="AT45" s="359">
        <f t="shared" si="64"/>
        <v>22.83</v>
      </c>
      <c r="AU45" s="359">
        <f t="shared" si="65"/>
        <v>22.83</v>
      </c>
      <c r="AV45" s="359">
        <f t="shared" si="66"/>
        <v>22.83</v>
      </c>
      <c r="AW45" s="359">
        <f t="shared" si="67"/>
        <v>22.83</v>
      </c>
    </row>
    <row r="46" spans="2:49" ht="12.75">
      <c r="B46" s="61"/>
      <c r="C46" s="85"/>
      <c r="D46" s="85" t="s">
        <v>485</v>
      </c>
      <c r="E46" s="85"/>
      <c r="F46" s="85" t="s">
        <v>661</v>
      </c>
      <c r="G46" s="108">
        <f t="shared" si="42"/>
        <v>1</v>
      </c>
      <c r="H46" s="107"/>
      <c r="I46" s="68">
        <v>1</v>
      </c>
      <c r="J46" s="5">
        <f aca="true" t="shared" si="79" ref="J46:T46">+I46</f>
        <v>1</v>
      </c>
      <c r="K46" s="5">
        <f t="shared" si="79"/>
        <v>1</v>
      </c>
      <c r="L46" s="5">
        <f t="shared" si="79"/>
        <v>1</v>
      </c>
      <c r="M46" s="5">
        <f t="shared" si="79"/>
        <v>1</v>
      </c>
      <c r="N46" s="5">
        <f t="shared" si="79"/>
        <v>1</v>
      </c>
      <c r="O46" s="5">
        <f t="shared" si="79"/>
        <v>1</v>
      </c>
      <c r="P46" s="5">
        <f t="shared" si="79"/>
        <v>1</v>
      </c>
      <c r="Q46" s="5">
        <f t="shared" si="79"/>
        <v>1</v>
      </c>
      <c r="R46" s="5">
        <f t="shared" si="79"/>
        <v>1</v>
      </c>
      <c r="S46" s="5">
        <f t="shared" si="79"/>
        <v>1</v>
      </c>
      <c r="T46" s="5">
        <f t="shared" si="79"/>
        <v>1</v>
      </c>
      <c r="U46" s="1"/>
      <c r="V46" s="352"/>
      <c r="Y46" s="359">
        <f t="shared" si="44"/>
        <v>278.11</v>
      </c>
      <c r="Z46" s="359">
        <f t="shared" si="45"/>
        <v>278.11</v>
      </c>
      <c r="AA46" s="359">
        <f t="shared" si="46"/>
        <v>278.11</v>
      </c>
      <c r="AB46" s="359">
        <f t="shared" si="47"/>
        <v>278.11</v>
      </c>
      <c r="AC46" s="359">
        <f t="shared" si="48"/>
        <v>278.11</v>
      </c>
      <c r="AD46" s="359">
        <f t="shared" si="49"/>
        <v>278.11</v>
      </c>
      <c r="AE46" s="359">
        <f t="shared" si="50"/>
        <v>278.11</v>
      </c>
      <c r="AF46" s="359">
        <f t="shared" si="51"/>
        <v>278.11</v>
      </c>
      <c r="AG46" s="359">
        <f t="shared" si="52"/>
        <v>278.11</v>
      </c>
      <c r="AH46" s="359">
        <f t="shared" si="53"/>
        <v>278.11</v>
      </c>
      <c r="AI46" s="359">
        <f t="shared" si="54"/>
        <v>278.11</v>
      </c>
      <c r="AJ46" s="359">
        <f t="shared" si="55"/>
        <v>278.11</v>
      </c>
      <c r="AL46" s="359">
        <f t="shared" si="56"/>
        <v>22.83</v>
      </c>
      <c r="AM46" s="359">
        <f t="shared" si="57"/>
        <v>22.83</v>
      </c>
      <c r="AN46" s="359">
        <f t="shared" si="58"/>
        <v>22.83</v>
      </c>
      <c r="AO46" s="359">
        <f t="shared" si="59"/>
        <v>22.83</v>
      </c>
      <c r="AP46" s="359">
        <f t="shared" si="60"/>
        <v>22.83</v>
      </c>
      <c r="AQ46" s="359">
        <f t="shared" si="61"/>
        <v>22.83</v>
      </c>
      <c r="AR46" s="359">
        <f t="shared" si="62"/>
        <v>22.83</v>
      </c>
      <c r="AS46" s="359">
        <f t="shared" si="63"/>
        <v>22.83</v>
      </c>
      <c r="AT46" s="359">
        <f t="shared" si="64"/>
        <v>22.83</v>
      </c>
      <c r="AU46" s="359">
        <f t="shared" si="65"/>
        <v>22.83</v>
      </c>
      <c r="AV46" s="359">
        <f t="shared" si="66"/>
        <v>22.83</v>
      </c>
      <c r="AW46" s="359">
        <f t="shared" si="67"/>
        <v>22.83</v>
      </c>
    </row>
    <row r="47" spans="2:36" s="6" customFormat="1" ht="12.75">
      <c r="B47" s="13"/>
      <c r="C47" s="1"/>
      <c r="D47" s="3" t="s">
        <v>649</v>
      </c>
      <c r="E47" s="3"/>
      <c r="F47" s="3"/>
      <c r="G47" s="357">
        <f>SUM(I47:T47)</f>
        <v>43692.960000000014</v>
      </c>
      <c r="H47" s="160"/>
      <c r="I47" s="43">
        <f>+Y47</f>
        <v>3641.0800000000013</v>
      </c>
      <c r="J47" s="43">
        <f aca="true" t="shared" si="80" ref="J47:T47">+Z47</f>
        <v>3641.0800000000013</v>
      </c>
      <c r="K47" s="43">
        <f t="shared" si="80"/>
        <v>3641.0800000000013</v>
      </c>
      <c r="L47" s="43">
        <f t="shared" si="80"/>
        <v>3641.0800000000013</v>
      </c>
      <c r="M47" s="43">
        <f t="shared" si="80"/>
        <v>3641.0800000000013</v>
      </c>
      <c r="N47" s="43">
        <f t="shared" si="80"/>
        <v>3641.0800000000013</v>
      </c>
      <c r="O47" s="43">
        <f t="shared" si="80"/>
        <v>3641.0800000000013</v>
      </c>
      <c r="P47" s="43">
        <f t="shared" si="80"/>
        <v>3641.0800000000013</v>
      </c>
      <c r="Q47" s="43">
        <f t="shared" si="80"/>
        <v>3641.0800000000013</v>
      </c>
      <c r="R47" s="43">
        <f t="shared" si="80"/>
        <v>3641.0800000000013</v>
      </c>
      <c r="S47" s="43">
        <f t="shared" si="80"/>
        <v>3641.0800000000013</v>
      </c>
      <c r="T47" s="43">
        <f t="shared" si="80"/>
        <v>3641.0800000000013</v>
      </c>
      <c r="U47" s="1"/>
      <c r="V47" s="14"/>
      <c r="Y47" s="358">
        <f aca="true" t="shared" si="81" ref="Y47:AJ47">SUM(Y34:Y46)</f>
        <v>3641.0800000000013</v>
      </c>
      <c r="Z47" s="358">
        <f t="shared" si="81"/>
        <v>3641.0800000000013</v>
      </c>
      <c r="AA47" s="358">
        <f t="shared" si="81"/>
        <v>3641.0800000000013</v>
      </c>
      <c r="AB47" s="358">
        <f t="shared" si="81"/>
        <v>3641.0800000000013</v>
      </c>
      <c r="AC47" s="358">
        <f t="shared" si="81"/>
        <v>3641.0800000000013</v>
      </c>
      <c r="AD47" s="358">
        <f t="shared" si="81"/>
        <v>3641.0800000000013</v>
      </c>
      <c r="AE47" s="358">
        <f t="shared" si="81"/>
        <v>3641.0800000000013</v>
      </c>
      <c r="AF47" s="358">
        <f t="shared" si="81"/>
        <v>3641.0800000000013</v>
      </c>
      <c r="AG47" s="358">
        <f t="shared" si="81"/>
        <v>3641.0800000000013</v>
      </c>
      <c r="AH47" s="358">
        <f t="shared" si="81"/>
        <v>3641.0800000000013</v>
      </c>
      <c r="AI47" s="358">
        <f t="shared" si="81"/>
        <v>3641.0800000000013</v>
      </c>
      <c r="AJ47" s="358">
        <f t="shared" si="81"/>
        <v>3641.0800000000013</v>
      </c>
    </row>
    <row r="48" spans="2:49" s="6" customFormat="1" ht="12.75">
      <c r="B48" s="13"/>
      <c r="C48" s="1"/>
      <c r="D48" s="3" t="s">
        <v>650</v>
      </c>
      <c r="E48" s="3"/>
      <c r="F48" s="3"/>
      <c r="G48" s="357">
        <f>SUM(I48:T48)</f>
        <v>3584.639999999998</v>
      </c>
      <c r="H48" s="160"/>
      <c r="I48" s="43">
        <f aca="true" t="shared" si="82" ref="I48:T48">+AL48</f>
        <v>298.7199999999999</v>
      </c>
      <c r="J48" s="43">
        <f t="shared" si="82"/>
        <v>298.7199999999999</v>
      </c>
      <c r="K48" s="43">
        <f>+AN48</f>
        <v>298.7199999999999</v>
      </c>
      <c r="L48" s="43">
        <f t="shared" si="82"/>
        <v>298.7199999999999</v>
      </c>
      <c r="M48" s="43">
        <f t="shared" si="82"/>
        <v>298.7199999999999</v>
      </c>
      <c r="N48" s="43">
        <f t="shared" si="82"/>
        <v>298.7199999999999</v>
      </c>
      <c r="O48" s="43">
        <f t="shared" si="82"/>
        <v>298.7199999999999</v>
      </c>
      <c r="P48" s="43">
        <f t="shared" si="82"/>
        <v>298.7199999999999</v>
      </c>
      <c r="Q48" s="43">
        <f t="shared" si="82"/>
        <v>298.7199999999999</v>
      </c>
      <c r="R48" s="43">
        <f t="shared" si="82"/>
        <v>298.7199999999999</v>
      </c>
      <c r="S48" s="43">
        <f t="shared" si="82"/>
        <v>298.7199999999999</v>
      </c>
      <c r="T48" s="43">
        <f t="shared" si="82"/>
        <v>298.7199999999999</v>
      </c>
      <c r="U48" s="1"/>
      <c r="V48" s="14"/>
      <c r="AL48" s="358">
        <f aca="true" t="shared" si="83" ref="AL48:AW48">SUM(AL34:AL46)</f>
        <v>298.7199999999999</v>
      </c>
      <c r="AM48" s="358">
        <f t="shared" si="83"/>
        <v>298.7199999999999</v>
      </c>
      <c r="AN48" s="358">
        <f t="shared" si="83"/>
        <v>298.7199999999999</v>
      </c>
      <c r="AO48" s="358">
        <f t="shared" si="83"/>
        <v>298.7199999999999</v>
      </c>
      <c r="AP48" s="358">
        <f t="shared" si="83"/>
        <v>298.7199999999999</v>
      </c>
      <c r="AQ48" s="358">
        <f t="shared" si="83"/>
        <v>298.7199999999999</v>
      </c>
      <c r="AR48" s="358">
        <f t="shared" si="83"/>
        <v>298.7199999999999</v>
      </c>
      <c r="AS48" s="358">
        <f t="shared" si="83"/>
        <v>298.7199999999999</v>
      </c>
      <c r="AT48" s="358">
        <f t="shared" si="83"/>
        <v>298.7199999999999</v>
      </c>
      <c r="AU48" s="358">
        <f t="shared" si="83"/>
        <v>298.7199999999999</v>
      </c>
      <c r="AV48" s="358">
        <f t="shared" si="83"/>
        <v>298.7199999999999</v>
      </c>
      <c r="AW48" s="358">
        <f t="shared" si="83"/>
        <v>298.7199999999999</v>
      </c>
    </row>
    <row r="49" spans="2:22" ht="12.75">
      <c r="B49" s="61"/>
      <c r="C49" s="85"/>
      <c r="D49" s="3"/>
      <c r="E49" s="85"/>
      <c r="F49" s="3" t="s">
        <v>577</v>
      </c>
      <c r="G49" s="357">
        <f>SUM(G47:G48)</f>
        <v>47277.60000000001</v>
      </c>
      <c r="H49" s="160"/>
      <c r="I49" s="83"/>
      <c r="J49" s="83"/>
      <c r="K49" s="23">
        <f>SUM(K34:K46)</f>
        <v>13</v>
      </c>
      <c r="L49" s="83"/>
      <c r="M49" s="83"/>
      <c r="N49" s="83"/>
      <c r="O49" s="83"/>
      <c r="P49" s="83"/>
      <c r="Q49" s="83"/>
      <c r="R49" s="83"/>
      <c r="S49" s="83"/>
      <c r="T49" s="83"/>
      <c r="U49" s="85"/>
      <c r="V49" s="352"/>
    </row>
    <row r="50" spans="2:22" ht="12.75">
      <c r="B50" s="61"/>
      <c r="C50" s="85"/>
      <c r="D50" s="85"/>
      <c r="E50" s="85"/>
      <c r="F50" s="85"/>
      <c r="G50" s="83"/>
      <c r="H50" s="85"/>
      <c r="I50" s="83"/>
      <c r="J50" s="83"/>
      <c r="K50" s="83"/>
      <c r="L50" s="83"/>
      <c r="M50" s="83"/>
      <c r="N50" s="83"/>
      <c r="O50" s="83"/>
      <c r="P50" s="83"/>
      <c r="Q50" s="83"/>
      <c r="R50" s="83"/>
      <c r="S50" s="83"/>
      <c r="T50" s="83"/>
      <c r="U50" s="85"/>
      <c r="V50" s="352"/>
    </row>
    <row r="51" spans="2:22" ht="12.75">
      <c r="B51" s="61"/>
      <c r="C51" s="85"/>
      <c r="D51" s="3" t="s">
        <v>659</v>
      </c>
      <c r="E51" s="1"/>
      <c r="F51" s="1"/>
      <c r="G51" s="357">
        <f>+G25+G47</f>
        <v>112913.28000000003</v>
      </c>
      <c r="H51" s="160"/>
      <c r="I51" s="83"/>
      <c r="J51" s="83"/>
      <c r="K51" s="83"/>
      <c r="L51" s="83"/>
      <c r="M51" s="83"/>
      <c r="N51" s="83"/>
      <c r="O51" s="83"/>
      <c r="P51" s="83"/>
      <c r="Q51" s="83"/>
      <c r="R51" s="83"/>
      <c r="S51" s="83"/>
      <c r="T51" s="83"/>
      <c r="U51" s="85"/>
      <c r="V51" s="352"/>
    </row>
    <row r="52" spans="2:22" ht="12.75">
      <c r="B52" s="61"/>
      <c r="C52" s="85"/>
      <c r="D52" s="3" t="s">
        <v>660</v>
      </c>
      <c r="E52" s="1"/>
      <c r="F52" s="1"/>
      <c r="G52" s="357">
        <f>+G26+G48</f>
        <v>11007.119999999997</v>
      </c>
      <c r="H52" s="160"/>
      <c r="I52" s="83"/>
      <c r="J52" s="83"/>
      <c r="K52" s="83"/>
      <c r="L52" s="83"/>
      <c r="M52" s="83"/>
      <c r="N52" s="83"/>
      <c r="O52" s="83"/>
      <c r="P52" s="83"/>
      <c r="Q52" s="83"/>
      <c r="R52" s="83"/>
      <c r="S52" s="83"/>
      <c r="T52" s="83"/>
      <c r="U52" s="85"/>
      <c r="V52" s="352"/>
    </row>
    <row r="53" spans="2:22" ht="12.75">
      <c r="B53" s="61"/>
      <c r="C53" s="85"/>
      <c r="D53" s="85"/>
      <c r="E53" s="85"/>
      <c r="F53" s="3" t="s">
        <v>577</v>
      </c>
      <c r="G53" s="357">
        <f>SUM(G51:G52)</f>
        <v>123920.40000000002</v>
      </c>
      <c r="H53" s="160"/>
      <c r="I53" s="83"/>
      <c r="J53" s="83"/>
      <c r="K53" s="83"/>
      <c r="L53" s="83"/>
      <c r="M53" s="83"/>
      <c r="N53" s="83"/>
      <c r="O53" s="83"/>
      <c r="P53" s="83"/>
      <c r="Q53" s="83"/>
      <c r="R53" s="83"/>
      <c r="S53" s="83"/>
      <c r="T53" s="83"/>
      <c r="U53" s="85"/>
      <c r="V53" s="352"/>
    </row>
    <row r="54" spans="2:22" ht="12.75">
      <c r="B54" s="61"/>
      <c r="C54" s="85"/>
      <c r="D54" s="85"/>
      <c r="E54" s="85"/>
      <c r="F54" s="85"/>
      <c r="G54" s="83"/>
      <c r="H54" s="85"/>
      <c r="I54" s="83"/>
      <c r="J54" s="83"/>
      <c r="K54" s="83"/>
      <c r="L54" s="83"/>
      <c r="M54" s="83"/>
      <c r="N54" s="83"/>
      <c r="O54" s="83"/>
      <c r="P54" s="83"/>
      <c r="Q54" s="83"/>
      <c r="R54" s="83"/>
      <c r="S54" s="83"/>
      <c r="T54" s="83"/>
      <c r="U54" s="85"/>
      <c r="V54" s="352"/>
    </row>
    <row r="55" spans="2:22" ht="12.75">
      <c r="B55" s="61"/>
      <c r="C55" s="62"/>
      <c r="D55" s="62"/>
      <c r="E55" s="62"/>
      <c r="F55" s="62"/>
      <c r="G55" s="55"/>
      <c r="H55" s="62"/>
      <c r="U55" s="62"/>
      <c r="V55" s="352"/>
    </row>
    <row r="56" spans="2:22" ht="13.5" thickBot="1">
      <c r="B56" s="70"/>
      <c r="C56" s="71"/>
      <c r="D56" s="71"/>
      <c r="E56" s="71"/>
      <c r="F56" s="71"/>
      <c r="G56" s="75"/>
      <c r="H56" s="71"/>
      <c r="I56" s="75"/>
      <c r="J56" s="75"/>
      <c r="K56" s="75"/>
      <c r="L56" s="75"/>
      <c r="M56" s="75"/>
      <c r="N56" s="75"/>
      <c r="O56" s="75"/>
      <c r="P56" s="75"/>
      <c r="Q56" s="75"/>
      <c r="R56" s="75"/>
      <c r="S56" s="75"/>
      <c r="T56" s="75"/>
      <c r="U56" s="71"/>
      <c r="V56" s="360"/>
    </row>
    <row r="57" spans="2:22" ht="12.75">
      <c r="B57" s="76"/>
      <c r="C57" s="77"/>
      <c r="D57" s="77"/>
      <c r="E57" s="77"/>
      <c r="F57" s="77"/>
      <c r="G57" s="58"/>
      <c r="H57" s="77"/>
      <c r="I57" s="58"/>
      <c r="J57" s="58"/>
      <c r="K57" s="58"/>
      <c r="L57" s="58"/>
      <c r="M57" s="58"/>
      <c r="N57" s="58"/>
      <c r="O57" s="58"/>
      <c r="P57" s="58"/>
      <c r="Q57" s="58"/>
      <c r="R57" s="58"/>
      <c r="S57" s="58"/>
      <c r="T57" s="58"/>
      <c r="U57" s="77"/>
      <c r="V57" s="351"/>
    </row>
    <row r="58" spans="2:22" ht="12.75">
      <c r="B58" s="61"/>
      <c r="C58" s="62"/>
      <c r="D58" s="62"/>
      <c r="E58" s="62"/>
      <c r="F58" s="62"/>
      <c r="G58" s="55"/>
      <c r="H58" s="62"/>
      <c r="U58" s="62"/>
      <c r="V58" s="352"/>
    </row>
    <row r="59" spans="2:22" ht="18">
      <c r="B59" s="61"/>
      <c r="C59" s="17" t="s">
        <v>20</v>
      </c>
      <c r="D59" s="62"/>
      <c r="E59" s="62"/>
      <c r="F59" s="62"/>
      <c r="G59" s="55"/>
      <c r="H59" s="62"/>
      <c r="U59" s="62"/>
      <c r="V59" s="352"/>
    </row>
    <row r="60" spans="1:22" s="477" customFormat="1" ht="12.75">
      <c r="A60" s="471"/>
      <c r="B60" s="472"/>
      <c r="C60" s="473"/>
      <c r="D60" s="474"/>
      <c r="E60" s="474"/>
      <c r="F60" s="474"/>
      <c r="G60" s="475"/>
      <c r="H60" s="474"/>
      <c r="I60" s="475"/>
      <c r="J60" s="475"/>
      <c r="K60" s="475"/>
      <c r="L60" s="475"/>
      <c r="M60" s="475"/>
      <c r="N60" s="475"/>
      <c r="O60" s="475"/>
      <c r="P60" s="475"/>
      <c r="Q60" s="475"/>
      <c r="R60" s="475"/>
      <c r="S60" s="475"/>
      <c r="T60" s="475"/>
      <c r="U60" s="474"/>
      <c r="V60" s="476"/>
    </row>
    <row r="61" spans="1:22" s="477" customFormat="1" ht="12.75">
      <c r="A61" s="471"/>
      <c r="B61" s="472"/>
      <c r="C61" s="473"/>
      <c r="D61" s="474"/>
      <c r="E61" s="474"/>
      <c r="F61" s="474"/>
      <c r="G61" s="475"/>
      <c r="H61" s="474"/>
      <c r="I61" s="475"/>
      <c r="J61" s="475"/>
      <c r="K61" s="475"/>
      <c r="L61" s="475"/>
      <c r="M61" s="475"/>
      <c r="N61" s="475"/>
      <c r="O61" s="475"/>
      <c r="P61" s="475"/>
      <c r="Q61" s="475"/>
      <c r="R61" s="475"/>
      <c r="S61" s="475"/>
      <c r="T61" s="475"/>
      <c r="U61" s="474"/>
      <c r="V61" s="476"/>
    </row>
    <row r="62" spans="2:22" s="477" customFormat="1" ht="12.75">
      <c r="B62" s="478"/>
      <c r="C62" s="473"/>
      <c r="D62" s="474"/>
      <c r="E62" s="474"/>
      <c r="F62" s="474"/>
      <c r="G62" s="475"/>
      <c r="H62" s="474"/>
      <c r="I62" s="475"/>
      <c r="J62" s="475"/>
      <c r="K62" s="475"/>
      <c r="L62" s="475"/>
      <c r="M62" s="475"/>
      <c r="N62" s="475"/>
      <c r="O62" s="475"/>
      <c r="P62" s="475"/>
      <c r="Q62" s="475"/>
      <c r="R62" s="475"/>
      <c r="S62" s="475"/>
      <c r="T62" s="475"/>
      <c r="U62" s="474"/>
      <c r="V62" s="476"/>
    </row>
    <row r="63" spans="2:22" ht="12.75">
      <c r="B63" s="61"/>
      <c r="C63" s="85"/>
      <c r="D63" s="85"/>
      <c r="E63" s="85"/>
      <c r="F63" s="85"/>
      <c r="G63" s="83"/>
      <c r="H63" s="85"/>
      <c r="I63" s="83"/>
      <c r="J63" s="83"/>
      <c r="K63" s="83"/>
      <c r="L63" s="83"/>
      <c r="M63" s="83"/>
      <c r="N63" s="83"/>
      <c r="O63" s="83"/>
      <c r="P63" s="83"/>
      <c r="Q63" s="83"/>
      <c r="R63" s="83"/>
      <c r="S63" s="83"/>
      <c r="T63" s="83"/>
      <c r="U63" s="85"/>
      <c r="V63" s="352"/>
    </row>
    <row r="64" spans="2:22" ht="12.75">
      <c r="B64" s="61"/>
      <c r="C64" s="85"/>
      <c r="D64" s="2" t="s">
        <v>518</v>
      </c>
      <c r="E64" s="512" t="str">
        <f>tabel!B2</f>
        <v>2008/09</v>
      </c>
      <c r="F64" s="85"/>
      <c r="G64" s="83"/>
      <c r="H64" s="85"/>
      <c r="I64" s="83"/>
      <c r="J64" s="83"/>
      <c r="K64" s="68">
        <v>13</v>
      </c>
      <c r="L64" s="83"/>
      <c r="M64" s="83"/>
      <c r="N64" s="83"/>
      <c r="O64" s="83"/>
      <c r="P64" s="83"/>
      <c r="Q64" s="83"/>
      <c r="R64" s="83"/>
      <c r="S64" s="83"/>
      <c r="T64" s="83"/>
      <c r="U64" s="85"/>
      <c r="V64" s="352"/>
    </row>
    <row r="65" spans="2:49" ht="12.75">
      <c r="B65" s="61"/>
      <c r="C65" s="85"/>
      <c r="D65" s="2" t="s">
        <v>518</v>
      </c>
      <c r="E65" s="433" t="str">
        <f>tabel!C2</f>
        <v>2009/10</v>
      </c>
      <c r="F65" s="2" t="s">
        <v>18</v>
      </c>
      <c r="G65" s="4" t="str">
        <f>G10</f>
        <v>2009/10</v>
      </c>
      <c r="H65" s="3"/>
      <c r="I65" s="162" t="s">
        <v>590</v>
      </c>
      <c r="J65" s="162" t="s">
        <v>591</v>
      </c>
      <c r="K65" s="162" t="s">
        <v>592</v>
      </c>
      <c r="L65" s="162" t="s">
        <v>593</v>
      </c>
      <c r="M65" s="162" t="s">
        <v>594</v>
      </c>
      <c r="N65" s="162" t="s">
        <v>588</v>
      </c>
      <c r="O65" s="162" t="s">
        <v>589</v>
      </c>
      <c r="P65" s="162" t="s">
        <v>595</v>
      </c>
      <c r="Q65" s="162" t="s">
        <v>596</v>
      </c>
      <c r="R65" s="162" t="s">
        <v>597</v>
      </c>
      <c r="S65" s="162" t="s">
        <v>598</v>
      </c>
      <c r="T65" s="162" t="s">
        <v>599</v>
      </c>
      <c r="U65" s="1"/>
      <c r="V65" s="352"/>
      <c r="Y65" s="56" t="s">
        <v>590</v>
      </c>
      <c r="Z65" s="56" t="s">
        <v>591</v>
      </c>
      <c r="AA65" s="56" t="s">
        <v>592</v>
      </c>
      <c r="AB65" s="56" t="s">
        <v>593</v>
      </c>
      <c r="AC65" s="105" t="s">
        <v>594</v>
      </c>
      <c r="AD65" s="105" t="s">
        <v>588</v>
      </c>
      <c r="AE65" s="105" t="s">
        <v>589</v>
      </c>
      <c r="AF65" s="105" t="s">
        <v>595</v>
      </c>
      <c r="AG65" s="105" t="s">
        <v>596</v>
      </c>
      <c r="AH65" s="105" t="s">
        <v>597</v>
      </c>
      <c r="AI65" s="105" t="s">
        <v>598</v>
      </c>
      <c r="AJ65" s="105" t="s">
        <v>599</v>
      </c>
      <c r="AL65" s="56" t="s">
        <v>590</v>
      </c>
      <c r="AM65" s="56" t="s">
        <v>591</v>
      </c>
      <c r="AN65" s="56" t="s">
        <v>592</v>
      </c>
      <c r="AO65" s="56" t="s">
        <v>593</v>
      </c>
      <c r="AP65" s="105" t="s">
        <v>594</v>
      </c>
      <c r="AQ65" s="105" t="s">
        <v>588</v>
      </c>
      <c r="AR65" s="105" t="s">
        <v>589</v>
      </c>
      <c r="AS65" s="105" t="s">
        <v>595</v>
      </c>
      <c r="AT65" s="105" t="s">
        <v>596</v>
      </c>
      <c r="AU65" s="105" t="s">
        <v>597</v>
      </c>
      <c r="AV65" s="105" t="s">
        <v>598</v>
      </c>
      <c r="AW65" s="105" t="s">
        <v>599</v>
      </c>
    </row>
    <row r="66" spans="2:49" ht="12.75">
      <c r="B66" s="61"/>
      <c r="C66" s="85"/>
      <c r="D66" s="85"/>
      <c r="E66" s="84"/>
      <c r="F66" s="3"/>
      <c r="G66" s="4"/>
      <c r="H66" s="3"/>
      <c r="I66" s="83"/>
      <c r="J66" s="83"/>
      <c r="K66" s="83"/>
      <c r="L66" s="83"/>
      <c r="M66" s="106"/>
      <c r="N66" s="106"/>
      <c r="O66" s="106"/>
      <c r="P66" s="106"/>
      <c r="Q66" s="106"/>
      <c r="R66" s="106"/>
      <c r="S66" s="106"/>
      <c r="T66" s="106"/>
      <c r="U66" s="1"/>
      <c r="V66" s="352"/>
      <c r="AC66" s="105"/>
      <c r="AD66" s="105"/>
      <c r="AE66" s="105"/>
      <c r="AF66" s="105"/>
      <c r="AG66" s="105"/>
      <c r="AH66" s="105"/>
      <c r="AI66" s="105"/>
      <c r="AJ66" s="105"/>
      <c r="AP66" s="105"/>
      <c r="AQ66" s="105"/>
      <c r="AR66" s="105"/>
      <c r="AS66" s="105"/>
      <c r="AT66" s="105"/>
      <c r="AU66" s="105"/>
      <c r="AV66" s="105"/>
      <c r="AW66" s="105"/>
    </row>
    <row r="67" spans="2:49" ht="12.75">
      <c r="B67" s="61"/>
      <c r="C67" s="85"/>
      <c r="D67" s="85" t="s">
        <v>473</v>
      </c>
      <c r="E67" s="85"/>
      <c r="F67" s="85" t="s">
        <v>661</v>
      </c>
      <c r="G67" s="108">
        <f aca="true" t="shared" si="84" ref="G67:G79">ROUND(SUM(I67:T67)/12,2)</f>
        <v>1</v>
      </c>
      <c r="H67" s="107"/>
      <c r="I67" s="68">
        <v>1</v>
      </c>
      <c r="J67" s="5">
        <f>+I67</f>
        <v>1</v>
      </c>
      <c r="K67" s="5">
        <f aca="true" t="shared" si="85" ref="K67:T67">+J67</f>
        <v>1</v>
      </c>
      <c r="L67" s="5">
        <f t="shared" si="85"/>
        <v>1</v>
      </c>
      <c r="M67" s="5">
        <f t="shared" si="85"/>
        <v>1</v>
      </c>
      <c r="N67" s="5">
        <f t="shared" si="85"/>
        <v>1</v>
      </c>
      <c r="O67" s="5">
        <f t="shared" si="85"/>
        <v>1</v>
      </c>
      <c r="P67" s="5">
        <f t="shared" si="85"/>
        <v>1</v>
      </c>
      <c r="Q67" s="5">
        <f t="shared" si="85"/>
        <v>1</v>
      </c>
      <c r="R67" s="5">
        <f t="shared" si="85"/>
        <v>1</v>
      </c>
      <c r="S67" s="5">
        <f t="shared" si="85"/>
        <v>1</v>
      </c>
      <c r="T67" s="5">
        <f t="shared" si="85"/>
        <v>1</v>
      </c>
      <c r="U67" s="1"/>
      <c r="V67" s="352"/>
      <c r="Y67" s="56">
        <f>ROUND(+I67*1/12*VLOOKUP($D67,LGFMBO,2,FALSE),2)</f>
        <v>421.97</v>
      </c>
      <c r="Z67" s="56">
        <f aca="true" t="shared" si="86" ref="Z67:AJ67">ROUND(+J67*1/12*VLOOKUP($D67,LGFMBO,2,FALSE),2)</f>
        <v>421.97</v>
      </c>
      <c r="AA67" s="56">
        <f t="shared" si="86"/>
        <v>421.97</v>
      </c>
      <c r="AB67" s="56">
        <f t="shared" si="86"/>
        <v>421.97</v>
      </c>
      <c r="AC67" s="56">
        <f t="shared" si="86"/>
        <v>421.97</v>
      </c>
      <c r="AD67" s="56">
        <f t="shared" si="86"/>
        <v>421.97</v>
      </c>
      <c r="AE67" s="56">
        <f t="shared" si="86"/>
        <v>421.97</v>
      </c>
      <c r="AF67" s="56">
        <f t="shared" si="86"/>
        <v>421.97</v>
      </c>
      <c r="AG67" s="56">
        <f t="shared" si="86"/>
        <v>421.97</v>
      </c>
      <c r="AH67" s="56">
        <f t="shared" si="86"/>
        <v>421.97</v>
      </c>
      <c r="AI67" s="56">
        <f t="shared" si="86"/>
        <v>421.97</v>
      </c>
      <c r="AJ67" s="56">
        <f t="shared" si="86"/>
        <v>421.97</v>
      </c>
      <c r="AL67" s="359">
        <f aca="true" t="shared" si="87" ref="AL67:AL79">ROUND(+I67*1/12*VLOOKUP($D67,LGFMBO,4,FALSE),2)</f>
        <v>46.58</v>
      </c>
      <c r="AM67" s="359">
        <f aca="true" t="shared" si="88" ref="AM67:AM79">ROUND(+J67*1/12*VLOOKUP($D67,LGFMBO,4,FALSE),2)</f>
        <v>46.58</v>
      </c>
      <c r="AN67" s="359">
        <f aca="true" t="shared" si="89" ref="AN67:AN79">ROUND(+K67*1/12*VLOOKUP($D67,LGFMBO,4,FALSE),2)</f>
        <v>46.58</v>
      </c>
      <c r="AO67" s="359">
        <f aca="true" t="shared" si="90" ref="AO67:AO79">ROUND(+L67*1/12*VLOOKUP($D67,LGFMBO,4,FALSE),2)</f>
        <v>46.58</v>
      </c>
      <c r="AP67" s="359">
        <f aca="true" t="shared" si="91" ref="AP67:AP79">ROUND(+M67*1/12*VLOOKUP($D67,LGFMBO,4,FALSE),2)</f>
        <v>46.58</v>
      </c>
      <c r="AQ67" s="359">
        <f aca="true" t="shared" si="92" ref="AQ67:AQ79">ROUND(+N67*1/12*VLOOKUP($D67,LGFMBO,4,FALSE),2)</f>
        <v>46.58</v>
      </c>
      <c r="AR67" s="359">
        <f aca="true" t="shared" si="93" ref="AR67:AR79">ROUND(+O67*1/12*VLOOKUP($D67,LGFMBO,4,FALSE),2)</f>
        <v>46.58</v>
      </c>
      <c r="AS67" s="359">
        <f aca="true" t="shared" si="94" ref="AS67:AS79">ROUND(+P67*1/12*VLOOKUP($D67,LGFMBO,4,FALSE),2)</f>
        <v>46.58</v>
      </c>
      <c r="AT67" s="359">
        <f aca="true" t="shared" si="95" ref="AT67:AT79">ROUND(+Q67*1/12*VLOOKUP($D67,LGFMBO,4,FALSE),2)</f>
        <v>46.58</v>
      </c>
      <c r="AU67" s="359">
        <f aca="true" t="shared" si="96" ref="AU67:AU79">ROUND(+R67*1/12*VLOOKUP($D67,LGFMBO,4,FALSE),2)</f>
        <v>46.58</v>
      </c>
      <c r="AV67" s="359">
        <f aca="true" t="shared" si="97" ref="AV67:AV79">ROUND(+S67*1/12*VLOOKUP($D67,LGFMBO,4,FALSE),2)</f>
        <v>46.58</v>
      </c>
      <c r="AW67" s="359">
        <f aca="true" t="shared" si="98" ref="AW67:AW79">ROUND(+T67*1/12*VLOOKUP($D67,LGFMBO,4,FALSE),2)</f>
        <v>46.58</v>
      </c>
    </row>
    <row r="68" spans="2:49" ht="12.75">
      <c r="B68" s="61"/>
      <c r="C68" s="85"/>
      <c r="D68" s="85" t="s">
        <v>474</v>
      </c>
      <c r="E68" s="85"/>
      <c r="F68" s="85" t="s">
        <v>661</v>
      </c>
      <c r="G68" s="108">
        <f t="shared" si="84"/>
        <v>1</v>
      </c>
      <c r="H68" s="107"/>
      <c r="I68" s="68">
        <v>1</v>
      </c>
      <c r="J68" s="5">
        <f aca="true" t="shared" si="99" ref="J68:T68">+I68</f>
        <v>1</v>
      </c>
      <c r="K68" s="5">
        <f t="shared" si="99"/>
        <v>1</v>
      </c>
      <c r="L68" s="5">
        <f t="shared" si="99"/>
        <v>1</v>
      </c>
      <c r="M68" s="5">
        <f t="shared" si="99"/>
        <v>1</v>
      </c>
      <c r="N68" s="5">
        <f t="shared" si="99"/>
        <v>1</v>
      </c>
      <c r="O68" s="5">
        <f t="shared" si="99"/>
        <v>1</v>
      </c>
      <c r="P68" s="5">
        <f t="shared" si="99"/>
        <v>1</v>
      </c>
      <c r="Q68" s="5">
        <f t="shared" si="99"/>
        <v>1</v>
      </c>
      <c r="R68" s="5">
        <f t="shared" si="99"/>
        <v>1</v>
      </c>
      <c r="S68" s="5">
        <f t="shared" si="99"/>
        <v>1</v>
      </c>
      <c r="T68" s="5">
        <f t="shared" si="99"/>
        <v>1</v>
      </c>
      <c r="U68" s="1"/>
      <c r="V68" s="352"/>
      <c r="Y68" s="56">
        <f aca="true" t="shared" si="100" ref="Y68:Y79">ROUND(+I68*1/12*VLOOKUP($D68,LGFMBO,2,FALSE),2)</f>
        <v>272.93</v>
      </c>
      <c r="Z68" s="56">
        <f aca="true" t="shared" si="101" ref="Z68:Z79">ROUND(+J68*1/12*VLOOKUP($D68,LGFMBO,2,FALSE),2)</f>
        <v>272.93</v>
      </c>
      <c r="AA68" s="56">
        <f aca="true" t="shared" si="102" ref="AA68:AA79">ROUND(+K68*1/12*VLOOKUP($D68,LGFMBO,2,FALSE),2)</f>
        <v>272.93</v>
      </c>
      <c r="AB68" s="56">
        <f aca="true" t="shared" si="103" ref="AB68:AB79">ROUND(+L68*1/12*VLOOKUP($D68,LGFMBO,2,FALSE),2)</f>
        <v>272.93</v>
      </c>
      <c r="AC68" s="56">
        <f aca="true" t="shared" si="104" ref="AC68:AC79">ROUND(+M68*1/12*VLOOKUP($D68,LGFMBO,2,FALSE),2)</f>
        <v>272.93</v>
      </c>
      <c r="AD68" s="56">
        <f aca="true" t="shared" si="105" ref="AD68:AD79">ROUND(+N68*1/12*VLOOKUP($D68,LGFMBO,2,FALSE),2)</f>
        <v>272.93</v>
      </c>
      <c r="AE68" s="56">
        <f aca="true" t="shared" si="106" ref="AE68:AE79">ROUND(+O68*1/12*VLOOKUP($D68,LGFMBO,2,FALSE),2)</f>
        <v>272.93</v>
      </c>
      <c r="AF68" s="56">
        <f aca="true" t="shared" si="107" ref="AF68:AF79">ROUND(+P68*1/12*VLOOKUP($D68,LGFMBO,2,FALSE),2)</f>
        <v>272.93</v>
      </c>
      <c r="AG68" s="56">
        <f aca="true" t="shared" si="108" ref="AG68:AG79">ROUND(+Q68*1/12*VLOOKUP($D68,LGFMBO,2,FALSE),2)</f>
        <v>272.93</v>
      </c>
      <c r="AH68" s="56">
        <f aca="true" t="shared" si="109" ref="AH68:AH79">ROUND(+R68*1/12*VLOOKUP($D68,LGFMBO,2,FALSE),2)</f>
        <v>272.93</v>
      </c>
      <c r="AI68" s="56">
        <f aca="true" t="shared" si="110" ref="AI68:AI79">ROUND(+S68*1/12*VLOOKUP($D68,LGFMBO,2,FALSE),2)</f>
        <v>272.93</v>
      </c>
      <c r="AJ68" s="56">
        <f aca="true" t="shared" si="111" ref="AJ68:AJ79">ROUND(+T68*1/12*VLOOKUP($D68,LGFMBO,2,FALSE),2)</f>
        <v>272.93</v>
      </c>
      <c r="AL68" s="359">
        <f t="shared" si="87"/>
        <v>18</v>
      </c>
      <c r="AM68" s="359">
        <f t="shared" si="88"/>
        <v>18</v>
      </c>
      <c r="AN68" s="359">
        <f t="shared" si="89"/>
        <v>18</v>
      </c>
      <c r="AO68" s="359">
        <f t="shared" si="90"/>
        <v>18</v>
      </c>
      <c r="AP68" s="359">
        <f t="shared" si="91"/>
        <v>18</v>
      </c>
      <c r="AQ68" s="359">
        <f t="shared" si="92"/>
        <v>18</v>
      </c>
      <c r="AR68" s="359">
        <f t="shared" si="93"/>
        <v>18</v>
      </c>
      <c r="AS68" s="359">
        <f t="shared" si="94"/>
        <v>18</v>
      </c>
      <c r="AT68" s="359">
        <f t="shared" si="95"/>
        <v>18</v>
      </c>
      <c r="AU68" s="359">
        <f t="shared" si="96"/>
        <v>18</v>
      </c>
      <c r="AV68" s="359">
        <f t="shared" si="97"/>
        <v>18</v>
      </c>
      <c r="AW68" s="359">
        <f t="shared" si="98"/>
        <v>18</v>
      </c>
    </row>
    <row r="69" spans="2:49" ht="12.75">
      <c r="B69" s="61"/>
      <c r="C69" s="85"/>
      <c r="D69" s="85" t="s">
        <v>475</v>
      </c>
      <c r="E69" s="85"/>
      <c r="F69" s="85" t="s">
        <v>661</v>
      </c>
      <c r="G69" s="108">
        <f t="shared" si="84"/>
        <v>1</v>
      </c>
      <c r="H69" s="107"/>
      <c r="I69" s="68">
        <v>1</v>
      </c>
      <c r="J69" s="5">
        <f aca="true" t="shared" si="112" ref="J69:T69">+I69</f>
        <v>1</v>
      </c>
      <c r="K69" s="5">
        <f t="shared" si="112"/>
        <v>1</v>
      </c>
      <c r="L69" s="5">
        <f t="shared" si="112"/>
        <v>1</v>
      </c>
      <c r="M69" s="5">
        <f t="shared" si="112"/>
        <v>1</v>
      </c>
      <c r="N69" s="5">
        <f t="shared" si="112"/>
        <v>1</v>
      </c>
      <c r="O69" s="5">
        <f t="shared" si="112"/>
        <v>1</v>
      </c>
      <c r="P69" s="5">
        <f t="shared" si="112"/>
        <v>1</v>
      </c>
      <c r="Q69" s="5">
        <f t="shared" si="112"/>
        <v>1</v>
      </c>
      <c r="R69" s="5">
        <f t="shared" si="112"/>
        <v>1</v>
      </c>
      <c r="S69" s="5">
        <f t="shared" si="112"/>
        <v>1</v>
      </c>
      <c r="T69" s="5">
        <f t="shared" si="112"/>
        <v>1</v>
      </c>
      <c r="U69" s="1"/>
      <c r="V69" s="352"/>
      <c r="Y69" s="56">
        <f t="shared" si="100"/>
        <v>272.93</v>
      </c>
      <c r="Z69" s="56">
        <f t="shared" si="101"/>
        <v>272.93</v>
      </c>
      <c r="AA69" s="56">
        <f t="shared" si="102"/>
        <v>272.93</v>
      </c>
      <c r="AB69" s="56">
        <f t="shared" si="103"/>
        <v>272.93</v>
      </c>
      <c r="AC69" s="56">
        <f t="shared" si="104"/>
        <v>272.93</v>
      </c>
      <c r="AD69" s="56">
        <f t="shared" si="105"/>
        <v>272.93</v>
      </c>
      <c r="AE69" s="56">
        <f t="shared" si="106"/>
        <v>272.93</v>
      </c>
      <c r="AF69" s="56">
        <f t="shared" si="107"/>
        <v>272.93</v>
      </c>
      <c r="AG69" s="56">
        <f t="shared" si="108"/>
        <v>272.93</v>
      </c>
      <c r="AH69" s="56">
        <f t="shared" si="109"/>
        <v>272.93</v>
      </c>
      <c r="AI69" s="56">
        <f t="shared" si="110"/>
        <v>272.93</v>
      </c>
      <c r="AJ69" s="56">
        <f t="shared" si="111"/>
        <v>272.93</v>
      </c>
      <c r="AL69" s="359">
        <f t="shared" si="87"/>
        <v>22.83</v>
      </c>
      <c r="AM69" s="359">
        <f t="shared" si="88"/>
        <v>22.83</v>
      </c>
      <c r="AN69" s="359">
        <f t="shared" si="89"/>
        <v>22.83</v>
      </c>
      <c r="AO69" s="359">
        <f t="shared" si="90"/>
        <v>22.83</v>
      </c>
      <c r="AP69" s="359">
        <f t="shared" si="91"/>
        <v>22.83</v>
      </c>
      <c r="AQ69" s="359">
        <f t="shared" si="92"/>
        <v>22.83</v>
      </c>
      <c r="AR69" s="359">
        <f t="shared" si="93"/>
        <v>22.83</v>
      </c>
      <c r="AS69" s="359">
        <f t="shared" si="94"/>
        <v>22.83</v>
      </c>
      <c r="AT69" s="359">
        <f t="shared" si="95"/>
        <v>22.83</v>
      </c>
      <c r="AU69" s="359">
        <f t="shared" si="96"/>
        <v>22.83</v>
      </c>
      <c r="AV69" s="359">
        <f t="shared" si="97"/>
        <v>22.83</v>
      </c>
      <c r="AW69" s="359">
        <f t="shared" si="98"/>
        <v>22.83</v>
      </c>
    </row>
    <row r="70" spans="2:49" ht="12.75">
      <c r="B70" s="61"/>
      <c r="C70" s="85"/>
      <c r="D70" s="85" t="s">
        <v>476</v>
      </c>
      <c r="E70" s="85"/>
      <c r="F70" s="85" t="s">
        <v>661</v>
      </c>
      <c r="G70" s="108">
        <f t="shared" si="84"/>
        <v>1</v>
      </c>
      <c r="H70" s="107"/>
      <c r="I70" s="68">
        <v>1</v>
      </c>
      <c r="J70" s="5">
        <f aca="true" t="shared" si="113" ref="J70:T70">+I70</f>
        <v>1</v>
      </c>
      <c r="K70" s="5">
        <f t="shared" si="113"/>
        <v>1</v>
      </c>
      <c r="L70" s="5">
        <f t="shared" si="113"/>
        <v>1</v>
      </c>
      <c r="M70" s="5">
        <f t="shared" si="113"/>
        <v>1</v>
      </c>
      <c r="N70" s="5">
        <f t="shared" si="113"/>
        <v>1</v>
      </c>
      <c r="O70" s="5">
        <f t="shared" si="113"/>
        <v>1</v>
      </c>
      <c r="P70" s="5">
        <f t="shared" si="113"/>
        <v>1</v>
      </c>
      <c r="Q70" s="5">
        <f t="shared" si="113"/>
        <v>1</v>
      </c>
      <c r="R70" s="5">
        <f t="shared" si="113"/>
        <v>1</v>
      </c>
      <c r="S70" s="5">
        <f t="shared" si="113"/>
        <v>1</v>
      </c>
      <c r="T70" s="5">
        <f t="shared" si="113"/>
        <v>1</v>
      </c>
      <c r="U70" s="1"/>
      <c r="V70" s="352"/>
      <c r="Y70" s="56">
        <f t="shared" si="100"/>
        <v>421.97</v>
      </c>
      <c r="Z70" s="56">
        <f t="shared" si="101"/>
        <v>421.97</v>
      </c>
      <c r="AA70" s="56">
        <f t="shared" si="102"/>
        <v>421.97</v>
      </c>
      <c r="AB70" s="56">
        <f t="shared" si="103"/>
        <v>421.97</v>
      </c>
      <c r="AC70" s="56">
        <f t="shared" si="104"/>
        <v>421.97</v>
      </c>
      <c r="AD70" s="56">
        <f t="shared" si="105"/>
        <v>421.97</v>
      </c>
      <c r="AE70" s="56">
        <f t="shared" si="106"/>
        <v>421.97</v>
      </c>
      <c r="AF70" s="56">
        <f t="shared" si="107"/>
        <v>421.97</v>
      </c>
      <c r="AG70" s="56">
        <f t="shared" si="108"/>
        <v>421.97</v>
      </c>
      <c r="AH70" s="56">
        <f t="shared" si="109"/>
        <v>421.97</v>
      </c>
      <c r="AI70" s="56">
        <f t="shared" si="110"/>
        <v>421.97</v>
      </c>
      <c r="AJ70" s="56">
        <f t="shared" si="111"/>
        <v>421.97</v>
      </c>
      <c r="AL70" s="359">
        <f t="shared" si="87"/>
        <v>39.08</v>
      </c>
      <c r="AM70" s="359">
        <f t="shared" si="88"/>
        <v>39.08</v>
      </c>
      <c r="AN70" s="359">
        <f t="shared" si="89"/>
        <v>39.08</v>
      </c>
      <c r="AO70" s="359">
        <f t="shared" si="90"/>
        <v>39.08</v>
      </c>
      <c r="AP70" s="359">
        <f t="shared" si="91"/>
        <v>39.08</v>
      </c>
      <c r="AQ70" s="359">
        <f t="shared" si="92"/>
        <v>39.08</v>
      </c>
      <c r="AR70" s="359">
        <f t="shared" si="93"/>
        <v>39.08</v>
      </c>
      <c r="AS70" s="359">
        <f t="shared" si="94"/>
        <v>39.08</v>
      </c>
      <c r="AT70" s="359">
        <f t="shared" si="95"/>
        <v>39.08</v>
      </c>
      <c r="AU70" s="359">
        <f t="shared" si="96"/>
        <v>39.08</v>
      </c>
      <c r="AV70" s="359">
        <f t="shared" si="97"/>
        <v>39.08</v>
      </c>
      <c r="AW70" s="359">
        <f t="shared" si="98"/>
        <v>39.08</v>
      </c>
    </row>
    <row r="71" spans="2:49" ht="12.75">
      <c r="B71" s="61"/>
      <c r="C71" s="85"/>
      <c r="D71" s="85" t="s">
        <v>478</v>
      </c>
      <c r="E71" s="85"/>
      <c r="F71" s="85" t="s">
        <v>661</v>
      </c>
      <c r="G71" s="108">
        <f t="shared" si="84"/>
        <v>1</v>
      </c>
      <c r="H71" s="107"/>
      <c r="I71" s="68">
        <v>1</v>
      </c>
      <c r="J71" s="5">
        <f aca="true" t="shared" si="114" ref="J71:T71">+I71</f>
        <v>1</v>
      </c>
      <c r="K71" s="5">
        <f t="shared" si="114"/>
        <v>1</v>
      </c>
      <c r="L71" s="5">
        <f t="shared" si="114"/>
        <v>1</v>
      </c>
      <c r="M71" s="5">
        <f t="shared" si="114"/>
        <v>1</v>
      </c>
      <c r="N71" s="5">
        <f t="shared" si="114"/>
        <v>1</v>
      </c>
      <c r="O71" s="5">
        <f t="shared" si="114"/>
        <v>1</v>
      </c>
      <c r="P71" s="5">
        <f t="shared" si="114"/>
        <v>1</v>
      </c>
      <c r="Q71" s="5">
        <f t="shared" si="114"/>
        <v>1</v>
      </c>
      <c r="R71" s="5">
        <f t="shared" si="114"/>
        <v>1</v>
      </c>
      <c r="S71" s="5">
        <f t="shared" si="114"/>
        <v>1</v>
      </c>
      <c r="T71" s="5">
        <f t="shared" si="114"/>
        <v>1</v>
      </c>
      <c r="U71" s="1"/>
      <c r="V71" s="352"/>
      <c r="Y71" s="56">
        <f t="shared" si="100"/>
        <v>272.93</v>
      </c>
      <c r="Z71" s="56">
        <f t="shared" si="101"/>
        <v>272.93</v>
      </c>
      <c r="AA71" s="56">
        <f t="shared" si="102"/>
        <v>272.93</v>
      </c>
      <c r="AB71" s="56">
        <f t="shared" si="103"/>
        <v>272.93</v>
      </c>
      <c r="AC71" s="56">
        <f t="shared" si="104"/>
        <v>272.93</v>
      </c>
      <c r="AD71" s="56">
        <f t="shared" si="105"/>
        <v>272.93</v>
      </c>
      <c r="AE71" s="56">
        <f t="shared" si="106"/>
        <v>272.93</v>
      </c>
      <c r="AF71" s="56">
        <f t="shared" si="107"/>
        <v>272.93</v>
      </c>
      <c r="AG71" s="56">
        <f t="shared" si="108"/>
        <v>272.93</v>
      </c>
      <c r="AH71" s="56">
        <f t="shared" si="109"/>
        <v>272.93</v>
      </c>
      <c r="AI71" s="56">
        <f t="shared" si="110"/>
        <v>272.93</v>
      </c>
      <c r="AJ71" s="56">
        <f t="shared" si="111"/>
        <v>272.93</v>
      </c>
      <c r="AL71" s="359">
        <f t="shared" si="87"/>
        <v>22.83</v>
      </c>
      <c r="AM71" s="359">
        <f t="shared" si="88"/>
        <v>22.83</v>
      </c>
      <c r="AN71" s="359">
        <f t="shared" si="89"/>
        <v>22.83</v>
      </c>
      <c r="AO71" s="359">
        <f t="shared" si="90"/>
        <v>22.83</v>
      </c>
      <c r="AP71" s="359">
        <f t="shared" si="91"/>
        <v>22.83</v>
      </c>
      <c r="AQ71" s="359">
        <f t="shared" si="92"/>
        <v>22.83</v>
      </c>
      <c r="AR71" s="359">
        <f t="shared" si="93"/>
        <v>22.83</v>
      </c>
      <c r="AS71" s="359">
        <f t="shared" si="94"/>
        <v>22.83</v>
      </c>
      <c r="AT71" s="359">
        <f t="shared" si="95"/>
        <v>22.83</v>
      </c>
      <c r="AU71" s="359">
        <f t="shared" si="96"/>
        <v>22.83</v>
      </c>
      <c r="AV71" s="359">
        <f t="shared" si="97"/>
        <v>22.83</v>
      </c>
      <c r="AW71" s="359">
        <f t="shared" si="98"/>
        <v>22.83</v>
      </c>
    </row>
    <row r="72" spans="2:49" ht="12.75">
      <c r="B72" s="61"/>
      <c r="C72" s="85"/>
      <c r="D72" s="85" t="s">
        <v>479</v>
      </c>
      <c r="E72" s="85"/>
      <c r="F72" s="85" t="s">
        <v>661</v>
      </c>
      <c r="G72" s="108">
        <f t="shared" si="84"/>
        <v>1</v>
      </c>
      <c r="H72" s="107"/>
      <c r="I72" s="68">
        <v>1</v>
      </c>
      <c r="J72" s="5">
        <f aca="true" t="shared" si="115" ref="J72:T72">+I72</f>
        <v>1</v>
      </c>
      <c r="K72" s="5">
        <f t="shared" si="115"/>
        <v>1</v>
      </c>
      <c r="L72" s="5">
        <f t="shared" si="115"/>
        <v>1</v>
      </c>
      <c r="M72" s="5">
        <f t="shared" si="115"/>
        <v>1</v>
      </c>
      <c r="N72" s="5">
        <f t="shared" si="115"/>
        <v>1</v>
      </c>
      <c r="O72" s="5">
        <f t="shared" si="115"/>
        <v>1</v>
      </c>
      <c r="P72" s="5">
        <f t="shared" si="115"/>
        <v>1</v>
      </c>
      <c r="Q72" s="5">
        <f t="shared" si="115"/>
        <v>1</v>
      </c>
      <c r="R72" s="5">
        <f t="shared" si="115"/>
        <v>1</v>
      </c>
      <c r="S72" s="5">
        <f t="shared" si="115"/>
        <v>1</v>
      </c>
      <c r="T72" s="5">
        <f t="shared" si="115"/>
        <v>1</v>
      </c>
      <c r="U72" s="1"/>
      <c r="V72" s="352"/>
      <c r="Y72" s="56">
        <f t="shared" si="100"/>
        <v>272.93</v>
      </c>
      <c r="Z72" s="56">
        <f t="shared" si="101"/>
        <v>272.93</v>
      </c>
      <c r="AA72" s="56">
        <f t="shared" si="102"/>
        <v>272.93</v>
      </c>
      <c r="AB72" s="56">
        <f t="shared" si="103"/>
        <v>272.93</v>
      </c>
      <c r="AC72" s="56">
        <f t="shared" si="104"/>
        <v>272.93</v>
      </c>
      <c r="AD72" s="56">
        <f t="shared" si="105"/>
        <v>272.93</v>
      </c>
      <c r="AE72" s="56">
        <f t="shared" si="106"/>
        <v>272.93</v>
      </c>
      <c r="AF72" s="56">
        <f t="shared" si="107"/>
        <v>272.93</v>
      </c>
      <c r="AG72" s="56">
        <f t="shared" si="108"/>
        <v>272.93</v>
      </c>
      <c r="AH72" s="56">
        <f t="shared" si="109"/>
        <v>272.93</v>
      </c>
      <c r="AI72" s="56">
        <f t="shared" si="110"/>
        <v>272.93</v>
      </c>
      <c r="AJ72" s="56">
        <f t="shared" si="111"/>
        <v>272.93</v>
      </c>
      <c r="AL72" s="359">
        <f t="shared" si="87"/>
        <v>22.83</v>
      </c>
      <c r="AM72" s="359">
        <f t="shared" si="88"/>
        <v>22.83</v>
      </c>
      <c r="AN72" s="359">
        <f t="shared" si="89"/>
        <v>22.83</v>
      </c>
      <c r="AO72" s="359">
        <f t="shared" si="90"/>
        <v>22.83</v>
      </c>
      <c r="AP72" s="359">
        <f t="shared" si="91"/>
        <v>22.83</v>
      </c>
      <c r="AQ72" s="359">
        <f t="shared" si="92"/>
        <v>22.83</v>
      </c>
      <c r="AR72" s="359">
        <f t="shared" si="93"/>
        <v>22.83</v>
      </c>
      <c r="AS72" s="359">
        <f t="shared" si="94"/>
        <v>22.83</v>
      </c>
      <c r="AT72" s="359">
        <f t="shared" si="95"/>
        <v>22.83</v>
      </c>
      <c r="AU72" s="359">
        <f t="shared" si="96"/>
        <v>22.83</v>
      </c>
      <c r="AV72" s="359">
        <f t="shared" si="97"/>
        <v>22.83</v>
      </c>
      <c r="AW72" s="359">
        <f t="shared" si="98"/>
        <v>22.83</v>
      </c>
    </row>
    <row r="73" spans="2:49" ht="12.75">
      <c r="B73" s="61"/>
      <c r="C73" s="85"/>
      <c r="D73" s="85" t="s">
        <v>477</v>
      </c>
      <c r="E73" s="85"/>
      <c r="F73" s="85" t="s">
        <v>661</v>
      </c>
      <c r="G73" s="108">
        <f t="shared" si="84"/>
        <v>1</v>
      </c>
      <c r="H73" s="107"/>
      <c r="I73" s="68">
        <v>1</v>
      </c>
      <c r="J73" s="5">
        <f aca="true" t="shared" si="116" ref="J73:T73">+I73</f>
        <v>1</v>
      </c>
      <c r="K73" s="5">
        <f t="shared" si="116"/>
        <v>1</v>
      </c>
      <c r="L73" s="5">
        <f t="shared" si="116"/>
        <v>1</v>
      </c>
      <c r="M73" s="5">
        <f t="shared" si="116"/>
        <v>1</v>
      </c>
      <c r="N73" s="5">
        <f t="shared" si="116"/>
        <v>1</v>
      </c>
      <c r="O73" s="5">
        <f t="shared" si="116"/>
        <v>1</v>
      </c>
      <c r="P73" s="5">
        <f t="shared" si="116"/>
        <v>1</v>
      </c>
      <c r="Q73" s="5">
        <f t="shared" si="116"/>
        <v>1</v>
      </c>
      <c r="R73" s="5">
        <f t="shared" si="116"/>
        <v>1</v>
      </c>
      <c r="S73" s="5">
        <f t="shared" si="116"/>
        <v>1</v>
      </c>
      <c r="T73" s="5">
        <f t="shared" si="116"/>
        <v>1</v>
      </c>
      <c r="U73" s="1"/>
      <c r="V73" s="352"/>
      <c r="Y73" s="56">
        <f t="shared" si="100"/>
        <v>272.93</v>
      </c>
      <c r="Z73" s="56">
        <f t="shared" si="101"/>
        <v>272.93</v>
      </c>
      <c r="AA73" s="56">
        <f t="shared" si="102"/>
        <v>272.93</v>
      </c>
      <c r="AB73" s="56">
        <f t="shared" si="103"/>
        <v>272.93</v>
      </c>
      <c r="AC73" s="56">
        <f t="shared" si="104"/>
        <v>272.93</v>
      </c>
      <c r="AD73" s="56">
        <f t="shared" si="105"/>
        <v>272.93</v>
      </c>
      <c r="AE73" s="56">
        <f t="shared" si="106"/>
        <v>272.93</v>
      </c>
      <c r="AF73" s="56">
        <f t="shared" si="107"/>
        <v>272.93</v>
      </c>
      <c r="AG73" s="56">
        <f t="shared" si="108"/>
        <v>272.93</v>
      </c>
      <c r="AH73" s="56">
        <f t="shared" si="109"/>
        <v>272.93</v>
      </c>
      <c r="AI73" s="56">
        <f t="shared" si="110"/>
        <v>272.93</v>
      </c>
      <c r="AJ73" s="56">
        <f t="shared" si="111"/>
        <v>272.93</v>
      </c>
      <c r="AL73" s="359">
        <f t="shared" si="87"/>
        <v>12.42</v>
      </c>
      <c r="AM73" s="359">
        <f t="shared" si="88"/>
        <v>12.42</v>
      </c>
      <c r="AN73" s="359">
        <f t="shared" si="89"/>
        <v>12.42</v>
      </c>
      <c r="AO73" s="359">
        <f t="shared" si="90"/>
        <v>12.42</v>
      </c>
      <c r="AP73" s="359">
        <f t="shared" si="91"/>
        <v>12.42</v>
      </c>
      <c r="AQ73" s="359">
        <f t="shared" si="92"/>
        <v>12.42</v>
      </c>
      <c r="AR73" s="359">
        <f t="shared" si="93"/>
        <v>12.42</v>
      </c>
      <c r="AS73" s="359">
        <f t="shared" si="94"/>
        <v>12.42</v>
      </c>
      <c r="AT73" s="359">
        <f t="shared" si="95"/>
        <v>12.42</v>
      </c>
      <c r="AU73" s="359">
        <f t="shared" si="96"/>
        <v>12.42</v>
      </c>
      <c r="AV73" s="359">
        <f t="shared" si="97"/>
        <v>12.42</v>
      </c>
      <c r="AW73" s="359">
        <f t="shared" si="98"/>
        <v>12.42</v>
      </c>
    </row>
    <row r="74" spans="2:49" ht="12.75">
      <c r="B74" s="61"/>
      <c r="C74" s="85"/>
      <c r="D74" s="85" t="s">
        <v>480</v>
      </c>
      <c r="E74" s="85"/>
      <c r="F74" s="85" t="s">
        <v>661</v>
      </c>
      <c r="G74" s="108">
        <f t="shared" si="84"/>
        <v>1</v>
      </c>
      <c r="H74" s="107"/>
      <c r="I74" s="68">
        <v>1</v>
      </c>
      <c r="J74" s="5">
        <f aca="true" t="shared" si="117" ref="J74:T74">+I74</f>
        <v>1</v>
      </c>
      <c r="K74" s="5">
        <f t="shared" si="117"/>
        <v>1</v>
      </c>
      <c r="L74" s="5">
        <f t="shared" si="117"/>
        <v>1</v>
      </c>
      <c r="M74" s="5">
        <f t="shared" si="117"/>
        <v>1</v>
      </c>
      <c r="N74" s="5">
        <f t="shared" si="117"/>
        <v>1</v>
      </c>
      <c r="O74" s="5">
        <f t="shared" si="117"/>
        <v>1</v>
      </c>
      <c r="P74" s="5">
        <f t="shared" si="117"/>
        <v>1</v>
      </c>
      <c r="Q74" s="5">
        <f t="shared" si="117"/>
        <v>1</v>
      </c>
      <c r="R74" s="5">
        <f t="shared" si="117"/>
        <v>1</v>
      </c>
      <c r="S74" s="5">
        <f t="shared" si="117"/>
        <v>1</v>
      </c>
      <c r="T74" s="5">
        <f t="shared" si="117"/>
        <v>1</v>
      </c>
      <c r="U74" s="1"/>
      <c r="V74" s="352"/>
      <c r="Y74" s="56">
        <f t="shared" si="100"/>
        <v>272.93</v>
      </c>
      <c r="Z74" s="56">
        <f t="shared" si="101"/>
        <v>272.93</v>
      </c>
      <c r="AA74" s="56">
        <f t="shared" si="102"/>
        <v>272.93</v>
      </c>
      <c r="AB74" s="56">
        <f t="shared" si="103"/>
        <v>272.93</v>
      </c>
      <c r="AC74" s="56">
        <f t="shared" si="104"/>
        <v>272.93</v>
      </c>
      <c r="AD74" s="56">
        <f t="shared" si="105"/>
        <v>272.93</v>
      </c>
      <c r="AE74" s="56">
        <f t="shared" si="106"/>
        <v>272.93</v>
      </c>
      <c r="AF74" s="56">
        <f t="shared" si="107"/>
        <v>272.93</v>
      </c>
      <c r="AG74" s="56">
        <f t="shared" si="108"/>
        <v>272.93</v>
      </c>
      <c r="AH74" s="56">
        <f t="shared" si="109"/>
        <v>272.93</v>
      </c>
      <c r="AI74" s="56">
        <f t="shared" si="110"/>
        <v>272.93</v>
      </c>
      <c r="AJ74" s="56">
        <f t="shared" si="111"/>
        <v>272.93</v>
      </c>
      <c r="AL74" s="359">
        <f t="shared" si="87"/>
        <v>22.83</v>
      </c>
      <c r="AM74" s="359">
        <f t="shared" si="88"/>
        <v>22.83</v>
      </c>
      <c r="AN74" s="359">
        <f t="shared" si="89"/>
        <v>22.83</v>
      </c>
      <c r="AO74" s="359">
        <f t="shared" si="90"/>
        <v>22.83</v>
      </c>
      <c r="AP74" s="359">
        <f t="shared" si="91"/>
        <v>22.83</v>
      </c>
      <c r="AQ74" s="359">
        <f t="shared" si="92"/>
        <v>22.83</v>
      </c>
      <c r="AR74" s="359">
        <f t="shared" si="93"/>
        <v>22.83</v>
      </c>
      <c r="AS74" s="359">
        <f t="shared" si="94"/>
        <v>22.83</v>
      </c>
      <c r="AT74" s="359">
        <f t="shared" si="95"/>
        <v>22.83</v>
      </c>
      <c r="AU74" s="359">
        <f t="shared" si="96"/>
        <v>22.83</v>
      </c>
      <c r="AV74" s="359">
        <f t="shared" si="97"/>
        <v>22.83</v>
      </c>
      <c r="AW74" s="359">
        <f t="shared" si="98"/>
        <v>22.83</v>
      </c>
    </row>
    <row r="75" spans="2:49" ht="12.75">
      <c r="B75" s="61"/>
      <c r="C75" s="85"/>
      <c r="D75" s="85" t="s">
        <v>481</v>
      </c>
      <c r="E75" s="85"/>
      <c r="F75" s="85" t="s">
        <v>661</v>
      </c>
      <c r="G75" s="108">
        <f t="shared" si="84"/>
        <v>1</v>
      </c>
      <c r="H75" s="107"/>
      <c r="I75" s="68">
        <v>1</v>
      </c>
      <c r="J75" s="5">
        <f aca="true" t="shared" si="118" ref="J75:T75">+I75</f>
        <v>1</v>
      </c>
      <c r="K75" s="5">
        <f t="shared" si="118"/>
        <v>1</v>
      </c>
      <c r="L75" s="5">
        <f t="shared" si="118"/>
        <v>1</v>
      </c>
      <c r="M75" s="5">
        <f t="shared" si="118"/>
        <v>1</v>
      </c>
      <c r="N75" s="5">
        <f t="shared" si="118"/>
        <v>1</v>
      </c>
      <c r="O75" s="5">
        <f t="shared" si="118"/>
        <v>1</v>
      </c>
      <c r="P75" s="5">
        <f t="shared" si="118"/>
        <v>1</v>
      </c>
      <c r="Q75" s="5">
        <f t="shared" si="118"/>
        <v>1</v>
      </c>
      <c r="R75" s="5">
        <f t="shared" si="118"/>
        <v>1</v>
      </c>
      <c r="S75" s="5">
        <f t="shared" si="118"/>
        <v>1</v>
      </c>
      <c r="T75" s="5">
        <f t="shared" si="118"/>
        <v>1</v>
      </c>
      <c r="U75" s="1"/>
      <c r="V75" s="352"/>
      <c r="Y75" s="56">
        <f t="shared" si="100"/>
        <v>272.93</v>
      </c>
      <c r="Z75" s="56">
        <f t="shared" si="101"/>
        <v>272.93</v>
      </c>
      <c r="AA75" s="56">
        <f t="shared" si="102"/>
        <v>272.93</v>
      </c>
      <c r="AB75" s="56">
        <f t="shared" si="103"/>
        <v>272.93</v>
      </c>
      <c r="AC75" s="56">
        <f t="shared" si="104"/>
        <v>272.93</v>
      </c>
      <c r="AD75" s="56">
        <f t="shared" si="105"/>
        <v>272.93</v>
      </c>
      <c r="AE75" s="56">
        <f t="shared" si="106"/>
        <v>272.93</v>
      </c>
      <c r="AF75" s="56">
        <f t="shared" si="107"/>
        <v>272.93</v>
      </c>
      <c r="AG75" s="56">
        <f t="shared" si="108"/>
        <v>272.93</v>
      </c>
      <c r="AH75" s="56">
        <f t="shared" si="109"/>
        <v>272.93</v>
      </c>
      <c r="AI75" s="56">
        <f t="shared" si="110"/>
        <v>272.93</v>
      </c>
      <c r="AJ75" s="56">
        <f t="shared" si="111"/>
        <v>272.93</v>
      </c>
      <c r="AL75" s="359">
        <f t="shared" si="87"/>
        <v>22.83</v>
      </c>
      <c r="AM75" s="359">
        <f t="shared" si="88"/>
        <v>22.83</v>
      </c>
      <c r="AN75" s="359">
        <f t="shared" si="89"/>
        <v>22.83</v>
      </c>
      <c r="AO75" s="359">
        <f t="shared" si="90"/>
        <v>22.83</v>
      </c>
      <c r="AP75" s="359">
        <f t="shared" si="91"/>
        <v>22.83</v>
      </c>
      <c r="AQ75" s="359">
        <f t="shared" si="92"/>
        <v>22.83</v>
      </c>
      <c r="AR75" s="359">
        <f t="shared" si="93"/>
        <v>22.83</v>
      </c>
      <c r="AS75" s="359">
        <f t="shared" si="94"/>
        <v>22.83</v>
      </c>
      <c r="AT75" s="359">
        <f t="shared" si="95"/>
        <v>22.83</v>
      </c>
      <c r="AU75" s="359">
        <f t="shared" si="96"/>
        <v>22.83</v>
      </c>
      <c r="AV75" s="359">
        <f t="shared" si="97"/>
        <v>22.83</v>
      </c>
      <c r="AW75" s="359">
        <f t="shared" si="98"/>
        <v>22.83</v>
      </c>
    </row>
    <row r="76" spans="2:49" ht="12.75">
      <c r="B76" s="61"/>
      <c r="C76" s="85"/>
      <c r="D76" s="85" t="s">
        <v>483</v>
      </c>
      <c r="E76" s="85"/>
      <c r="F76" s="85" t="s">
        <v>661</v>
      </c>
      <c r="G76" s="108">
        <f t="shared" si="84"/>
        <v>1</v>
      </c>
      <c r="H76" s="107"/>
      <c r="I76" s="68">
        <v>1</v>
      </c>
      <c r="J76" s="5">
        <f aca="true" t="shared" si="119" ref="J76:T76">+I76</f>
        <v>1</v>
      </c>
      <c r="K76" s="5">
        <f t="shared" si="119"/>
        <v>1</v>
      </c>
      <c r="L76" s="5">
        <f t="shared" si="119"/>
        <v>1</v>
      </c>
      <c r="M76" s="5">
        <f t="shared" si="119"/>
        <v>1</v>
      </c>
      <c r="N76" s="5">
        <f t="shared" si="119"/>
        <v>1</v>
      </c>
      <c r="O76" s="5">
        <f t="shared" si="119"/>
        <v>1</v>
      </c>
      <c r="P76" s="5">
        <f t="shared" si="119"/>
        <v>1</v>
      </c>
      <c r="Q76" s="5">
        <f t="shared" si="119"/>
        <v>1</v>
      </c>
      <c r="R76" s="5">
        <f t="shared" si="119"/>
        <v>1</v>
      </c>
      <c r="S76" s="5">
        <f t="shared" si="119"/>
        <v>1</v>
      </c>
      <c r="T76" s="5">
        <f t="shared" si="119"/>
        <v>1</v>
      </c>
      <c r="U76" s="1"/>
      <c r="V76" s="352"/>
      <c r="Y76" s="56">
        <f t="shared" si="100"/>
        <v>272.93</v>
      </c>
      <c r="Z76" s="56">
        <f t="shared" si="101"/>
        <v>272.93</v>
      </c>
      <c r="AA76" s="56">
        <f t="shared" si="102"/>
        <v>272.93</v>
      </c>
      <c r="AB76" s="56">
        <f t="shared" si="103"/>
        <v>272.93</v>
      </c>
      <c r="AC76" s="56">
        <f t="shared" si="104"/>
        <v>272.93</v>
      </c>
      <c r="AD76" s="56">
        <f t="shared" si="105"/>
        <v>272.93</v>
      </c>
      <c r="AE76" s="56">
        <f t="shared" si="106"/>
        <v>272.93</v>
      </c>
      <c r="AF76" s="56">
        <f t="shared" si="107"/>
        <v>272.93</v>
      </c>
      <c r="AG76" s="56">
        <f t="shared" si="108"/>
        <v>272.93</v>
      </c>
      <c r="AH76" s="56">
        <f t="shared" si="109"/>
        <v>272.93</v>
      </c>
      <c r="AI76" s="56">
        <f t="shared" si="110"/>
        <v>272.93</v>
      </c>
      <c r="AJ76" s="56">
        <f t="shared" si="111"/>
        <v>272.93</v>
      </c>
      <c r="AL76" s="359">
        <f t="shared" si="87"/>
        <v>22.83</v>
      </c>
      <c r="AM76" s="359">
        <f t="shared" si="88"/>
        <v>22.83</v>
      </c>
      <c r="AN76" s="359">
        <f t="shared" si="89"/>
        <v>22.83</v>
      </c>
      <c r="AO76" s="359">
        <f t="shared" si="90"/>
        <v>22.83</v>
      </c>
      <c r="AP76" s="359">
        <f t="shared" si="91"/>
        <v>22.83</v>
      </c>
      <c r="AQ76" s="359">
        <f t="shared" si="92"/>
        <v>22.83</v>
      </c>
      <c r="AR76" s="359">
        <f t="shared" si="93"/>
        <v>22.83</v>
      </c>
      <c r="AS76" s="359">
        <f t="shared" si="94"/>
        <v>22.83</v>
      </c>
      <c r="AT76" s="359">
        <f t="shared" si="95"/>
        <v>22.83</v>
      </c>
      <c r="AU76" s="359">
        <f t="shared" si="96"/>
        <v>22.83</v>
      </c>
      <c r="AV76" s="359">
        <f t="shared" si="97"/>
        <v>22.83</v>
      </c>
      <c r="AW76" s="359">
        <f t="shared" si="98"/>
        <v>22.83</v>
      </c>
    </row>
    <row r="77" spans="2:49" ht="12.75">
      <c r="B77" s="61"/>
      <c r="C77" s="85"/>
      <c r="D77" s="85" t="s">
        <v>484</v>
      </c>
      <c r="E77" s="85"/>
      <c r="F77" s="85" t="s">
        <v>661</v>
      </c>
      <c r="G77" s="108">
        <f t="shared" si="84"/>
        <v>1</v>
      </c>
      <c r="H77" s="107"/>
      <c r="I77" s="68">
        <v>1</v>
      </c>
      <c r="J77" s="5">
        <f aca="true" t="shared" si="120" ref="J77:T77">+I77</f>
        <v>1</v>
      </c>
      <c r="K77" s="5">
        <f t="shared" si="120"/>
        <v>1</v>
      </c>
      <c r="L77" s="5">
        <f t="shared" si="120"/>
        <v>1</v>
      </c>
      <c r="M77" s="5">
        <f t="shared" si="120"/>
        <v>1</v>
      </c>
      <c r="N77" s="5">
        <f t="shared" si="120"/>
        <v>1</v>
      </c>
      <c r="O77" s="5">
        <f t="shared" si="120"/>
        <v>1</v>
      </c>
      <c r="P77" s="5">
        <f t="shared" si="120"/>
        <v>1</v>
      </c>
      <c r="Q77" s="5">
        <f t="shared" si="120"/>
        <v>1</v>
      </c>
      <c r="R77" s="5">
        <f t="shared" si="120"/>
        <v>1</v>
      </c>
      <c r="S77" s="5">
        <f t="shared" si="120"/>
        <v>1</v>
      </c>
      <c r="T77" s="5">
        <f t="shared" si="120"/>
        <v>1</v>
      </c>
      <c r="U77" s="1"/>
      <c r="V77" s="352"/>
      <c r="Y77" s="56">
        <f t="shared" si="100"/>
        <v>272.93</v>
      </c>
      <c r="Z77" s="56">
        <f t="shared" si="101"/>
        <v>272.93</v>
      </c>
      <c r="AA77" s="56">
        <f t="shared" si="102"/>
        <v>272.93</v>
      </c>
      <c r="AB77" s="56">
        <f t="shared" si="103"/>
        <v>272.93</v>
      </c>
      <c r="AC77" s="56">
        <f t="shared" si="104"/>
        <v>272.93</v>
      </c>
      <c r="AD77" s="56">
        <f t="shared" si="105"/>
        <v>272.93</v>
      </c>
      <c r="AE77" s="56">
        <f t="shared" si="106"/>
        <v>272.93</v>
      </c>
      <c r="AF77" s="56">
        <f t="shared" si="107"/>
        <v>272.93</v>
      </c>
      <c r="AG77" s="56">
        <f t="shared" si="108"/>
        <v>272.93</v>
      </c>
      <c r="AH77" s="56">
        <f t="shared" si="109"/>
        <v>272.93</v>
      </c>
      <c r="AI77" s="56">
        <f t="shared" si="110"/>
        <v>272.93</v>
      </c>
      <c r="AJ77" s="56">
        <f t="shared" si="111"/>
        <v>272.93</v>
      </c>
      <c r="AL77" s="359">
        <f t="shared" si="87"/>
        <v>22.83</v>
      </c>
      <c r="AM77" s="359">
        <f t="shared" si="88"/>
        <v>22.83</v>
      </c>
      <c r="AN77" s="359">
        <f t="shared" si="89"/>
        <v>22.83</v>
      </c>
      <c r="AO77" s="359">
        <f t="shared" si="90"/>
        <v>22.83</v>
      </c>
      <c r="AP77" s="359">
        <f t="shared" si="91"/>
        <v>22.83</v>
      </c>
      <c r="AQ77" s="359">
        <f t="shared" si="92"/>
        <v>22.83</v>
      </c>
      <c r="AR77" s="359">
        <f t="shared" si="93"/>
        <v>22.83</v>
      </c>
      <c r="AS77" s="359">
        <f t="shared" si="94"/>
        <v>22.83</v>
      </c>
      <c r="AT77" s="359">
        <f t="shared" si="95"/>
        <v>22.83</v>
      </c>
      <c r="AU77" s="359">
        <f t="shared" si="96"/>
        <v>22.83</v>
      </c>
      <c r="AV77" s="359">
        <f t="shared" si="97"/>
        <v>22.83</v>
      </c>
      <c r="AW77" s="359">
        <f t="shared" si="98"/>
        <v>22.83</v>
      </c>
    </row>
    <row r="78" spans="2:49" ht="12.75">
      <c r="B78" s="61"/>
      <c r="C78" s="85"/>
      <c r="D78" s="85" t="s">
        <v>482</v>
      </c>
      <c r="E78" s="85"/>
      <c r="F78" s="85" t="s">
        <v>661</v>
      </c>
      <c r="G78" s="108">
        <f t="shared" si="84"/>
        <v>1</v>
      </c>
      <c r="H78" s="107"/>
      <c r="I78" s="68">
        <v>1</v>
      </c>
      <c r="J78" s="5">
        <f aca="true" t="shared" si="121" ref="J78:T78">+I78</f>
        <v>1</v>
      </c>
      <c r="K78" s="5">
        <f t="shared" si="121"/>
        <v>1</v>
      </c>
      <c r="L78" s="5">
        <f t="shared" si="121"/>
        <v>1</v>
      </c>
      <c r="M78" s="5">
        <f t="shared" si="121"/>
        <v>1</v>
      </c>
      <c r="N78" s="5">
        <f t="shared" si="121"/>
        <v>1</v>
      </c>
      <c r="O78" s="5">
        <f t="shared" si="121"/>
        <v>1</v>
      </c>
      <c r="P78" s="5">
        <f t="shared" si="121"/>
        <v>1</v>
      </c>
      <c r="Q78" s="5">
        <f t="shared" si="121"/>
        <v>1</v>
      </c>
      <c r="R78" s="5">
        <f t="shared" si="121"/>
        <v>1</v>
      </c>
      <c r="S78" s="5">
        <f t="shared" si="121"/>
        <v>1</v>
      </c>
      <c r="T78" s="5">
        <f t="shared" si="121"/>
        <v>1</v>
      </c>
      <c r="U78" s="1"/>
      <c r="V78" s="352"/>
      <c r="Y78" s="56">
        <f t="shared" si="100"/>
        <v>272.93</v>
      </c>
      <c r="Z78" s="56">
        <f t="shared" si="101"/>
        <v>272.93</v>
      </c>
      <c r="AA78" s="56">
        <f t="shared" si="102"/>
        <v>272.93</v>
      </c>
      <c r="AB78" s="56">
        <f t="shared" si="103"/>
        <v>272.93</v>
      </c>
      <c r="AC78" s="56">
        <f t="shared" si="104"/>
        <v>272.93</v>
      </c>
      <c r="AD78" s="56">
        <f t="shared" si="105"/>
        <v>272.93</v>
      </c>
      <c r="AE78" s="56">
        <f t="shared" si="106"/>
        <v>272.93</v>
      </c>
      <c r="AF78" s="56">
        <f t="shared" si="107"/>
        <v>272.93</v>
      </c>
      <c r="AG78" s="56">
        <f t="shared" si="108"/>
        <v>272.93</v>
      </c>
      <c r="AH78" s="56">
        <f t="shared" si="109"/>
        <v>272.93</v>
      </c>
      <c r="AI78" s="56">
        <f t="shared" si="110"/>
        <v>272.93</v>
      </c>
      <c r="AJ78" s="56">
        <f t="shared" si="111"/>
        <v>272.93</v>
      </c>
      <c r="AL78" s="359">
        <f t="shared" si="87"/>
        <v>22.83</v>
      </c>
      <c r="AM78" s="359">
        <f t="shared" si="88"/>
        <v>22.83</v>
      </c>
      <c r="AN78" s="359">
        <f t="shared" si="89"/>
        <v>22.83</v>
      </c>
      <c r="AO78" s="359">
        <f t="shared" si="90"/>
        <v>22.83</v>
      </c>
      <c r="AP78" s="359">
        <f t="shared" si="91"/>
        <v>22.83</v>
      </c>
      <c r="AQ78" s="359">
        <f t="shared" si="92"/>
        <v>22.83</v>
      </c>
      <c r="AR78" s="359">
        <f t="shared" si="93"/>
        <v>22.83</v>
      </c>
      <c r="AS78" s="359">
        <f t="shared" si="94"/>
        <v>22.83</v>
      </c>
      <c r="AT78" s="359">
        <f t="shared" si="95"/>
        <v>22.83</v>
      </c>
      <c r="AU78" s="359">
        <f t="shared" si="96"/>
        <v>22.83</v>
      </c>
      <c r="AV78" s="359">
        <f t="shared" si="97"/>
        <v>22.83</v>
      </c>
      <c r="AW78" s="359">
        <f t="shared" si="98"/>
        <v>22.83</v>
      </c>
    </row>
    <row r="79" spans="2:49" ht="12.75">
      <c r="B79" s="61"/>
      <c r="C79" s="85"/>
      <c r="D79" s="85" t="s">
        <v>485</v>
      </c>
      <c r="E79" s="85"/>
      <c r="F79" s="85" t="s">
        <v>661</v>
      </c>
      <c r="G79" s="108">
        <f t="shared" si="84"/>
        <v>1</v>
      </c>
      <c r="H79" s="107"/>
      <c r="I79" s="68">
        <v>1</v>
      </c>
      <c r="J79" s="5">
        <f aca="true" t="shared" si="122" ref="J79:T79">+I79</f>
        <v>1</v>
      </c>
      <c r="K79" s="5">
        <f t="shared" si="122"/>
        <v>1</v>
      </c>
      <c r="L79" s="5">
        <f t="shared" si="122"/>
        <v>1</v>
      </c>
      <c r="M79" s="5">
        <f t="shared" si="122"/>
        <v>1</v>
      </c>
      <c r="N79" s="5">
        <f t="shared" si="122"/>
        <v>1</v>
      </c>
      <c r="O79" s="5">
        <f t="shared" si="122"/>
        <v>1</v>
      </c>
      <c r="P79" s="5">
        <f t="shared" si="122"/>
        <v>1</v>
      </c>
      <c r="Q79" s="5">
        <f t="shared" si="122"/>
        <v>1</v>
      </c>
      <c r="R79" s="5">
        <f t="shared" si="122"/>
        <v>1</v>
      </c>
      <c r="S79" s="5">
        <f t="shared" si="122"/>
        <v>1</v>
      </c>
      <c r="T79" s="5">
        <f t="shared" si="122"/>
        <v>1</v>
      </c>
      <c r="U79" s="1"/>
      <c r="V79" s="352"/>
      <c r="Y79" s="56">
        <f t="shared" si="100"/>
        <v>272.93</v>
      </c>
      <c r="Z79" s="56">
        <f t="shared" si="101"/>
        <v>272.93</v>
      </c>
      <c r="AA79" s="56">
        <f t="shared" si="102"/>
        <v>272.93</v>
      </c>
      <c r="AB79" s="56">
        <f t="shared" si="103"/>
        <v>272.93</v>
      </c>
      <c r="AC79" s="56">
        <f t="shared" si="104"/>
        <v>272.93</v>
      </c>
      <c r="AD79" s="56">
        <f t="shared" si="105"/>
        <v>272.93</v>
      </c>
      <c r="AE79" s="56">
        <f t="shared" si="106"/>
        <v>272.93</v>
      </c>
      <c r="AF79" s="56">
        <f t="shared" si="107"/>
        <v>272.93</v>
      </c>
      <c r="AG79" s="56">
        <f t="shared" si="108"/>
        <v>272.93</v>
      </c>
      <c r="AH79" s="56">
        <f t="shared" si="109"/>
        <v>272.93</v>
      </c>
      <c r="AI79" s="56">
        <f t="shared" si="110"/>
        <v>272.93</v>
      </c>
      <c r="AJ79" s="56">
        <f t="shared" si="111"/>
        <v>272.93</v>
      </c>
      <c r="AL79" s="359">
        <f t="shared" si="87"/>
        <v>22.83</v>
      </c>
      <c r="AM79" s="359">
        <f t="shared" si="88"/>
        <v>22.83</v>
      </c>
      <c r="AN79" s="359">
        <f t="shared" si="89"/>
        <v>22.83</v>
      </c>
      <c r="AO79" s="359">
        <f t="shared" si="90"/>
        <v>22.83</v>
      </c>
      <c r="AP79" s="359">
        <f t="shared" si="91"/>
        <v>22.83</v>
      </c>
      <c r="AQ79" s="359">
        <f t="shared" si="92"/>
        <v>22.83</v>
      </c>
      <c r="AR79" s="359">
        <f t="shared" si="93"/>
        <v>22.83</v>
      </c>
      <c r="AS79" s="359">
        <f t="shared" si="94"/>
        <v>22.83</v>
      </c>
      <c r="AT79" s="359">
        <f t="shared" si="95"/>
        <v>22.83</v>
      </c>
      <c r="AU79" s="359">
        <f t="shared" si="96"/>
        <v>22.83</v>
      </c>
      <c r="AV79" s="359">
        <f t="shared" si="97"/>
        <v>22.83</v>
      </c>
      <c r="AW79" s="359">
        <f t="shared" si="98"/>
        <v>22.83</v>
      </c>
    </row>
    <row r="80" spans="2:49" ht="12.75">
      <c r="B80" s="61"/>
      <c r="C80" s="85"/>
      <c r="D80" s="3" t="s">
        <v>649</v>
      </c>
      <c r="E80" s="85"/>
      <c r="F80" s="85"/>
      <c r="G80" s="357">
        <f>SUM(I80:T80)</f>
        <v>46154.039999999986</v>
      </c>
      <c r="H80" s="160"/>
      <c r="I80" s="510">
        <f aca="true" t="shared" si="123" ref="I80:T80">+Y80</f>
        <v>3846.169999999999</v>
      </c>
      <c r="J80" s="510">
        <f t="shared" si="123"/>
        <v>3846.169999999999</v>
      </c>
      <c r="K80" s="510">
        <f t="shared" si="123"/>
        <v>3846.169999999999</v>
      </c>
      <c r="L80" s="510">
        <f t="shared" si="123"/>
        <v>3846.169999999999</v>
      </c>
      <c r="M80" s="510">
        <f t="shared" si="123"/>
        <v>3846.169999999999</v>
      </c>
      <c r="N80" s="510">
        <f t="shared" si="123"/>
        <v>3846.169999999999</v>
      </c>
      <c r="O80" s="510">
        <f t="shared" si="123"/>
        <v>3846.169999999999</v>
      </c>
      <c r="P80" s="510">
        <f t="shared" si="123"/>
        <v>3846.169999999999</v>
      </c>
      <c r="Q80" s="510">
        <f t="shared" si="123"/>
        <v>3846.169999999999</v>
      </c>
      <c r="R80" s="510">
        <f t="shared" si="123"/>
        <v>3846.169999999999</v>
      </c>
      <c r="S80" s="510">
        <f t="shared" si="123"/>
        <v>3846.169999999999</v>
      </c>
      <c r="T80" s="510">
        <f t="shared" si="123"/>
        <v>3846.169999999999</v>
      </c>
      <c r="U80" s="85"/>
      <c r="V80" s="352"/>
      <c r="Y80" s="56">
        <f aca="true" t="shared" si="124" ref="Y80:AJ80">SUM(Y67:Y79)</f>
        <v>3846.169999999999</v>
      </c>
      <c r="Z80" s="56">
        <f t="shared" si="124"/>
        <v>3846.169999999999</v>
      </c>
      <c r="AA80" s="56">
        <f t="shared" si="124"/>
        <v>3846.169999999999</v>
      </c>
      <c r="AB80" s="56">
        <f t="shared" si="124"/>
        <v>3846.169999999999</v>
      </c>
      <c r="AC80" s="56">
        <f t="shared" si="124"/>
        <v>3846.169999999999</v>
      </c>
      <c r="AD80" s="56">
        <f t="shared" si="124"/>
        <v>3846.169999999999</v>
      </c>
      <c r="AE80" s="56">
        <f t="shared" si="124"/>
        <v>3846.169999999999</v>
      </c>
      <c r="AF80" s="56">
        <f t="shared" si="124"/>
        <v>3846.169999999999</v>
      </c>
      <c r="AG80" s="56">
        <f t="shared" si="124"/>
        <v>3846.169999999999</v>
      </c>
      <c r="AH80" s="56">
        <f t="shared" si="124"/>
        <v>3846.169999999999</v>
      </c>
      <c r="AI80" s="56">
        <f t="shared" si="124"/>
        <v>3846.169999999999</v>
      </c>
      <c r="AJ80" s="56">
        <f t="shared" si="124"/>
        <v>3846.169999999999</v>
      </c>
      <c r="AL80" s="359"/>
      <c r="AM80" s="359"/>
      <c r="AN80" s="359"/>
      <c r="AO80" s="359"/>
      <c r="AP80" s="359"/>
      <c r="AQ80" s="359"/>
      <c r="AR80" s="359"/>
      <c r="AS80" s="359"/>
      <c r="AT80" s="359"/>
      <c r="AU80" s="359"/>
      <c r="AV80" s="359"/>
      <c r="AW80" s="359"/>
    </row>
    <row r="81" spans="2:49" ht="12.75">
      <c r="B81" s="61"/>
      <c r="C81" s="85"/>
      <c r="D81" s="3" t="s">
        <v>650</v>
      </c>
      <c r="E81" s="85"/>
      <c r="F81" s="85"/>
      <c r="G81" s="357">
        <f>SUM(I81:T81)</f>
        <v>3858.599999999998</v>
      </c>
      <c r="H81" s="160"/>
      <c r="I81" s="510">
        <f>AL81</f>
        <v>321.5499999999999</v>
      </c>
      <c r="J81" s="510">
        <f aca="true" t="shared" si="125" ref="J81:T81">AM81</f>
        <v>321.5499999999999</v>
      </c>
      <c r="K81" s="510">
        <f t="shared" si="125"/>
        <v>321.5499999999999</v>
      </c>
      <c r="L81" s="510">
        <f t="shared" si="125"/>
        <v>321.5499999999999</v>
      </c>
      <c r="M81" s="510">
        <f t="shared" si="125"/>
        <v>321.5499999999999</v>
      </c>
      <c r="N81" s="510">
        <f t="shared" si="125"/>
        <v>321.5499999999999</v>
      </c>
      <c r="O81" s="510">
        <f t="shared" si="125"/>
        <v>321.5499999999999</v>
      </c>
      <c r="P81" s="510">
        <f t="shared" si="125"/>
        <v>321.5499999999999</v>
      </c>
      <c r="Q81" s="510">
        <f t="shared" si="125"/>
        <v>321.5499999999999</v>
      </c>
      <c r="R81" s="510">
        <f t="shared" si="125"/>
        <v>321.5499999999999</v>
      </c>
      <c r="S81" s="510">
        <f t="shared" si="125"/>
        <v>321.5499999999999</v>
      </c>
      <c r="T81" s="510">
        <f t="shared" si="125"/>
        <v>321.5499999999999</v>
      </c>
      <c r="U81" s="85"/>
      <c r="V81" s="352"/>
      <c r="AL81" s="359">
        <f>SUM(AL67:AL79)</f>
        <v>321.5499999999999</v>
      </c>
      <c r="AM81" s="359">
        <f aca="true" t="shared" si="126" ref="AM81:AW81">SUM(AM67:AM79)</f>
        <v>321.5499999999999</v>
      </c>
      <c r="AN81" s="359">
        <f t="shared" si="126"/>
        <v>321.5499999999999</v>
      </c>
      <c r="AO81" s="359">
        <f t="shared" si="126"/>
        <v>321.5499999999999</v>
      </c>
      <c r="AP81" s="359">
        <f t="shared" si="126"/>
        <v>321.5499999999999</v>
      </c>
      <c r="AQ81" s="359">
        <f t="shared" si="126"/>
        <v>321.5499999999999</v>
      </c>
      <c r="AR81" s="359">
        <f t="shared" si="126"/>
        <v>321.5499999999999</v>
      </c>
      <c r="AS81" s="359">
        <f t="shared" si="126"/>
        <v>321.5499999999999</v>
      </c>
      <c r="AT81" s="359">
        <f t="shared" si="126"/>
        <v>321.5499999999999</v>
      </c>
      <c r="AU81" s="359">
        <f t="shared" si="126"/>
        <v>321.5499999999999</v>
      </c>
      <c r="AV81" s="359">
        <f t="shared" si="126"/>
        <v>321.5499999999999</v>
      </c>
      <c r="AW81" s="359">
        <f t="shared" si="126"/>
        <v>321.5499999999999</v>
      </c>
    </row>
    <row r="82" spans="2:22" ht="12.75">
      <c r="B82" s="61"/>
      <c r="C82" s="85"/>
      <c r="D82" s="3"/>
      <c r="E82" s="85"/>
      <c r="F82" s="3" t="s">
        <v>577</v>
      </c>
      <c r="G82" s="357">
        <f>SUM(G80:G81)</f>
        <v>50012.639999999985</v>
      </c>
      <c r="H82" s="160"/>
      <c r="I82" s="83"/>
      <c r="J82" s="83"/>
      <c r="K82" s="23">
        <f>SUM(K67:K79)</f>
        <v>13</v>
      </c>
      <c r="L82" s="83"/>
      <c r="M82" s="83"/>
      <c r="N82" s="83"/>
      <c r="O82" s="83"/>
      <c r="P82" s="83"/>
      <c r="Q82" s="83"/>
      <c r="R82" s="83"/>
      <c r="S82" s="83"/>
      <c r="T82" s="83"/>
      <c r="U82" s="85"/>
      <c r="V82" s="352"/>
    </row>
    <row r="83" spans="2:22" ht="12.75">
      <c r="B83" s="61"/>
      <c r="C83" s="85"/>
      <c r="D83" s="85"/>
      <c r="E83" s="85"/>
      <c r="F83" s="85"/>
      <c r="G83" s="83"/>
      <c r="H83" s="85"/>
      <c r="I83" s="83"/>
      <c r="J83" s="83"/>
      <c r="K83" s="83"/>
      <c r="L83" s="83"/>
      <c r="M83" s="83"/>
      <c r="N83" s="83"/>
      <c r="O83" s="83"/>
      <c r="P83" s="83"/>
      <c r="Q83" s="83"/>
      <c r="R83" s="83"/>
      <c r="S83" s="83"/>
      <c r="T83" s="83"/>
      <c r="U83" s="85"/>
      <c r="V83" s="352"/>
    </row>
    <row r="84" spans="2:22" ht="12.75">
      <c r="B84" s="61"/>
      <c r="C84" s="62"/>
      <c r="D84" s="62"/>
      <c r="E84" s="62"/>
      <c r="F84" s="62"/>
      <c r="G84" s="55"/>
      <c r="H84" s="62"/>
      <c r="U84" s="62"/>
      <c r="V84" s="352"/>
    </row>
    <row r="85" spans="2:22" ht="12.75">
      <c r="B85" s="61"/>
      <c r="C85" s="85"/>
      <c r="D85" s="85"/>
      <c r="E85" s="85"/>
      <c r="F85" s="85"/>
      <c r="G85" s="83"/>
      <c r="H85" s="85"/>
      <c r="I85" s="83"/>
      <c r="J85" s="83"/>
      <c r="K85" s="83"/>
      <c r="L85" s="83"/>
      <c r="M85" s="83"/>
      <c r="N85" s="83"/>
      <c r="O85" s="83"/>
      <c r="P85" s="83"/>
      <c r="Q85" s="83"/>
      <c r="R85" s="83"/>
      <c r="S85" s="83"/>
      <c r="T85" s="83"/>
      <c r="U85" s="85"/>
      <c r="V85" s="352"/>
    </row>
    <row r="86" spans="2:22" ht="12.75">
      <c r="B86" s="61"/>
      <c r="C86" s="85"/>
      <c r="D86" s="2" t="s">
        <v>518</v>
      </c>
      <c r="E86" s="512" t="str">
        <f>tabel!B2</f>
        <v>2008/09</v>
      </c>
      <c r="F86" s="85"/>
      <c r="G86" s="83"/>
      <c r="H86" s="85"/>
      <c r="I86" s="83"/>
      <c r="J86" s="83"/>
      <c r="K86" s="68">
        <v>13</v>
      </c>
      <c r="L86" s="83"/>
      <c r="M86" s="83"/>
      <c r="N86" s="83"/>
      <c r="O86" s="83"/>
      <c r="P86" s="83"/>
      <c r="Q86" s="83"/>
      <c r="R86" s="83"/>
      <c r="S86" s="83"/>
      <c r="T86" s="83"/>
      <c r="U86" s="85"/>
      <c r="V86" s="352"/>
    </row>
    <row r="87" spans="2:49" ht="12.75">
      <c r="B87" s="61"/>
      <c r="C87" s="85"/>
      <c r="D87" s="2" t="s">
        <v>518</v>
      </c>
      <c r="E87" s="433" t="str">
        <f>tabel!C2</f>
        <v>2009/10</v>
      </c>
      <c r="F87" s="2" t="s">
        <v>19</v>
      </c>
      <c r="G87" s="4" t="str">
        <f>G10</f>
        <v>2009/10</v>
      </c>
      <c r="H87" s="3"/>
      <c r="I87" s="162" t="s">
        <v>590</v>
      </c>
      <c r="J87" s="162" t="s">
        <v>591</v>
      </c>
      <c r="K87" s="162" t="s">
        <v>592</v>
      </c>
      <c r="L87" s="162" t="s">
        <v>593</v>
      </c>
      <c r="M87" s="162" t="s">
        <v>594</v>
      </c>
      <c r="N87" s="162" t="s">
        <v>588</v>
      </c>
      <c r="O87" s="162" t="s">
        <v>589</v>
      </c>
      <c r="P87" s="162" t="s">
        <v>595</v>
      </c>
      <c r="Q87" s="162" t="s">
        <v>596</v>
      </c>
      <c r="R87" s="162" t="s">
        <v>597</v>
      </c>
      <c r="S87" s="162" t="s">
        <v>598</v>
      </c>
      <c r="T87" s="162" t="s">
        <v>599</v>
      </c>
      <c r="U87" s="1"/>
      <c r="V87" s="352"/>
      <c r="Y87" s="56" t="s">
        <v>590</v>
      </c>
      <c r="Z87" s="56" t="s">
        <v>591</v>
      </c>
      <c r="AA87" s="56" t="s">
        <v>592</v>
      </c>
      <c r="AB87" s="56" t="s">
        <v>593</v>
      </c>
      <c r="AC87" s="105" t="s">
        <v>594</v>
      </c>
      <c r="AD87" s="105" t="s">
        <v>588</v>
      </c>
      <c r="AE87" s="105" t="s">
        <v>589</v>
      </c>
      <c r="AF87" s="105" t="s">
        <v>595</v>
      </c>
      <c r="AG87" s="105" t="s">
        <v>596</v>
      </c>
      <c r="AH87" s="105" t="s">
        <v>597</v>
      </c>
      <c r="AI87" s="105" t="s">
        <v>598</v>
      </c>
      <c r="AJ87" s="105" t="s">
        <v>599</v>
      </c>
      <c r="AL87" s="56" t="s">
        <v>590</v>
      </c>
      <c r="AM87" s="56" t="s">
        <v>591</v>
      </c>
      <c r="AN87" s="56" t="s">
        <v>592</v>
      </c>
      <c r="AO87" s="56" t="s">
        <v>593</v>
      </c>
      <c r="AP87" s="105" t="s">
        <v>594</v>
      </c>
      <c r="AQ87" s="105" t="s">
        <v>588</v>
      </c>
      <c r="AR87" s="105" t="s">
        <v>589</v>
      </c>
      <c r="AS87" s="105" t="s">
        <v>595</v>
      </c>
      <c r="AT87" s="105" t="s">
        <v>596</v>
      </c>
      <c r="AU87" s="105" t="s">
        <v>597</v>
      </c>
      <c r="AV87" s="105" t="s">
        <v>598</v>
      </c>
      <c r="AW87" s="105" t="s">
        <v>599</v>
      </c>
    </row>
    <row r="88" spans="2:49" ht="12.75">
      <c r="B88" s="61"/>
      <c r="C88" s="85"/>
      <c r="D88" s="85"/>
      <c r="E88" s="84"/>
      <c r="F88" s="3"/>
      <c r="G88" s="4"/>
      <c r="H88" s="3"/>
      <c r="I88" s="83"/>
      <c r="J88" s="83"/>
      <c r="K88" s="83"/>
      <c r="L88" s="83"/>
      <c r="M88" s="106"/>
      <c r="N88" s="106"/>
      <c r="O88" s="106"/>
      <c r="P88" s="106"/>
      <c r="Q88" s="106"/>
      <c r="R88" s="106"/>
      <c r="S88" s="106"/>
      <c r="T88" s="106"/>
      <c r="U88" s="1"/>
      <c r="V88" s="352"/>
      <c r="AC88" s="105"/>
      <c r="AD88" s="105"/>
      <c r="AE88" s="105"/>
      <c r="AF88" s="105"/>
      <c r="AG88" s="105"/>
      <c r="AH88" s="105"/>
      <c r="AI88" s="105"/>
      <c r="AJ88" s="105"/>
      <c r="AP88" s="105"/>
      <c r="AQ88" s="105"/>
      <c r="AR88" s="105"/>
      <c r="AS88" s="105"/>
      <c r="AT88" s="105"/>
      <c r="AU88" s="105"/>
      <c r="AV88" s="105"/>
      <c r="AW88" s="105"/>
    </row>
    <row r="89" spans="2:49" ht="12.75">
      <c r="B89" s="61"/>
      <c r="C89" s="85"/>
      <c r="D89" s="85" t="s">
        <v>473</v>
      </c>
      <c r="E89" s="85"/>
      <c r="F89" s="85" t="s">
        <v>661</v>
      </c>
      <c r="G89" s="108">
        <f aca="true" t="shared" si="127" ref="G89:G101">ROUND(SUM(I89:T89)/12,2)</f>
        <v>1</v>
      </c>
      <c r="H89" s="107"/>
      <c r="I89" s="68">
        <v>1</v>
      </c>
      <c r="J89" s="5">
        <f>+I89</f>
        <v>1</v>
      </c>
      <c r="K89" s="5">
        <f aca="true" t="shared" si="128" ref="K89:T89">+J89</f>
        <v>1</v>
      </c>
      <c r="L89" s="5">
        <f t="shared" si="128"/>
        <v>1</v>
      </c>
      <c r="M89" s="5">
        <f t="shared" si="128"/>
        <v>1</v>
      </c>
      <c r="N89" s="5">
        <f t="shared" si="128"/>
        <v>1</v>
      </c>
      <c r="O89" s="5">
        <f t="shared" si="128"/>
        <v>1</v>
      </c>
      <c r="P89" s="5">
        <f t="shared" si="128"/>
        <v>1</v>
      </c>
      <c r="Q89" s="5">
        <f t="shared" si="128"/>
        <v>1</v>
      </c>
      <c r="R89" s="5">
        <f t="shared" si="128"/>
        <v>1</v>
      </c>
      <c r="S89" s="5">
        <f t="shared" si="128"/>
        <v>1</v>
      </c>
      <c r="T89" s="5">
        <f t="shared" si="128"/>
        <v>1</v>
      </c>
      <c r="U89" s="1"/>
      <c r="V89" s="352"/>
      <c r="Y89" s="56">
        <f>ROUND(+I89*1/12*VLOOKUP($D89,LGFMBO,3,FALSE),2)</f>
        <v>281.32</v>
      </c>
      <c r="Z89" s="56">
        <f aca="true" t="shared" si="129" ref="Z89:Z101">ROUND(+J89*1/12*VLOOKUP($D89,LGFMBO,3,FALSE),2)</f>
        <v>281.32</v>
      </c>
      <c r="AA89" s="56">
        <f aca="true" t="shared" si="130" ref="AA89:AA101">ROUND(+K89*1/12*VLOOKUP($D89,LGFMBO,3,FALSE),2)</f>
        <v>281.32</v>
      </c>
      <c r="AB89" s="56">
        <f aca="true" t="shared" si="131" ref="AB89:AB101">ROUND(+L89*1/12*VLOOKUP($D89,LGFMBO,3,FALSE),2)</f>
        <v>281.32</v>
      </c>
      <c r="AC89" s="56">
        <f aca="true" t="shared" si="132" ref="AC89:AC101">ROUND(+M89*1/12*VLOOKUP($D89,LGFMBO,3,FALSE),2)</f>
        <v>281.32</v>
      </c>
      <c r="AD89" s="56">
        <f aca="true" t="shared" si="133" ref="AD89:AD101">ROUND(+N89*1/12*VLOOKUP($D89,LGFMBO,3,FALSE),2)</f>
        <v>281.32</v>
      </c>
      <c r="AE89" s="56">
        <f aca="true" t="shared" si="134" ref="AE89:AE101">ROUND(+O89*1/12*VLOOKUP($D89,LGFMBO,3,FALSE),2)</f>
        <v>281.32</v>
      </c>
      <c r="AF89" s="56">
        <f aca="true" t="shared" si="135" ref="AF89:AF101">ROUND(+P89*1/12*VLOOKUP($D89,LGFMBO,3,FALSE),2)</f>
        <v>281.32</v>
      </c>
      <c r="AG89" s="56">
        <f aca="true" t="shared" si="136" ref="AG89:AG101">ROUND(+Q89*1/12*VLOOKUP($D89,LGFMBO,3,FALSE),2)</f>
        <v>281.32</v>
      </c>
      <c r="AH89" s="56">
        <f aca="true" t="shared" si="137" ref="AH89:AH101">ROUND(+R89*1/12*VLOOKUP($D89,LGFMBO,3,FALSE),2)</f>
        <v>281.32</v>
      </c>
      <c r="AI89" s="56">
        <f aca="true" t="shared" si="138" ref="AI89:AI101">ROUND(+S89*1/12*VLOOKUP($D89,LGFMBO,3,FALSE),2)</f>
        <v>281.32</v>
      </c>
      <c r="AJ89" s="56">
        <f aca="true" t="shared" si="139" ref="AJ89:AJ101">ROUND(+T89*1/12*VLOOKUP($D89,LGFMBO,3,FALSE),2)</f>
        <v>281.32</v>
      </c>
      <c r="AL89" s="359">
        <f aca="true" t="shared" si="140" ref="AL89:AL101">ROUND(+I89*1/12*VLOOKUP($D89,LGFMBO,5,FALSE),2)</f>
        <v>31.08</v>
      </c>
      <c r="AM89" s="359">
        <f aca="true" t="shared" si="141" ref="AM89:AM101">ROUND(+J89*1/12*VLOOKUP($D89,LGFMBO,5,FALSE),2)</f>
        <v>31.08</v>
      </c>
      <c r="AN89" s="359">
        <f aca="true" t="shared" si="142" ref="AN89:AN101">ROUND(+K89*1/12*VLOOKUP($D89,LGFMBO,5,FALSE),2)</f>
        <v>31.08</v>
      </c>
      <c r="AO89" s="359">
        <f aca="true" t="shared" si="143" ref="AO89:AO101">ROUND(+L89*1/12*VLOOKUP($D89,LGFMBO,5,FALSE),2)</f>
        <v>31.08</v>
      </c>
      <c r="AP89" s="359">
        <f aca="true" t="shared" si="144" ref="AP89:AP101">ROUND(+M89*1/12*VLOOKUP($D89,LGFMBO,5,FALSE),2)</f>
        <v>31.08</v>
      </c>
      <c r="AQ89" s="359">
        <f aca="true" t="shared" si="145" ref="AQ89:AQ101">ROUND(+N89*1/12*VLOOKUP($D89,LGFMBO,5,FALSE),2)</f>
        <v>31.08</v>
      </c>
      <c r="AR89" s="359">
        <f aca="true" t="shared" si="146" ref="AR89:AR101">ROUND(+O89*1/12*VLOOKUP($D89,LGFMBO,5,FALSE),2)</f>
        <v>31.08</v>
      </c>
      <c r="AS89" s="359">
        <f aca="true" t="shared" si="147" ref="AS89:AS101">ROUND(+P89*1/12*VLOOKUP($D89,LGFMBO,5,FALSE),2)</f>
        <v>31.08</v>
      </c>
      <c r="AT89" s="359">
        <f aca="true" t="shared" si="148" ref="AT89:AT101">ROUND(+Q89*1/12*VLOOKUP($D89,LGFMBO,5,FALSE),2)</f>
        <v>31.08</v>
      </c>
      <c r="AU89" s="359">
        <f aca="true" t="shared" si="149" ref="AU89:AU101">ROUND(+R89*1/12*VLOOKUP($D89,LGFMBO,5,FALSE),2)</f>
        <v>31.08</v>
      </c>
      <c r="AV89" s="359">
        <f aca="true" t="shared" si="150" ref="AV89:AV101">ROUND(+S89*1/12*VLOOKUP($D89,LGFMBO,5,FALSE),2)</f>
        <v>31.08</v>
      </c>
      <c r="AW89" s="359">
        <f aca="true" t="shared" si="151" ref="AW89:AW101">ROUND(+T89*1/12*VLOOKUP($D89,LGFMBO,5,FALSE),2)</f>
        <v>31.08</v>
      </c>
    </row>
    <row r="90" spans="2:49" ht="12.75">
      <c r="B90" s="61"/>
      <c r="C90" s="85"/>
      <c r="D90" s="85" t="s">
        <v>474</v>
      </c>
      <c r="E90" s="85"/>
      <c r="F90" s="85" t="s">
        <v>661</v>
      </c>
      <c r="G90" s="108">
        <f t="shared" si="127"/>
        <v>1</v>
      </c>
      <c r="H90" s="107"/>
      <c r="I90" s="68">
        <v>1</v>
      </c>
      <c r="J90" s="5">
        <f aca="true" t="shared" si="152" ref="J90:T90">+I90</f>
        <v>1</v>
      </c>
      <c r="K90" s="5">
        <f t="shared" si="152"/>
        <v>1</v>
      </c>
      <c r="L90" s="5">
        <f t="shared" si="152"/>
        <v>1</v>
      </c>
      <c r="M90" s="5">
        <f t="shared" si="152"/>
        <v>1</v>
      </c>
      <c r="N90" s="5">
        <f t="shared" si="152"/>
        <v>1</v>
      </c>
      <c r="O90" s="5">
        <f t="shared" si="152"/>
        <v>1</v>
      </c>
      <c r="P90" s="5">
        <f t="shared" si="152"/>
        <v>1</v>
      </c>
      <c r="Q90" s="5">
        <f t="shared" si="152"/>
        <v>1</v>
      </c>
      <c r="R90" s="5">
        <f t="shared" si="152"/>
        <v>1</v>
      </c>
      <c r="S90" s="5">
        <f t="shared" si="152"/>
        <v>1</v>
      </c>
      <c r="T90" s="5">
        <f t="shared" si="152"/>
        <v>1</v>
      </c>
      <c r="U90" s="1"/>
      <c r="V90" s="352"/>
      <c r="Y90" s="56">
        <f aca="true" t="shared" si="153" ref="Y90:Y101">ROUND(+I90*1/12*VLOOKUP($D90,LGFMBO,3,FALSE),2)</f>
        <v>181.95</v>
      </c>
      <c r="Z90" s="56">
        <f t="shared" si="129"/>
        <v>181.95</v>
      </c>
      <c r="AA90" s="56">
        <f t="shared" si="130"/>
        <v>181.95</v>
      </c>
      <c r="AB90" s="56">
        <f t="shared" si="131"/>
        <v>181.95</v>
      </c>
      <c r="AC90" s="56">
        <f t="shared" si="132"/>
        <v>181.95</v>
      </c>
      <c r="AD90" s="56">
        <f t="shared" si="133"/>
        <v>181.95</v>
      </c>
      <c r="AE90" s="56">
        <f t="shared" si="134"/>
        <v>181.95</v>
      </c>
      <c r="AF90" s="56">
        <f t="shared" si="135"/>
        <v>181.95</v>
      </c>
      <c r="AG90" s="56">
        <f t="shared" si="136"/>
        <v>181.95</v>
      </c>
      <c r="AH90" s="56">
        <f t="shared" si="137"/>
        <v>181.95</v>
      </c>
      <c r="AI90" s="56">
        <f t="shared" si="138"/>
        <v>181.95</v>
      </c>
      <c r="AJ90" s="56">
        <f t="shared" si="139"/>
        <v>181.95</v>
      </c>
      <c r="AL90" s="359">
        <f t="shared" si="140"/>
        <v>12</v>
      </c>
      <c r="AM90" s="359">
        <f t="shared" si="141"/>
        <v>12</v>
      </c>
      <c r="AN90" s="359">
        <f t="shared" si="142"/>
        <v>12</v>
      </c>
      <c r="AO90" s="359">
        <f t="shared" si="143"/>
        <v>12</v>
      </c>
      <c r="AP90" s="359">
        <f t="shared" si="144"/>
        <v>12</v>
      </c>
      <c r="AQ90" s="359">
        <f t="shared" si="145"/>
        <v>12</v>
      </c>
      <c r="AR90" s="359">
        <f t="shared" si="146"/>
        <v>12</v>
      </c>
      <c r="AS90" s="359">
        <f t="shared" si="147"/>
        <v>12</v>
      </c>
      <c r="AT90" s="359">
        <f t="shared" si="148"/>
        <v>12</v>
      </c>
      <c r="AU90" s="359">
        <f t="shared" si="149"/>
        <v>12</v>
      </c>
      <c r="AV90" s="359">
        <f t="shared" si="150"/>
        <v>12</v>
      </c>
      <c r="AW90" s="359">
        <f t="shared" si="151"/>
        <v>12</v>
      </c>
    </row>
    <row r="91" spans="2:49" ht="12.75">
      <c r="B91" s="61"/>
      <c r="C91" s="85"/>
      <c r="D91" s="85" t="s">
        <v>475</v>
      </c>
      <c r="E91" s="85"/>
      <c r="F91" s="85" t="s">
        <v>661</v>
      </c>
      <c r="G91" s="108">
        <f t="shared" si="127"/>
        <v>1</v>
      </c>
      <c r="H91" s="107"/>
      <c r="I91" s="68">
        <v>1</v>
      </c>
      <c r="J91" s="5">
        <f aca="true" t="shared" si="154" ref="J91:T91">+I91</f>
        <v>1</v>
      </c>
      <c r="K91" s="5">
        <f t="shared" si="154"/>
        <v>1</v>
      </c>
      <c r="L91" s="5">
        <f t="shared" si="154"/>
        <v>1</v>
      </c>
      <c r="M91" s="5">
        <f t="shared" si="154"/>
        <v>1</v>
      </c>
      <c r="N91" s="5">
        <f t="shared" si="154"/>
        <v>1</v>
      </c>
      <c r="O91" s="5">
        <f t="shared" si="154"/>
        <v>1</v>
      </c>
      <c r="P91" s="5">
        <f t="shared" si="154"/>
        <v>1</v>
      </c>
      <c r="Q91" s="5">
        <f t="shared" si="154"/>
        <v>1</v>
      </c>
      <c r="R91" s="5">
        <f t="shared" si="154"/>
        <v>1</v>
      </c>
      <c r="S91" s="5">
        <f t="shared" si="154"/>
        <v>1</v>
      </c>
      <c r="T91" s="5">
        <f t="shared" si="154"/>
        <v>1</v>
      </c>
      <c r="U91" s="1"/>
      <c r="V91" s="352"/>
      <c r="Y91" s="56">
        <f t="shared" si="153"/>
        <v>181.95</v>
      </c>
      <c r="Z91" s="56">
        <f t="shared" si="129"/>
        <v>181.95</v>
      </c>
      <c r="AA91" s="56">
        <f t="shared" si="130"/>
        <v>181.95</v>
      </c>
      <c r="AB91" s="56">
        <f t="shared" si="131"/>
        <v>181.95</v>
      </c>
      <c r="AC91" s="56">
        <f t="shared" si="132"/>
        <v>181.95</v>
      </c>
      <c r="AD91" s="56">
        <f t="shared" si="133"/>
        <v>181.95</v>
      </c>
      <c r="AE91" s="56">
        <f t="shared" si="134"/>
        <v>181.95</v>
      </c>
      <c r="AF91" s="56">
        <f t="shared" si="135"/>
        <v>181.95</v>
      </c>
      <c r="AG91" s="56">
        <f t="shared" si="136"/>
        <v>181.95</v>
      </c>
      <c r="AH91" s="56">
        <f t="shared" si="137"/>
        <v>181.95</v>
      </c>
      <c r="AI91" s="56">
        <f t="shared" si="138"/>
        <v>181.95</v>
      </c>
      <c r="AJ91" s="56">
        <f t="shared" si="139"/>
        <v>181.95</v>
      </c>
      <c r="AL91" s="359">
        <f t="shared" si="140"/>
        <v>15.25</v>
      </c>
      <c r="AM91" s="359">
        <f t="shared" si="141"/>
        <v>15.25</v>
      </c>
      <c r="AN91" s="359">
        <f t="shared" si="142"/>
        <v>15.25</v>
      </c>
      <c r="AO91" s="359">
        <f t="shared" si="143"/>
        <v>15.25</v>
      </c>
      <c r="AP91" s="359">
        <f t="shared" si="144"/>
        <v>15.25</v>
      </c>
      <c r="AQ91" s="359">
        <f t="shared" si="145"/>
        <v>15.25</v>
      </c>
      <c r="AR91" s="359">
        <f t="shared" si="146"/>
        <v>15.25</v>
      </c>
      <c r="AS91" s="359">
        <f t="shared" si="147"/>
        <v>15.25</v>
      </c>
      <c r="AT91" s="359">
        <f t="shared" si="148"/>
        <v>15.25</v>
      </c>
      <c r="AU91" s="359">
        <f t="shared" si="149"/>
        <v>15.25</v>
      </c>
      <c r="AV91" s="359">
        <f t="shared" si="150"/>
        <v>15.25</v>
      </c>
      <c r="AW91" s="359">
        <f t="shared" si="151"/>
        <v>15.25</v>
      </c>
    </row>
    <row r="92" spans="2:49" ht="12.75">
      <c r="B92" s="61"/>
      <c r="C92" s="85"/>
      <c r="D92" s="85" t="s">
        <v>476</v>
      </c>
      <c r="E92" s="85"/>
      <c r="F92" s="85" t="s">
        <v>661</v>
      </c>
      <c r="G92" s="108">
        <f t="shared" si="127"/>
        <v>1</v>
      </c>
      <c r="H92" s="107"/>
      <c r="I92" s="68">
        <v>1</v>
      </c>
      <c r="J92" s="5">
        <f aca="true" t="shared" si="155" ref="J92:T92">+I92</f>
        <v>1</v>
      </c>
      <c r="K92" s="5">
        <f t="shared" si="155"/>
        <v>1</v>
      </c>
      <c r="L92" s="5">
        <f t="shared" si="155"/>
        <v>1</v>
      </c>
      <c r="M92" s="5">
        <f t="shared" si="155"/>
        <v>1</v>
      </c>
      <c r="N92" s="5">
        <f t="shared" si="155"/>
        <v>1</v>
      </c>
      <c r="O92" s="5">
        <f t="shared" si="155"/>
        <v>1</v>
      </c>
      <c r="P92" s="5">
        <f t="shared" si="155"/>
        <v>1</v>
      </c>
      <c r="Q92" s="5">
        <f t="shared" si="155"/>
        <v>1</v>
      </c>
      <c r="R92" s="5">
        <f t="shared" si="155"/>
        <v>1</v>
      </c>
      <c r="S92" s="5">
        <f t="shared" si="155"/>
        <v>1</v>
      </c>
      <c r="T92" s="5">
        <f t="shared" si="155"/>
        <v>1</v>
      </c>
      <c r="U92" s="1"/>
      <c r="V92" s="352"/>
      <c r="Y92" s="56">
        <f t="shared" si="153"/>
        <v>281.32</v>
      </c>
      <c r="Z92" s="56">
        <f t="shared" si="129"/>
        <v>281.32</v>
      </c>
      <c r="AA92" s="56">
        <f t="shared" si="130"/>
        <v>281.32</v>
      </c>
      <c r="AB92" s="56">
        <f t="shared" si="131"/>
        <v>281.32</v>
      </c>
      <c r="AC92" s="56">
        <f t="shared" si="132"/>
        <v>281.32</v>
      </c>
      <c r="AD92" s="56">
        <f t="shared" si="133"/>
        <v>281.32</v>
      </c>
      <c r="AE92" s="56">
        <f t="shared" si="134"/>
        <v>281.32</v>
      </c>
      <c r="AF92" s="56">
        <f t="shared" si="135"/>
        <v>281.32</v>
      </c>
      <c r="AG92" s="56">
        <f t="shared" si="136"/>
        <v>281.32</v>
      </c>
      <c r="AH92" s="56">
        <f t="shared" si="137"/>
        <v>281.32</v>
      </c>
      <c r="AI92" s="56">
        <f t="shared" si="138"/>
        <v>281.32</v>
      </c>
      <c r="AJ92" s="56">
        <f t="shared" si="139"/>
        <v>281.32</v>
      </c>
      <c r="AL92" s="359">
        <f t="shared" si="140"/>
        <v>26.08</v>
      </c>
      <c r="AM92" s="359">
        <f t="shared" si="141"/>
        <v>26.08</v>
      </c>
      <c r="AN92" s="359">
        <f t="shared" si="142"/>
        <v>26.08</v>
      </c>
      <c r="AO92" s="359">
        <f t="shared" si="143"/>
        <v>26.08</v>
      </c>
      <c r="AP92" s="359">
        <f t="shared" si="144"/>
        <v>26.08</v>
      </c>
      <c r="AQ92" s="359">
        <f t="shared" si="145"/>
        <v>26.08</v>
      </c>
      <c r="AR92" s="359">
        <f t="shared" si="146"/>
        <v>26.08</v>
      </c>
      <c r="AS92" s="359">
        <f t="shared" si="147"/>
        <v>26.08</v>
      </c>
      <c r="AT92" s="359">
        <f t="shared" si="148"/>
        <v>26.08</v>
      </c>
      <c r="AU92" s="359">
        <f t="shared" si="149"/>
        <v>26.08</v>
      </c>
      <c r="AV92" s="359">
        <f t="shared" si="150"/>
        <v>26.08</v>
      </c>
      <c r="AW92" s="359">
        <f t="shared" si="151"/>
        <v>26.08</v>
      </c>
    </row>
    <row r="93" spans="2:49" ht="12.75">
      <c r="B93" s="61"/>
      <c r="C93" s="85"/>
      <c r="D93" s="85" t="s">
        <v>478</v>
      </c>
      <c r="E93" s="85"/>
      <c r="F93" s="85" t="s">
        <v>661</v>
      </c>
      <c r="G93" s="108">
        <f t="shared" si="127"/>
        <v>1</v>
      </c>
      <c r="H93" s="107"/>
      <c r="I93" s="68">
        <v>1</v>
      </c>
      <c r="J93" s="5">
        <f aca="true" t="shared" si="156" ref="J93:T93">+I93</f>
        <v>1</v>
      </c>
      <c r="K93" s="5">
        <f t="shared" si="156"/>
        <v>1</v>
      </c>
      <c r="L93" s="5">
        <f t="shared" si="156"/>
        <v>1</v>
      </c>
      <c r="M93" s="5">
        <f t="shared" si="156"/>
        <v>1</v>
      </c>
      <c r="N93" s="5">
        <f t="shared" si="156"/>
        <v>1</v>
      </c>
      <c r="O93" s="5">
        <f t="shared" si="156"/>
        <v>1</v>
      </c>
      <c r="P93" s="5">
        <f t="shared" si="156"/>
        <v>1</v>
      </c>
      <c r="Q93" s="5">
        <f t="shared" si="156"/>
        <v>1</v>
      </c>
      <c r="R93" s="5">
        <f t="shared" si="156"/>
        <v>1</v>
      </c>
      <c r="S93" s="5">
        <f t="shared" si="156"/>
        <v>1</v>
      </c>
      <c r="T93" s="5">
        <f t="shared" si="156"/>
        <v>1</v>
      </c>
      <c r="U93" s="1"/>
      <c r="V93" s="352"/>
      <c r="Y93" s="56">
        <f t="shared" si="153"/>
        <v>181.95</v>
      </c>
      <c r="Z93" s="56">
        <f t="shared" si="129"/>
        <v>181.95</v>
      </c>
      <c r="AA93" s="56">
        <f t="shared" si="130"/>
        <v>181.95</v>
      </c>
      <c r="AB93" s="56">
        <f t="shared" si="131"/>
        <v>181.95</v>
      </c>
      <c r="AC93" s="56">
        <f t="shared" si="132"/>
        <v>181.95</v>
      </c>
      <c r="AD93" s="56">
        <f t="shared" si="133"/>
        <v>181.95</v>
      </c>
      <c r="AE93" s="56">
        <f t="shared" si="134"/>
        <v>181.95</v>
      </c>
      <c r="AF93" s="56">
        <f t="shared" si="135"/>
        <v>181.95</v>
      </c>
      <c r="AG93" s="56">
        <f t="shared" si="136"/>
        <v>181.95</v>
      </c>
      <c r="AH93" s="56">
        <f t="shared" si="137"/>
        <v>181.95</v>
      </c>
      <c r="AI93" s="56">
        <f t="shared" si="138"/>
        <v>181.95</v>
      </c>
      <c r="AJ93" s="56">
        <f t="shared" si="139"/>
        <v>181.95</v>
      </c>
      <c r="AL93" s="359">
        <f t="shared" si="140"/>
        <v>15.25</v>
      </c>
      <c r="AM93" s="359">
        <f t="shared" si="141"/>
        <v>15.25</v>
      </c>
      <c r="AN93" s="359">
        <f t="shared" si="142"/>
        <v>15.25</v>
      </c>
      <c r="AO93" s="359">
        <f t="shared" si="143"/>
        <v>15.25</v>
      </c>
      <c r="AP93" s="359">
        <f t="shared" si="144"/>
        <v>15.25</v>
      </c>
      <c r="AQ93" s="359">
        <f t="shared" si="145"/>
        <v>15.25</v>
      </c>
      <c r="AR93" s="359">
        <f t="shared" si="146"/>
        <v>15.25</v>
      </c>
      <c r="AS93" s="359">
        <f t="shared" si="147"/>
        <v>15.25</v>
      </c>
      <c r="AT93" s="359">
        <f t="shared" si="148"/>
        <v>15.25</v>
      </c>
      <c r="AU93" s="359">
        <f t="shared" si="149"/>
        <v>15.25</v>
      </c>
      <c r="AV93" s="359">
        <f t="shared" si="150"/>
        <v>15.25</v>
      </c>
      <c r="AW93" s="359">
        <f t="shared" si="151"/>
        <v>15.25</v>
      </c>
    </row>
    <row r="94" spans="2:49" ht="12.75">
      <c r="B94" s="61"/>
      <c r="C94" s="85"/>
      <c r="D94" s="85" t="s">
        <v>479</v>
      </c>
      <c r="E94" s="85"/>
      <c r="F94" s="85" t="s">
        <v>661</v>
      </c>
      <c r="G94" s="108">
        <f t="shared" si="127"/>
        <v>1</v>
      </c>
      <c r="H94" s="107"/>
      <c r="I94" s="68">
        <v>1</v>
      </c>
      <c r="J94" s="5">
        <f aca="true" t="shared" si="157" ref="J94:T94">+I94</f>
        <v>1</v>
      </c>
      <c r="K94" s="5">
        <f t="shared" si="157"/>
        <v>1</v>
      </c>
      <c r="L94" s="5">
        <f t="shared" si="157"/>
        <v>1</v>
      </c>
      <c r="M94" s="5">
        <f t="shared" si="157"/>
        <v>1</v>
      </c>
      <c r="N94" s="5">
        <f t="shared" si="157"/>
        <v>1</v>
      </c>
      <c r="O94" s="5">
        <f t="shared" si="157"/>
        <v>1</v>
      </c>
      <c r="P94" s="5">
        <f t="shared" si="157"/>
        <v>1</v>
      </c>
      <c r="Q94" s="5">
        <f t="shared" si="157"/>
        <v>1</v>
      </c>
      <c r="R94" s="5">
        <f t="shared" si="157"/>
        <v>1</v>
      </c>
      <c r="S94" s="5">
        <f t="shared" si="157"/>
        <v>1</v>
      </c>
      <c r="T94" s="5">
        <f t="shared" si="157"/>
        <v>1</v>
      </c>
      <c r="U94" s="1"/>
      <c r="V94" s="352"/>
      <c r="Y94" s="56">
        <f t="shared" si="153"/>
        <v>181.95</v>
      </c>
      <c r="Z94" s="56">
        <f t="shared" si="129"/>
        <v>181.95</v>
      </c>
      <c r="AA94" s="56">
        <f t="shared" si="130"/>
        <v>181.95</v>
      </c>
      <c r="AB94" s="56">
        <f t="shared" si="131"/>
        <v>181.95</v>
      </c>
      <c r="AC94" s="56">
        <f t="shared" si="132"/>
        <v>181.95</v>
      </c>
      <c r="AD94" s="56">
        <f t="shared" si="133"/>
        <v>181.95</v>
      </c>
      <c r="AE94" s="56">
        <f t="shared" si="134"/>
        <v>181.95</v>
      </c>
      <c r="AF94" s="56">
        <f t="shared" si="135"/>
        <v>181.95</v>
      </c>
      <c r="AG94" s="56">
        <f t="shared" si="136"/>
        <v>181.95</v>
      </c>
      <c r="AH94" s="56">
        <f t="shared" si="137"/>
        <v>181.95</v>
      </c>
      <c r="AI94" s="56">
        <f t="shared" si="138"/>
        <v>181.95</v>
      </c>
      <c r="AJ94" s="56">
        <f t="shared" si="139"/>
        <v>181.95</v>
      </c>
      <c r="AL94" s="359">
        <f t="shared" si="140"/>
        <v>15.25</v>
      </c>
      <c r="AM94" s="359">
        <f t="shared" si="141"/>
        <v>15.25</v>
      </c>
      <c r="AN94" s="359">
        <f t="shared" si="142"/>
        <v>15.25</v>
      </c>
      <c r="AO94" s="359">
        <f t="shared" si="143"/>
        <v>15.25</v>
      </c>
      <c r="AP94" s="359">
        <f t="shared" si="144"/>
        <v>15.25</v>
      </c>
      <c r="AQ94" s="359">
        <f t="shared" si="145"/>
        <v>15.25</v>
      </c>
      <c r="AR94" s="359">
        <f t="shared" si="146"/>
        <v>15.25</v>
      </c>
      <c r="AS94" s="359">
        <f t="shared" si="147"/>
        <v>15.25</v>
      </c>
      <c r="AT94" s="359">
        <f t="shared" si="148"/>
        <v>15.25</v>
      </c>
      <c r="AU94" s="359">
        <f t="shared" si="149"/>
        <v>15.25</v>
      </c>
      <c r="AV94" s="359">
        <f t="shared" si="150"/>
        <v>15.25</v>
      </c>
      <c r="AW94" s="359">
        <f t="shared" si="151"/>
        <v>15.25</v>
      </c>
    </row>
    <row r="95" spans="2:49" ht="12.75">
      <c r="B95" s="61"/>
      <c r="C95" s="85"/>
      <c r="D95" s="85" t="s">
        <v>477</v>
      </c>
      <c r="E95" s="85"/>
      <c r="F95" s="85" t="s">
        <v>661</v>
      </c>
      <c r="G95" s="108">
        <f t="shared" si="127"/>
        <v>1</v>
      </c>
      <c r="H95" s="107"/>
      <c r="I95" s="68">
        <v>1</v>
      </c>
      <c r="J95" s="5">
        <f aca="true" t="shared" si="158" ref="J95:T95">+I95</f>
        <v>1</v>
      </c>
      <c r="K95" s="5">
        <f t="shared" si="158"/>
        <v>1</v>
      </c>
      <c r="L95" s="5">
        <f t="shared" si="158"/>
        <v>1</v>
      </c>
      <c r="M95" s="5">
        <f t="shared" si="158"/>
        <v>1</v>
      </c>
      <c r="N95" s="5">
        <f t="shared" si="158"/>
        <v>1</v>
      </c>
      <c r="O95" s="5">
        <f t="shared" si="158"/>
        <v>1</v>
      </c>
      <c r="P95" s="5">
        <f t="shared" si="158"/>
        <v>1</v>
      </c>
      <c r="Q95" s="5">
        <f t="shared" si="158"/>
        <v>1</v>
      </c>
      <c r="R95" s="5">
        <f t="shared" si="158"/>
        <v>1</v>
      </c>
      <c r="S95" s="5">
        <f t="shared" si="158"/>
        <v>1</v>
      </c>
      <c r="T95" s="5">
        <f t="shared" si="158"/>
        <v>1</v>
      </c>
      <c r="U95" s="1"/>
      <c r="V95" s="352"/>
      <c r="Y95" s="56">
        <f t="shared" si="153"/>
        <v>181.95</v>
      </c>
      <c r="Z95" s="56">
        <f t="shared" si="129"/>
        <v>181.95</v>
      </c>
      <c r="AA95" s="56">
        <f t="shared" si="130"/>
        <v>181.95</v>
      </c>
      <c r="AB95" s="56">
        <f t="shared" si="131"/>
        <v>181.95</v>
      </c>
      <c r="AC95" s="56">
        <f t="shared" si="132"/>
        <v>181.95</v>
      </c>
      <c r="AD95" s="56">
        <f t="shared" si="133"/>
        <v>181.95</v>
      </c>
      <c r="AE95" s="56">
        <f t="shared" si="134"/>
        <v>181.95</v>
      </c>
      <c r="AF95" s="56">
        <f t="shared" si="135"/>
        <v>181.95</v>
      </c>
      <c r="AG95" s="56">
        <f t="shared" si="136"/>
        <v>181.95</v>
      </c>
      <c r="AH95" s="56">
        <f t="shared" si="137"/>
        <v>181.95</v>
      </c>
      <c r="AI95" s="56">
        <f t="shared" si="138"/>
        <v>181.95</v>
      </c>
      <c r="AJ95" s="56">
        <f t="shared" si="139"/>
        <v>181.95</v>
      </c>
      <c r="AL95" s="359">
        <f t="shared" si="140"/>
        <v>8.25</v>
      </c>
      <c r="AM95" s="359">
        <f t="shared" si="141"/>
        <v>8.25</v>
      </c>
      <c r="AN95" s="359">
        <f t="shared" si="142"/>
        <v>8.25</v>
      </c>
      <c r="AO95" s="359">
        <f t="shared" si="143"/>
        <v>8.25</v>
      </c>
      <c r="AP95" s="359">
        <f t="shared" si="144"/>
        <v>8.25</v>
      </c>
      <c r="AQ95" s="359">
        <f t="shared" si="145"/>
        <v>8.25</v>
      </c>
      <c r="AR95" s="359">
        <f t="shared" si="146"/>
        <v>8.25</v>
      </c>
      <c r="AS95" s="359">
        <f t="shared" si="147"/>
        <v>8.25</v>
      </c>
      <c r="AT95" s="359">
        <f t="shared" si="148"/>
        <v>8.25</v>
      </c>
      <c r="AU95" s="359">
        <f t="shared" si="149"/>
        <v>8.25</v>
      </c>
      <c r="AV95" s="359">
        <f t="shared" si="150"/>
        <v>8.25</v>
      </c>
      <c r="AW95" s="359">
        <f t="shared" si="151"/>
        <v>8.25</v>
      </c>
    </row>
    <row r="96" spans="2:49" ht="12.75">
      <c r="B96" s="61"/>
      <c r="C96" s="85"/>
      <c r="D96" s="85" t="s">
        <v>480</v>
      </c>
      <c r="E96" s="85"/>
      <c r="F96" s="85" t="s">
        <v>661</v>
      </c>
      <c r="G96" s="108">
        <f t="shared" si="127"/>
        <v>1</v>
      </c>
      <c r="H96" s="107"/>
      <c r="I96" s="68">
        <v>1</v>
      </c>
      <c r="J96" s="5">
        <f aca="true" t="shared" si="159" ref="J96:T96">+I96</f>
        <v>1</v>
      </c>
      <c r="K96" s="5">
        <f t="shared" si="159"/>
        <v>1</v>
      </c>
      <c r="L96" s="5">
        <f t="shared" si="159"/>
        <v>1</v>
      </c>
      <c r="M96" s="5">
        <f t="shared" si="159"/>
        <v>1</v>
      </c>
      <c r="N96" s="5">
        <f t="shared" si="159"/>
        <v>1</v>
      </c>
      <c r="O96" s="5">
        <f t="shared" si="159"/>
        <v>1</v>
      </c>
      <c r="P96" s="5">
        <f t="shared" si="159"/>
        <v>1</v>
      </c>
      <c r="Q96" s="5">
        <f t="shared" si="159"/>
        <v>1</v>
      </c>
      <c r="R96" s="5">
        <f t="shared" si="159"/>
        <v>1</v>
      </c>
      <c r="S96" s="5">
        <f t="shared" si="159"/>
        <v>1</v>
      </c>
      <c r="T96" s="5">
        <f t="shared" si="159"/>
        <v>1</v>
      </c>
      <c r="U96" s="1"/>
      <c r="V96" s="352"/>
      <c r="Y96" s="56">
        <f t="shared" si="153"/>
        <v>181.95</v>
      </c>
      <c r="Z96" s="56">
        <f t="shared" si="129"/>
        <v>181.95</v>
      </c>
      <c r="AA96" s="56">
        <f t="shared" si="130"/>
        <v>181.95</v>
      </c>
      <c r="AB96" s="56">
        <f t="shared" si="131"/>
        <v>181.95</v>
      </c>
      <c r="AC96" s="56">
        <f t="shared" si="132"/>
        <v>181.95</v>
      </c>
      <c r="AD96" s="56">
        <f t="shared" si="133"/>
        <v>181.95</v>
      </c>
      <c r="AE96" s="56">
        <f t="shared" si="134"/>
        <v>181.95</v>
      </c>
      <c r="AF96" s="56">
        <f t="shared" si="135"/>
        <v>181.95</v>
      </c>
      <c r="AG96" s="56">
        <f t="shared" si="136"/>
        <v>181.95</v>
      </c>
      <c r="AH96" s="56">
        <f t="shared" si="137"/>
        <v>181.95</v>
      </c>
      <c r="AI96" s="56">
        <f t="shared" si="138"/>
        <v>181.95</v>
      </c>
      <c r="AJ96" s="56">
        <f t="shared" si="139"/>
        <v>181.95</v>
      </c>
      <c r="AL96" s="359">
        <f t="shared" si="140"/>
        <v>15.25</v>
      </c>
      <c r="AM96" s="359">
        <f t="shared" si="141"/>
        <v>15.25</v>
      </c>
      <c r="AN96" s="359">
        <f t="shared" si="142"/>
        <v>15.25</v>
      </c>
      <c r="AO96" s="359">
        <f t="shared" si="143"/>
        <v>15.25</v>
      </c>
      <c r="AP96" s="359">
        <f t="shared" si="144"/>
        <v>15.25</v>
      </c>
      <c r="AQ96" s="359">
        <f t="shared" si="145"/>
        <v>15.25</v>
      </c>
      <c r="AR96" s="359">
        <f t="shared" si="146"/>
        <v>15.25</v>
      </c>
      <c r="AS96" s="359">
        <f t="shared" si="147"/>
        <v>15.25</v>
      </c>
      <c r="AT96" s="359">
        <f t="shared" si="148"/>
        <v>15.25</v>
      </c>
      <c r="AU96" s="359">
        <f t="shared" si="149"/>
        <v>15.25</v>
      </c>
      <c r="AV96" s="359">
        <f t="shared" si="150"/>
        <v>15.25</v>
      </c>
      <c r="AW96" s="359">
        <f t="shared" si="151"/>
        <v>15.25</v>
      </c>
    </row>
    <row r="97" spans="2:49" ht="12.75">
      <c r="B97" s="61"/>
      <c r="C97" s="85"/>
      <c r="D97" s="85" t="s">
        <v>481</v>
      </c>
      <c r="E97" s="85"/>
      <c r="F97" s="85" t="s">
        <v>661</v>
      </c>
      <c r="G97" s="108">
        <f t="shared" si="127"/>
        <v>1</v>
      </c>
      <c r="H97" s="107"/>
      <c r="I97" s="68">
        <v>1</v>
      </c>
      <c r="J97" s="5">
        <f aca="true" t="shared" si="160" ref="J97:T97">+I97</f>
        <v>1</v>
      </c>
      <c r="K97" s="5">
        <f t="shared" si="160"/>
        <v>1</v>
      </c>
      <c r="L97" s="5">
        <f t="shared" si="160"/>
        <v>1</v>
      </c>
      <c r="M97" s="5">
        <f t="shared" si="160"/>
        <v>1</v>
      </c>
      <c r="N97" s="5">
        <f t="shared" si="160"/>
        <v>1</v>
      </c>
      <c r="O97" s="5">
        <f t="shared" si="160"/>
        <v>1</v>
      </c>
      <c r="P97" s="5">
        <f t="shared" si="160"/>
        <v>1</v>
      </c>
      <c r="Q97" s="5">
        <f t="shared" si="160"/>
        <v>1</v>
      </c>
      <c r="R97" s="5">
        <f t="shared" si="160"/>
        <v>1</v>
      </c>
      <c r="S97" s="5">
        <f t="shared" si="160"/>
        <v>1</v>
      </c>
      <c r="T97" s="5">
        <f t="shared" si="160"/>
        <v>1</v>
      </c>
      <c r="U97" s="1"/>
      <c r="V97" s="352"/>
      <c r="Y97" s="56">
        <f t="shared" si="153"/>
        <v>181.95</v>
      </c>
      <c r="Z97" s="56">
        <f t="shared" si="129"/>
        <v>181.95</v>
      </c>
      <c r="AA97" s="56">
        <f t="shared" si="130"/>
        <v>181.95</v>
      </c>
      <c r="AB97" s="56">
        <f t="shared" si="131"/>
        <v>181.95</v>
      </c>
      <c r="AC97" s="56">
        <f t="shared" si="132"/>
        <v>181.95</v>
      </c>
      <c r="AD97" s="56">
        <f t="shared" si="133"/>
        <v>181.95</v>
      </c>
      <c r="AE97" s="56">
        <f t="shared" si="134"/>
        <v>181.95</v>
      </c>
      <c r="AF97" s="56">
        <f t="shared" si="135"/>
        <v>181.95</v>
      </c>
      <c r="AG97" s="56">
        <f t="shared" si="136"/>
        <v>181.95</v>
      </c>
      <c r="AH97" s="56">
        <f t="shared" si="137"/>
        <v>181.95</v>
      </c>
      <c r="AI97" s="56">
        <f t="shared" si="138"/>
        <v>181.95</v>
      </c>
      <c r="AJ97" s="56">
        <f t="shared" si="139"/>
        <v>181.95</v>
      </c>
      <c r="AL97" s="359">
        <f t="shared" si="140"/>
        <v>15.25</v>
      </c>
      <c r="AM97" s="359">
        <f t="shared" si="141"/>
        <v>15.25</v>
      </c>
      <c r="AN97" s="359">
        <f t="shared" si="142"/>
        <v>15.25</v>
      </c>
      <c r="AO97" s="359">
        <f t="shared" si="143"/>
        <v>15.25</v>
      </c>
      <c r="AP97" s="359">
        <f t="shared" si="144"/>
        <v>15.25</v>
      </c>
      <c r="AQ97" s="359">
        <f t="shared" si="145"/>
        <v>15.25</v>
      </c>
      <c r="AR97" s="359">
        <f t="shared" si="146"/>
        <v>15.25</v>
      </c>
      <c r="AS97" s="359">
        <f t="shared" si="147"/>
        <v>15.25</v>
      </c>
      <c r="AT97" s="359">
        <f t="shared" si="148"/>
        <v>15.25</v>
      </c>
      <c r="AU97" s="359">
        <f t="shared" si="149"/>
        <v>15.25</v>
      </c>
      <c r="AV97" s="359">
        <f t="shared" si="150"/>
        <v>15.25</v>
      </c>
      <c r="AW97" s="359">
        <f t="shared" si="151"/>
        <v>15.25</v>
      </c>
    </row>
    <row r="98" spans="2:49" ht="12.75">
      <c r="B98" s="61"/>
      <c r="C98" s="85"/>
      <c r="D98" s="85" t="s">
        <v>483</v>
      </c>
      <c r="E98" s="85"/>
      <c r="F98" s="85" t="s">
        <v>661</v>
      </c>
      <c r="G98" s="108">
        <f t="shared" si="127"/>
        <v>1</v>
      </c>
      <c r="H98" s="107"/>
      <c r="I98" s="68">
        <v>1</v>
      </c>
      <c r="J98" s="5">
        <f aca="true" t="shared" si="161" ref="J98:T98">+I98</f>
        <v>1</v>
      </c>
      <c r="K98" s="5">
        <f t="shared" si="161"/>
        <v>1</v>
      </c>
      <c r="L98" s="5">
        <f t="shared" si="161"/>
        <v>1</v>
      </c>
      <c r="M98" s="5">
        <f t="shared" si="161"/>
        <v>1</v>
      </c>
      <c r="N98" s="5">
        <f t="shared" si="161"/>
        <v>1</v>
      </c>
      <c r="O98" s="5">
        <f t="shared" si="161"/>
        <v>1</v>
      </c>
      <c r="P98" s="5">
        <f t="shared" si="161"/>
        <v>1</v>
      </c>
      <c r="Q98" s="5">
        <f t="shared" si="161"/>
        <v>1</v>
      </c>
      <c r="R98" s="5">
        <f t="shared" si="161"/>
        <v>1</v>
      </c>
      <c r="S98" s="5">
        <f t="shared" si="161"/>
        <v>1</v>
      </c>
      <c r="T98" s="5">
        <f t="shared" si="161"/>
        <v>1</v>
      </c>
      <c r="U98" s="1"/>
      <c r="V98" s="352"/>
      <c r="Y98" s="56">
        <f t="shared" si="153"/>
        <v>181.95</v>
      </c>
      <c r="Z98" s="56">
        <f t="shared" si="129"/>
        <v>181.95</v>
      </c>
      <c r="AA98" s="56">
        <f t="shared" si="130"/>
        <v>181.95</v>
      </c>
      <c r="AB98" s="56">
        <f t="shared" si="131"/>
        <v>181.95</v>
      </c>
      <c r="AC98" s="56">
        <f t="shared" si="132"/>
        <v>181.95</v>
      </c>
      <c r="AD98" s="56">
        <f t="shared" si="133"/>
        <v>181.95</v>
      </c>
      <c r="AE98" s="56">
        <f t="shared" si="134"/>
        <v>181.95</v>
      </c>
      <c r="AF98" s="56">
        <f t="shared" si="135"/>
        <v>181.95</v>
      </c>
      <c r="AG98" s="56">
        <f t="shared" si="136"/>
        <v>181.95</v>
      </c>
      <c r="AH98" s="56">
        <f t="shared" si="137"/>
        <v>181.95</v>
      </c>
      <c r="AI98" s="56">
        <f t="shared" si="138"/>
        <v>181.95</v>
      </c>
      <c r="AJ98" s="56">
        <f t="shared" si="139"/>
        <v>181.95</v>
      </c>
      <c r="AL98" s="359">
        <f t="shared" si="140"/>
        <v>15.25</v>
      </c>
      <c r="AM98" s="359">
        <f t="shared" si="141"/>
        <v>15.25</v>
      </c>
      <c r="AN98" s="359">
        <f t="shared" si="142"/>
        <v>15.25</v>
      </c>
      <c r="AO98" s="359">
        <f t="shared" si="143"/>
        <v>15.25</v>
      </c>
      <c r="AP98" s="359">
        <f t="shared" si="144"/>
        <v>15.25</v>
      </c>
      <c r="AQ98" s="359">
        <f t="shared" si="145"/>
        <v>15.25</v>
      </c>
      <c r="AR98" s="359">
        <f t="shared" si="146"/>
        <v>15.25</v>
      </c>
      <c r="AS98" s="359">
        <f t="shared" si="147"/>
        <v>15.25</v>
      </c>
      <c r="AT98" s="359">
        <f t="shared" si="148"/>
        <v>15.25</v>
      </c>
      <c r="AU98" s="359">
        <f t="shared" si="149"/>
        <v>15.25</v>
      </c>
      <c r="AV98" s="359">
        <f t="shared" si="150"/>
        <v>15.25</v>
      </c>
      <c r="AW98" s="359">
        <f t="shared" si="151"/>
        <v>15.25</v>
      </c>
    </row>
    <row r="99" spans="2:49" ht="12.75">
      <c r="B99" s="61"/>
      <c r="C99" s="85"/>
      <c r="D99" s="85" t="s">
        <v>484</v>
      </c>
      <c r="E99" s="85"/>
      <c r="F99" s="85" t="s">
        <v>661</v>
      </c>
      <c r="G99" s="108">
        <f t="shared" si="127"/>
        <v>1</v>
      </c>
      <c r="H99" s="107"/>
      <c r="I99" s="68">
        <v>1</v>
      </c>
      <c r="J99" s="5">
        <f aca="true" t="shared" si="162" ref="J99:T99">+I99</f>
        <v>1</v>
      </c>
      <c r="K99" s="5">
        <f t="shared" si="162"/>
        <v>1</v>
      </c>
      <c r="L99" s="5">
        <f t="shared" si="162"/>
        <v>1</v>
      </c>
      <c r="M99" s="5">
        <f t="shared" si="162"/>
        <v>1</v>
      </c>
      <c r="N99" s="5">
        <f t="shared" si="162"/>
        <v>1</v>
      </c>
      <c r="O99" s="5">
        <f t="shared" si="162"/>
        <v>1</v>
      </c>
      <c r="P99" s="5">
        <f t="shared" si="162"/>
        <v>1</v>
      </c>
      <c r="Q99" s="5">
        <f t="shared" si="162"/>
        <v>1</v>
      </c>
      <c r="R99" s="5">
        <f t="shared" si="162"/>
        <v>1</v>
      </c>
      <c r="S99" s="5">
        <f t="shared" si="162"/>
        <v>1</v>
      </c>
      <c r="T99" s="5">
        <f t="shared" si="162"/>
        <v>1</v>
      </c>
      <c r="U99" s="1"/>
      <c r="V99" s="352"/>
      <c r="Y99" s="56">
        <f t="shared" si="153"/>
        <v>181.95</v>
      </c>
      <c r="Z99" s="56">
        <f t="shared" si="129"/>
        <v>181.95</v>
      </c>
      <c r="AA99" s="56">
        <f t="shared" si="130"/>
        <v>181.95</v>
      </c>
      <c r="AB99" s="56">
        <f t="shared" si="131"/>
        <v>181.95</v>
      </c>
      <c r="AC99" s="56">
        <f t="shared" si="132"/>
        <v>181.95</v>
      </c>
      <c r="AD99" s="56">
        <f t="shared" si="133"/>
        <v>181.95</v>
      </c>
      <c r="AE99" s="56">
        <f t="shared" si="134"/>
        <v>181.95</v>
      </c>
      <c r="AF99" s="56">
        <f t="shared" si="135"/>
        <v>181.95</v>
      </c>
      <c r="AG99" s="56">
        <f t="shared" si="136"/>
        <v>181.95</v>
      </c>
      <c r="AH99" s="56">
        <f t="shared" si="137"/>
        <v>181.95</v>
      </c>
      <c r="AI99" s="56">
        <f t="shared" si="138"/>
        <v>181.95</v>
      </c>
      <c r="AJ99" s="56">
        <f t="shared" si="139"/>
        <v>181.95</v>
      </c>
      <c r="AL99" s="359">
        <f t="shared" si="140"/>
        <v>15.25</v>
      </c>
      <c r="AM99" s="359">
        <f t="shared" si="141"/>
        <v>15.25</v>
      </c>
      <c r="AN99" s="359">
        <f t="shared" si="142"/>
        <v>15.25</v>
      </c>
      <c r="AO99" s="359">
        <f t="shared" si="143"/>
        <v>15.25</v>
      </c>
      <c r="AP99" s="359">
        <f t="shared" si="144"/>
        <v>15.25</v>
      </c>
      <c r="AQ99" s="359">
        <f t="shared" si="145"/>
        <v>15.25</v>
      </c>
      <c r="AR99" s="359">
        <f t="shared" si="146"/>
        <v>15.25</v>
      </c>
      <c r="AS99" s="359">
        <f t="shared" si="147"/>
        <v>15.25</v>
      </c>
      <c r="AT99" s="359">
        <f t="shared" si="148"/>
        <v>15.25</v>
      </c>
      <c r="AU99" s="359">
        <f t="shared" si="149"/>
        <v>15.25</v>
      </c>
      <c r="AV99" s="359">
        <f t="shared" si="150"/>
        <v>15.25</v>
      </c>
      <c r="AW99" s="359">
        <f t="shared" si="151"/>
        <v>15.25</v>
      </c>
    </row>
    <row r="100" spans="2:49" ht="12.75">
      <c r="B100" s="61"/>
      <c r="C100" s="85"/>
      <c r="D100" s="85" t="s">
        <v>482</v>
      </c>
      <c r="E100" s="85"/>
      <c r="F100" s="85" t="s">
        <v>661</v>
      </c>
      <c r="G100" s="108">
        <f t="shared" si="127"/>
        <v>1</v>
      </c>
      <c r="H100" s="107"/>
      <c r="I100" s="68">
        <v>1</v>
      </c>
      <c r="J100" s="5">
        <f aca="true" t="shared" si="163" ref="J100:T100">+I100</f>
        <v>1</v>
      </c>
      <c r="K100" s="5">
        <f t="shared" si="163"/>
        <v>1</v>
      </c>
      <c r="L100" s="5">
        <f t="shared" si="163"/>
        <v>1</v>
      </c>
      <c r="M100" s="5">
        <f t="shared" si="163"/>
        <v>1</v>
      </c>
      <c r="N100" s="5">
        <f t="shared" si="163"/>
        <v>1</v>
      </c>
      <c r="O100" s="5">
        <f t="shared" si="163"/>
        <v>1</v>
      </c>
      <c r="P100" s="5">
        <f t="shared" si="163"/>
        <v>1</v>
      </c>
      <c r="Q100" s="5">
        <f t="shared" si="163"/>
        <v>1</v>
      </c>
      <c r="R100" s="5">
        <f t="shared" si="163"/>
        <v>1</v>
      </c>
      <c r="S100" s="5">
        <f t="shared" si="163"/>
        <v>1</v>
      </c>
      <c r="T100" s="5">
        <f t="shared" si="163"/>
        <v>1</v>
      </c>
      <c r="U100" s="1"/>
      <c r="V100" s="352"/>
      <c r="Y100" s="56">
        <f t="shared" si="153"/>
        <v>181.95</v>
      </c>
      <c r="Z100" s="56">
        <f t="shared" si="129"/>
        <v>181.95</v>
      </c>
      <c r="AA100" s="56">
        <f t="shared" si="130"/>
        <v>181.95</v>
      </c>
      <c r="AB100" s="56">
        <f t="shared" si="131"/>
        <v>181.95</v>
      </c>
      <c r="AC100" s="56">
        <f t="shared" si="132"/>
        <v>181.95</v>
      </c>
      <c r="AD100" s="56">
        <f t="shared" si="133"/>
        <v>181.95</v>
      </c>
      <c r="AE100" s="56">
        <f t="shared" si="134"/>
        <v>181.95</v>
      </c>
      <c r="AF100" s="56">
        <f t="shared" si="135"/>
        <v>181.95</v>
      </c>
      <c r="AG100" s="56">
        <f t="shared" si="136"/>
        <v>181.95</v>
      </c>
      <c r="AH100" s="56">
        <f t="shared" si="137"/>
        <v>181.95</v>
      </c>
      <c r="AI100" s="56">
        <f t="shared" si="138"/>
        <v>181.95</v>
      </c>
      <c r="AJ100" s="56">
        <f t="shared" si="139"/>
        <v>181.95</v>
      </c>
      <c r="AL100" s="359">
        <f t="shared" si="140"/>
        <v>15.25</v>
      </c>
      <c r="AM100" s="359">
        <f t="shared" si="141"/>
        <v>15.25</v>
      </c>
      <c r="AN100" s="359">
        <f t="shared" si="142"/>
        <v>15.25</v>
      </c>
      <c r="AO100" s="359">
        <f t="shared" si="143"/>
        <v>15.25</v>
      </c>
      <c r="AP100" s="359">
        <f t="shared" si="144"/>
        <v>15.25</v>
      </c>
      <c r="AQ100" s="359">
        <f t="shared" si="145"/>
        <v>15.25</v>
      </c>
      <c r="AR100" s="359">
        <f t="shared" si="146"/>
        <v>15.25</v>
      </c>
      <c r="AS100" s="359">
        <f t="shared" si="147"/>
        <v>15.25</v>
      </c>
      <c r="AT100" s="359">
        <f t="shared" si="148"/>
        <v>15.25</v>
      </c>
      <c r="AU100" s="359">
        <f t="shared" si="149"/>
        <v>15.25</v>
      </c>
      <c r="AV100" s="359">
        <f t="shared" si="150"/>
        <v>15.25</v>
      </c>
      <c r="AW100" s="359">
        <f t="shared" si="151"/>
        <v>15.25</v>
      </c>
    </row>
    <row r="101" spans="2:49" ht="12.75">
      <c r="B101" s="61"/>
      <c r="C101" s="85"/>
      <c r="D101" s="85" t="s">
        <v>485</v>
      </c>
      <c r="E101" s="85"/>
      <c r="F101" s="85" t="s">
        <v>661</v>
      </c>
      <c r="G101" s="108">
        <f t="shared" si="127"/>
        <v>1</v>
      </c>
      <c r="H101" s="107"/>
      <c r="I101" s="68">
        <v>1</v>
      </c>
      <c r="J101" s="5">
        <f aca="true" t="shared" si="164" ref="J101:T101">+I101</f>
        <v>1</v>
      </c>
      <c r="K101" s="5">
        <f t="shared" si="164"/>
        <v>1</v>
      </c>
      <c r="L101" s="5">
        <f t="shared" si="164"/>
        <v>1</v>
      </c>
      <c r="M101" s="5">
        <f t="shared" si="164"/>
        <v>1</v>
      </c>
      <c r="N101" s="5">
        <f t="shared" si="164"/>
        <v>1</v>
      </c>
      <c r="O101" s="5">
        <f t="shared" si="164"/>
        <v>1</v>
      </c>
      <c r="P101" s="5">
        <f t="shared" si="164"/>
        <v>1</v>
      </c>
      <c r="Q101" s="5">
        <f t="shared" si="164"/>
        <v>1</v>
      </c>
      <c r="R101" s="5">
        <f t="shared" si="164"/>
        <v>1</v>
      </c>
      <c r="S101" s="5">
        <f t="shared" si="164"/>
        <v>1</v>
      </c>
      <c r="T101" s="5">
        <f t="shared" si="164"/>
        <v>1</v>
      </c>
      <c r="U101" s="1"/>
      <c r="V101" s="352"/>
      <c r="Y101" s="56">
        <f t="shared" si="153"/>
        <v>181.95</v>
      </c>
      <c r="Z101" s="56">
        <f t="shared" si="129"/>
        <v>181.95</v>
      </c>
      <c r="AA101" s="56">
        <f t="shared" si="130"/>
        <v>181.95</v>
      </c>
      <c r="AB101" s="56">
        <f t="shared" si="131"/>
        <v>181.95</v>
      </c>
      <c r="AC101" s="56">
        <f t="shared" si="132"/>
        <v>181.95</v>
      </c>
      <c r="AD101" s="56">
        <f t="shared" si="133"/>
        <v>181.95</v>
      </c>
      <c r="AE101" s="56">
        <f t="shared" si="134"/>
        <v>181.95</v>
      </c>
      <c r="AF101" s="56">
        <f t="shared" si="135"/>
        <v>181.95</v>
      </c>
      <c r="AG101" s="56">
        <f t="shared" si="136"/>
        <v>181.95</v>
      </c>
      <c r="AH101" s="56">
        <f t="shared" si="137"/>
        <v>181.95</v>
      </c>
      <c r="AI101" s="56">
        <f t="shared" si="138"/>
        <v>181.95</v>
      </c>
      <c r="AJ101" s="56">
        <f t="shared" si="139"/>
        <v>181.95</v>
      </c>
      <c r="AL101" s="359">
        <f t="shared" si="140"/>
        <v>15.25</v>
      </c>
      <c r="AM101" s="359">
        <f t="shared" si="141"/>
        <v>15.25</v>
      </c>
      <c r="AN101" s="359">
        <f t="shared" si="142"/>
        <v>15.25</v>
      </c>
      <c r="AO101" s="359">
        <f t="shared" si="143"/>
        <v>15.25</v>
      </c>
      <c r="AP101" s="359">
        <f t="shared" si="144"/>
        <v>15.25</v>
      </c>
      <c r="AQ101" s="359">
        <f t="shared" si="145"/>
        <v>15.25</v>
      </c>
      <c r="AR101" s="359">
        <f t="shared" si="146"/>
        <v>15.25</v>
      </c>
      <c r="AS101" s="359">
        <f t="shared" si="147"/>
        <v>15.25</v>
      </c>
      <c r="AT101" s="359">
        <f t="shared" si="148"/>
        <v>15.25</v>
      </c>
      <c r="AU101" s="359">
        <f t="shared" si="149"/>
        <v>15.25</v>
      </c>
      <c r="AV101" s="359">
        <f t="shared" si="150"/>
        <v>15.25</v>
      </c>
      <c r="AW101" s="359">
        <f t="shared" si="151"/>
        <v>15.25</v>
      </c>
    </row>
    <row r="102" spans="2:49" ht="12.75">
      <c r="B102" s="61"/>
      <c r="C102" s="85"/>
      <c r="D102" s="3" t="s">
        <v>649</v>
      </c>
      <c r="E102" s="85"/>
      <c r="F102" s="85"/>
      <c r="G102" s="357">
        <f>SUM(I102:T102)</f>
        <v>30769.079999999998</v>
      </c>
      <c r="H102" s="160"/>
      <c r="I102" s="43">
        <f aca="true" t="shared" si="165" ref="I102:T102">+Y102</f>
        <v>2564.0899999999997</v>
      </c>
      <c r="J102" s="43">
        <f t="shared" si="165"/>
        <v>2564.0899999999997</v>
      </c>
      <c r="K102" s="43">
        <f t="shared" si="165"/>
        <v>2564.0899999999997</v>
      </c>
      <c r="L102" s="43">
        <f t="shared" si="165"/>
        <v>2564.0899999999997</v>
      </c>
      <c r="M102" s="43">
        <f t="shared" si="165"/>
        <v>2564.0899999999997</v>
      </c>
      <c r="N102" s="43">
        <f t="shared" si="165"/>
        <v>2564.0899999999997</v>
      </c>
      <c r="O102" s="43">
        <f t="shared" si="165"/>
        <v>2564.0899999999997</v>
      </c>
      <c r="P102" s="43">
        <f t="shared" si="165"/>
        <v>2564.0899999999997</v>
      </c>
      <c r="Q102" s="43">
        <f t="shared" si="165"/>
        <v>2564.0899999999997</v>
      </c>
      <c r="R102" s="43">
        <f t="shared" si="165"/>
        <v>2564.0899999999997</v>
      </c>
      <c r="S102" s="43">
        <f t="shared" si="165"/>
        <v>2564.0899999999997</v>
      </c>
      <c r="T102" s="43">
        <f t="shared" si="165"/>
        <v>2564.0899999999997</v>
      </c>
      <c r="U102" s="85"/>
      <c r="V102" s="352"/>
      <c r="Y102" s="56">
        <f aca="true" t="shared" si="166" ref="Y102:AJ102">SUM(Y89:Y101)</f>
        <v>2564.0899999999997</v>
      </c>
      <c r="Z102" s="56">
        <f t="shared" si="166"/>
        <v>2564.0899999999997</v>
      </c>
      <c r="AA102" s="56">
        <f t="shared" si="166"/>
        <v>2564.0899999999997</v>
      </c>
      <c r="AB102" s="56">
        <f t="shared" si="166"/>
        <v>2564.0899999999997</v>
      </c>
      <c r="AC102" s="56">
        <f t="shared" si="166"/>
        <v>2564.0899999999997</v>
      </c>
      <c r="AD102" s="56">
        <f t="shared" si="166"/>
        <v>2564.0899999999997</v>
      </c>
      <c r="AE102" s="56">
        <f t="shared" si="166"/>
        <v>2564.0899999999997</v>
      </c>
      <c r="AF102" s="56">
        <f t="shared" si="166"/>
        <v>2564.0899999999997</v>
      </c>
      <c r="AG102" s="56">
        <f t="shared" si="166"/>
        <v>2564.0899999999997</v>
      </c>
      <c r="AH102" s="56">
        <f t="shared" si="166"/>
        <v>2564.0899999999997</v>
      </c>
      <c r="AI102" s="56">
        <f t="shared" si="166"/>
        <v>2564.0899999999997</v>
      </c>
      <c r="AJ102" s="56">
        <f t="shared" si="166"/>
        <v>2564.0899999999997</v>
      </c>
      <c r="AL102" s="359"/>
      <c r="AM102" s="359"/>
      <c r="AN102" s="359"/>
      <c r="AO102" s="359"/>
      <c r="AP102" s="359"/>
      <c r="AQ102" s="359"/>
      <c r="AR102" s="359"/>
      <c r="AS102" s="359"/>
      <c r="AT102" s="359"/>
      <c r="AU102" s="359"/>
      <c r="AV102" s="359"/>
      <c r="AW102" s="359"/>
    </row>
    <row r="103" spans="2:49" ht="12.75">
      <c r="B103" s="61"/>
      <c r="C103" s="85"/>
      <c r="D103" s="3" t="s">
        <v>650</v>
      </c>
      <c r="E103" s="85"/>
      <c r="F103" s="85"/>
      <c r="G103" s="357">
        <f>SUM(I103:T103)</f>
        <v>2575.92</v>
      </c>
      <c r="H103" s="160"/>
      <c r="I103" s="43">
        <f>AL103</f>
        <v>214.66</v>
      </c>
      <c r="J103" s="43">
        <f aca="true" t="shared" si="167" ref="J103:T103">AM103</f>
        <v>214.66</v>
      </c>
      <c r="K103" s="43">
        <f t="shared" si="167"/>
        <v>214.66</v>
      </c>
      <c r="L103" s="43">
        <f t="shared" si="167"/>
        <v>214.66</v>
      </c>
      <c r="M103" s="43">
        <f t="shared" si="167"/>
        <v>214.66</v>
      </c>
      <c r="N103" s="43">
        <f t="shared" si="167"/>
        <v>214.66</v>
      </c>
      <c r="O103" s="43">
        <f t="shared" si="167"/>
        <v>214.66</v>
      </c>
      <c r="P103" s="43">
        <f t="shared" si="167"/>
        <v>214.66</v>
      </c>
      <c r="Q103" s="43">
        <f t="shared" si="167"/>
        <v>214.66</v>
      </c>
      <c r="R103" s="43">
        <f t="shared" si="167"/>
        <v>214.66</v>
      </c>
      <c r="S103" s="43">
        <f t="shared" si="167"/>
        <v>214.66</v>
      </c>
      <c r="T103" s="43">
        <f t="shared" si="167"/>
        <v>214.66</v>
      </c>
      <c r="U103" s="85"/>
      <c r="V103" s="352"/>
      <c r="AL103" s="359">
        <f>SUM(AL89:AL101)</f>
        <v>214.66</v>
      </c>
      <c r="AM103" s="359">
        <f aca="true" t="shared" si="168" ref="AM103:AW103">SUM(AM89:AM101)</f>
        <v>214.66</v>
      </c>
      <c r="AN103" s="359">
        <f t="shared" si="168"/>
        <v>214.66</v>
      </c>
      <c r="AO103" s="359">
        <f t="shared" si="168"/>
        <v>214.66</v>
      </c>
      <c r="AP103" s="359">
        <f t="shared" si="168"/>
        <v>214.66</v>
      </c>
      <c r="AQ103" s="359">
        <f t="shared" si="168"/>
        <v>214.66</v>
      </c>
      <c r="AR103" s="359">
        <f t="shared" si="168"/>
        <v>214.66</v>
      </c>
      <c r="AS103" s="359">
        <f t="shared" si="168"/>
        <v>214.66</v>
      </c>
      <c r="AT103" s="359">
        <f t="shared" si="168"/>
        <v>214.66</v>
      </c>
      <c r="AU103" s="359">
        <f t="shared" si="168"/>
        <v>214.66</v>
      </c>
      <c r="AV103" s="359">
        <f t="shared" si="168"/>
        <v>214.66</v>
      </c>
      <c r="AW103" s="359">
        <f t="shared" si="168"/>
        <v>214.66</v>
      </c>
    </row>
    <row r="104" spans="2:22" ht="12.75">
      <c r="B104" s="61"/>
      <c r="C104" s="85"/>
      <c r="D104" s="3"/>
      <c r="E104" s="85"/>
      <c r="F104" s="3" t="s">
        <v>577</v>
      </c>
      <c r="G104" s="363"/>
      <c r="H104" s="160"/>
      <c r="I104" s="83"/>
      <c r="J104" s="83"/>
      <c r="K104" s="23">
        <f>SUM(K89:K101)</f>
        <v>13</v>
      </c>
      <c r="L104" s="83"/>
      <c r="M104" s="83"/>
      <c r="N104" s="83"/>
      <c r="O104" s="83"/>
      <c r="P104" s="83"/>
      <c r="Q104" s="83"/>
      <c r="R104" s="83"/>
      <c r="S104" s="83"/>
      <c r="T104" s="83"/>
      <c r="U104" s="85"/>
      <c r="V104" s="352"/>
    </row>
    <row r="105" spans="2:22" ht="12.75">
      <c r="B105" s="61"/>
      <c r="C105" s="85"/>
      <c r="D105" s="85"/>
      <c r="E105" s="85"/>
      <c r="F105" s="85"/>
      <c r="G105" s="83"/>
      <c r="H105" s="85"/>
      <c r="I105" s="83"/>
      <c r="J105" s="83"/>
      <c r="K105" s="83"/>
      <c r="L105" s="83"/>
      <c r="M105" s="83"/>
      <c r="N105" s="83"/>
      <c r="O105" s="83"/>
      <c r="P105" s="83"/>
      <c r="Q105" s="83"/>
      <c r="R105" s="83"/>
      <c r="S105" s="83"/>
      <c r="T105" s="83"/>
      <c r="U105" s="85"/>
      <c r="V105" s="352"/>
    </row>
    <row r="106" spans="2:22" ht="12.75">
      <c r="B106" s="61"/>
      <c r="C106" s="85"/>
      <c r="D106" s="3" t="s">
        <v>659</v>
      </c>
      <c r="E106" s="1"/>
      <c r="F106" s="1"/>
      <c r="G106" s="357">
        <f>+G80+G102</f>
        <v>76923.11999999998</v>
      </c>
      <c r="H106" s="160"/>
      <c r="I106" s="83"/>
      <c r="J106" s="83"/>
      <c r="K106" s="83"/>
      <c r="L106" s="83"/>
      <c r="M106" s="83"/>
      <c r="N106" s="83"/>
      <c r="O106" s="83"/>
      <c r="P106" s="83"/>
      <c r="Q106" s="83"/>
      <c r="R106" s="83"/>
      <c r="S106" s="83"/>
      <c r="T106" s="83"/>
      <c r="U106" s="85"/>
      <c r="V106" s="352"/>
    </row>
    <row r="107" spans="2:22" ht="12.75">
      <c r="B107" s="61"/>
      <c r="C107" s="85"/>
      <c r="D107" s="3" t="s">
        <v>660</v>
      </c>
      <c r="E107" s="1"/>
      <c r="F107" s="1"/>
      <c r="G107" s="357">
        <f>+G81+G103</f>
        <v>6434.519999999999</v>
      </c>
      <c r="H107" s="160"/>
      <c r="I107" s="83"/>
      <c r="J107" s="83"/>
      <c r="K107" s="83"/>
      <c r="L107" s="83"/>
      <c r="M107" s="83"/>
      <c r="N107" s="83"/>
      <c r="O107" s="83"/>
      <c r="P107" s="83"/>
      <c r="Q107" s="83"/>
      <c r="R107" s="83"/>
      <c r="S107" s="83"/>
      <c r="T107" s="83"/>
      <c r="U107" s="85"/>
      <c r="V107" s="352"/>
    </row>
    <row r="108" spans="2:22" ht="12.75">
      <c r="B108" s="61"/>
      <c r="C108" s="85"/>
      <c r="D108" s="85"/>
      <c r="E108" s="85"/>
      <c r="F108" s="3" t="s">
        <v>577</v>
      </c>
      <c r="G108" s="357">
        <f>SUM(G106:G107)</f>
        <v>83357.63999999998</v>
      </c>
      <c r="H108" s="160"/>
      <c r="I108" s="83"/>
      <c r="J108" s="83"/>
      <c r="K108" s="83"/>
      <c r="L108" s="83"/>
      <c r="M108" s="83"/>
      <c r="N108" s="83"/>
      <c r="O108" s="83"/>
      <c r="P108" s="83"/>
      <c r="Q108" s="83"/>
      <c r="R108" s="83"/>
      <c r="S108" s="83"/>
      <c r="T108" s="83"/>
      <c r="U108" s="85"/>
      <c r="V108" s="352"/>
    </row>
    <row r="109" spans="2:22" ht="12.75">
      <c r="B109" s="61"/>
      <c r="C109" s="85"/>
      <c r="D109" s="85"/>
      <c r="E109" s="85"/>
      <c r="F109" s="85"/>
      <c r="G109" s="83"/>
      <c r="H109" s="85"/>
      <c r="I109" s="83"/>
      <c r="J109" s="83"/>
      <c r="K109" s="83"/>
      <c r="L109" s="83"/>
      <c r="M109" s="83"/>
      <c r="N109" s="83"/>
      <c r="O109" s="83"/>
      <c r="P109" s="83"/>
      <c r="Q109" s="83"/>
      <c r="R109" s="83"/>
      <c r="S109" s="83"/>
      <c r="T109" s="83"/>
      <c r="U109" s="85"/>
      <c r="V109" s="352"/>
    </row>
    <row r="110" spans="2:22" ht="12.75">
      <c r="B110" s="61"/>
      <c r="C110" s="62"/>
      <c r="D110" s="62"/>
      <c r="E110" s="62"/>
      <c r="F110" s="62"/>
      <c r="G110" s="55"/>
      <c r="H110" s="62"/>
      <c r="U110" s="62"/>
      <c r="V110" s="352"/>
    </row>
    <row r="111" spans="2:22" ht="13.5" thickBot="1">
      <c r="B111" s="70"/>
      <c r="C111" s="71"/>
      <c r="D111" s="71"/>
      <c r="E111" s="71"/>
      <c r="F111" s="71"/>
      <c r="G111" s="75"/>
      <c r="H111" s="71"/>
      <c r="I111" s="75"/>
      <c r="J111" s="75"/>
      <c r="K111" s="75"/>
      <c r="L111" s="75"/>
      <c r="M111" s="75"/>
      <c r="N111" s="75"/>
      <c r="O111" s="75"/>
      <c r="P111" s="75"/>
      <c r="Q111" s="75"/>
      <c r="R111" s="75"/>
      <c r="S111" s="75"/>
      <c r="T111" s="75"/>
      <c r="U111" s="71"/>
      <c r="V111" s="360"/>
    </row>
    <row r="112" spans="2:22" ht="12.75">
      <c r="B112" s="76"/>
      <c r="C112" s="77"/>
      <c r="D112" s="77"/>
      <c r="E112" s="77"/>
      <c r="F112" s="77"/>
      <c r="G112" s="58"/>
      <c r="H112" s="77"/>
      <c r="I112" s="58"/>
      <c r="J112" s="58"/>
      <c r="K112" s="58"/>
      <c r="L112" s="58"/>
      <c r="M112" s="58"/>
      <c r="N112" s="58"/>
      <c r="O112" s="58"/>
      <c r="P112" s="58"/>
      <c r="Q112" s="58"/>
      <c r="R112" s="58"/>
      <c r="S112" s="58"/>
      <c r="T112" s="58"/>
      <c r="U112" s="77"/>
      <c r="V112" s="351"/>
    </row>
    <row r="113" spans="2:22" ht="12.75">
      <c r="B113" s="61"/>
      <c r="C113" s="62"/>
      <c r="D113" s="62"/>
      <c r="E113" s="62"/>
      <c r="F113" s="62"/>
      <c r="G113" s="55"/>
      <c r="H113" s="62"/>
      <c r="U113" s="62"/>
      <c r="V113" s="352"/>
    </row>
    <row r="114" spans="2:22" ht="18">
      <c r="B114" s="61"/>
      <c r="C114" s="17" t="s">
        <v>702</v>
      </c>
      <c r="D114" s="62"/>
      <c r="E114" s="62"/>
      <c r="F114" s="62"/>
      <c r="G114" s="55"/>
      <c r="H114" s="62"/>
      <c r="K114" s="103"/>
      <c r="U114" s="62"/>
      <c r="V114" s="352"/>
    </row>
    <row r="115" spans="2:22" ht="12" customHeight="1">
      <c r="B115" s="61"/>
      <c r="C115" s="353"/>
      <c r="D115" s="62"/>
      <c r="E115" s="62"/>
      <c r="F115" s="62"/>
      <c r="G115" s="55"/>
      <c r="H115" s="62"/>
      <c r="K115" s="103"/>
      <c r="U115" s="62"/>
      <c r="V115" s="352"/>
    </row>
    <row r="116" spans="2:22" ht="12" customHeight="1">
      <c r="B116" s="61"/>
      <c r="C116" s="353"/>
      <c r="D116" s="62"/>
      <c r="E116" s="62"/>
      <c r="F116" s="62"/>
      <c r="G116" s="55"/>
      <c r="H116" s="62"/>
      <c r="K116" s="103"/>
      <c r="U116" s="62"/>
      <c r="V116" s="352"/>
    </row>
    <row r="117" spans="2:38" ht="12.75">
      <c r="B117" s="61"/>
      <c r="C117" s="62"/>
      <c r="D117" s="62"/>
      <c r="E117" s="62"/>
      <c r="F117" s="62"/>
      <c r="G117" s="55"/>
      <c r="H117" s="62"/>
      <c r="P117" s="47"/>
      <c r="Q117" s="47"/>
      <c r="U117" s="62"/>
      <c r="V117" s="352"/>
      <c r="Y117" s="338" t="s">
        <v>652</v>
      </c>
      <c r="AL117" s="338" t="s">
        <v>651</v>
      </c>
    </row>
    <row r="118" spans="2:38" ht="12.75">
      <c r="B118" s="61"/>
      <c r="C118" s="85"/>
      <c r="D118" s="85"/>
      <c r="E118" s="85"/>
      <c r="F118" s="85"/>
      <c r="G118" s="83"/>
      <c r="H118" s="85"/>
      <c r="I118" s="83"/>
      <c r="J118" s="83"/>
      <c r="K118" s="83"/>
      <c r="L118" s="83"/>
      <c r="M118" s="83"/>
      <c r="N118" s="83"/>
      <c r="O118" s="83"/>
      <c r="P118" s="83"/>
      <c r="Q118" s="83"/>
      <c r="R118" s="83"/>
      <c r="S118" s="83"/>
      <c r="T118" s="83"/>
      <c r="U118" s="85"/>
      <c r="V118" s="352"/>
      <c r="Y118" s="338"/>
      <c r="AL118" s="338"/>
    </row>
    <row r="119" spans="2:49" ht="12.75">
      <c r="B119" s="61"/>
      <c r="C119" s="85"/>
      <c r="D119" s="2" t="s">
        <v>518</v>
      </c>
      <c r="E119" s="84"/>
      <c r="F119" s="3" t="s">
        <v>646</v>
      </c>
      <c r="G119" s="333" t="str">
        <f>tabel!D2</f>
        <v>2010/11</v>
      </c>
      <c r="H119" s="3"/>
      <c r="I119" s="162" t="s">
        <v>590</v>
      </c>
      <c r="J119" s="162" t="s">
        <v>591</v>
      </c>
      <c r="K119" s="162" t="s">
        <v>592</v>
      </c>
      <c r="L119" s="162" t="s">
        <v>593</v>
      </c>
      <c r="M119" s="162" t="s">
        <v>594</v>
      </c>
      <c r="N119" s="162" t="s">
        <v>588</v>
      </c>
      <c r="O119" s="162" t="s">
        <v>589</v>
      </c>
      <c r="P119" s="162" t="s">
        <v>595</v>
      </c>
      <c r="Q119" s="162" t="s">
        <v>596</v>
      </c>
      <c r="R119" s="162" t="s">
        <v>597</v>
      </c>
      <c r="S119" s="162" t="s">
        <v>598</v>
      </c>
      <c r="T119" s="162" t="s">
        <v>599</v>
      </c>
      <c r="U119" s="1"/>
      <c r="V119" s="352"/>
      <c r="Y119" s="56" t="s">
        <v>590</v>
      </c>
      <c r="Z119" s="56" t="s">
        <v>591</v>
      </c>
      <c r="AA119" s="56" t="s">
        <v>592</v>
      </c>
      <c r="AB119" s="56" t="s">
        <v>593</v>
      </c>
      <c r="AC119" s="105" t="s">
        <v>594</v>
      </c>
      <c r="AD119" s="105" t="s">
        <v>588</v>
      </c>
      <c r="AE119" s="105" t="s">
        <v>589</v>
      </c>
      <c r="AF119" s="105" t="s">
        <v>595</v>
      </c>
      <c r="AG119" s="105" t="s">
        <v>596</v>
      </c>
      <c r="AH119" s="105" t="s">
        <v>597</v>
      </c>
      <c r="AI119" s="105" t="s">
        <v>598</v>
      </c>
      <c r="AJ119" s="105" t="s">
        <v>599</v>
      </c>
      <c r="AL119" s="56" t="s">
        <v>590</v>
      </c>
      <c r="AM119" s="56" t="s">
        <v>591</v>
      </c>
      <c r="AN119" s="56" t="s">
        <v>592</v>
      </c>
      <c r="AO119" s="56" t="s">
        <v>593</v>
      </c>
      <c r="AP119" s="105" t="s">
        <v>594</v>
      </c>
      <c r="AQ119" s="105" t="s">
        <v>588</v>
      </c>
      <c r="AR119" s="105" t="s">
        <v>589</v>
      </c>
      <c r="AS119" s="105" t="s">
        <v>595</v>
      </c>
      <c r="AT119" s="105" t="s">
        <v>596</v>
      </c>
      <c r="AU119" s="105" t="s">
        <v>597</v>
      </c>
      <c r="AV119" s="105" t="s">
        <v>598</v>
      </c>
      <c r="AW119" s="105" t="s">
        <v>599</v>
      </c>
    </row>
    <row r="120" spans="2:49" ht="12.75">
      <c r="B120" s="61"/>
      <c r="C120" s="85"/>
      <c r="D120" s="85"/>
      <c r="E120" s="84"/>
      <c r="F120" s="3"/>
      <c r="G120" s="4"/>
      <c r="H120" s="3"/>
      <c r="I120" s="83"/>
      <c r="J120" s="83"/>
      <c r="K120" s="83"/>
      <c r="L120" s="83"/>
      <c r="M120" s="106"/>
      <c r="N120" s="106"/>
      <c r="O120" s="106"/>
      <c r="P120" s="106"/>
      <c r="Q120" s="106"/>
      <c r="R120" s="106"/>
      <c r="S120" s="106"/>
      <c r="T120" s="106"/>
      <c r="U120" s="1"/>
      <c r="V120" s="352"/>
      <c r="AC120" s="105"/>
      <c r="AD120" s="105"/>
      <c r="AE120" s="105"/>
      <c r="AF120" s="105"/>
      <c r="AG120" s="105"/>
      <c r="AH120" s="105"/>
      <c r="AI120" s="105"/>
      <c r="AJ120" s="105"/>
      <c r="AP120" s="105"/>
      <c r="AQ120" s="105"/>
      <c r="AR120" s="105"/>
      <c r="AS120" s="105"/>
      <c r="AT120" s="105"/>
      <c r="AU120" s="105"/>
      <c r="AV120" s="105"/>
      <c r="AW120" s="105"/>
    </row>
    <row r="121" spans="2:49" ht="12.75">
      <c r="B121" s="61"/>
      <c r="C121" s="85"/>
      <c r="D121" s="85" t="s">
        <v>473</v>
      </c>
      <c r="E121" s="85"/>
      <c r="F121" s="85" t="s">
        <v>661</v>
      </c>
      <c r="G121" s="108">
        <f>ROUND(SUM(I121:T121)/12,2)</f>
        <v>1</v>
      </c>
      <c r="H121" s="107"/>
      <c r="I121" s="68">
        <v>1</v>
      </c>
      <c r="J121" s="5">
        <f>+I121</f>
        <v>1</v>
      </c>
      <c r="K121" s="5">
        <f aca="true" t="shared" si="169" ref="K121:T121">+J121</f>
        <v>1</v>
      </c>
      <c r="L121" s="5">
        <f t="shared" si="169"/>
        <v>1</v>
      </c>
      <c r="M121" s="5">
        <f t="shared" si="169"/>
        <v>1</v>
      </c>
      <c r="N121" s="5">
        <f t="shared" si="169"/>
        <v>1</v>
      </c>
      <c r="O121" s="5">
        <f t="shared" si="169"/>
        <v>1</v>
      </c>
      <c r="P121" s="5">
        <f t="shared" si="169"/>
        <v>1</v>
      </c>
      <c r="Q121" s="5">
        <f t="shared" si="169"/>
        <v>1</v>
      </c>
      <c r="R121" s="5">
        <f t="shared" si="169"/>
        <v>1</v>
      </c>
      <c r="S121" s="5">
        <f t="shared" si="169"/>
        <v>1</v>
      </c>
      <c r="T121" s="5">
        <f t="shared" si="169"/>
        <v>1</v>
      </c>
      <c r="U121" s="1"/>
      <c r="V121" s="352"/>
      <c r="Y121" s="356">
        <f aca="true" t="shared" si="170" ref="Y121:Y133">ROUND(+I121*1/12*VLOOKUP($D121,LGFPOVO,2,FALSE),2)</f>
        <v>910.28</v>
      </c>
      <c r="Z121" s="356">
        <f aca="true" t="shared" si="171" ref="Z121:Z133">ROUND(+J121*1/12*VLOOKUP($D121,LGFPOVO,2,FALSE),2)</f>
        <v>910.28</v>
      </c>
      <c r="AA121" s="356">
        <f aca="true" t="shared" si="172" ref="AA121:AA133">ROUND(+K121*1/12*VLOOKUP($D121,LGFPOVO,2,FALSE),2)</f>
        <v>910.28</v>
      </c>
      <c r="AB121" s="356">
        <f aca="true" t="shared" si="173" ref="AB121:AB133">ROUND(+L121*1/12*VLOOKUP($D121,LGFPOVO,2,FALSE),2)</f>
        <v>910.28</v>
      </c>
      <c r="AC121" s="356">
        <f aca="true" t="shared" si="174" ref="AC121:AC133">ROUND(+M121*1/12*VLOOKUP($D121,LGFPOVO,2,FALSE),2)</f>
        <v>910.28</v>
      </c>
      <c r="AD121" s="356">
        <f aca="true" t="shared" si="175" ref="AD121:AD133">ROUND(+N121*1/12*VLOOKUP($D121,LGFPOVO,2,FALSE),2)</f>
        <v>910.28</v>
      </c>
      <c r="AE121" s="356">
        <f aca="true" t="shared" si="176" ref="AE121:AE133">ROUND(+O121*1/12*VLOOKUP($D121,LGFPOVO,2,FALSE),2)</f>
        <v>910.28</v>
      </c>
      <c r="AF121" s="356">
        <f aca="true" t="shared" si="177" ref="AF121:AF133">ROUND(+P121*1/12*VLOOKUP($D121,LGFPOVO,2,FALSE),2)</f>
        <v>910.28</v>
      </c>
      <c r="AG121" s="356">
        <f aca="true" t="shared" si="178" ref="AG121:AG133">ROUND(+Q121*1/12*VLOOKUP($D121,LGFPOVO,2,FALSE),2)</f>
        <v>910.28</v>
      </c>
      <c r="AH121" s="356">
        <f aca="true" t="shared" si="179" ref="AH121:AH133">ROUND(+R121*1/12*VLOOKUP($D121,LGFPOVO,2,FALSE),2)</f>
        <v>910.28</v>
      </c>
      <c r="AI121" s="356">
        <f aca="true" t="shared" si="180" ref="AI121:AI133">ROUND(+S121*1/12*VLOOKUP($D121,LGFPOVO,2,FALSE),2)</f>
        <v>910.28</v>
      </c>
      <c r="AJ121" s="356">
        <f aca="true" t="shared" si="181" ref="AJ121:AJ133">ROUND(+T121*1/12*VLOOKUP($D121,LGFPOVO,2,FALSE),2)</f>
        <v>910.28</v>
      </c>
      <c r="AL121" s="356">
        <f aca="true" t="shared" si="182" ref="AL121:AL133">ROUND(+I121*1/12*VLOOKUP($D121,LGFPOVO,4,FALSE),2)</f>
        <v>115.92</v>
      </c>
      <c r="AM121" s="356">
        <f aca="true" t="shared" si="183" ref="AM121:AM133">ROUND(+J121*1/12*VLOOKUP($D121,LGFPOVO,4,FALSE),2)</f>
        <v>115.92</v>
      </c>
      <c r="AN121" s="356">
        <f aca="true" t="shared" si="184" ref="AN121:AN133">ROUND(+K121*1/12*VLOOKUP($D121,LGFPOVO,4,FALSE),2)</f>
        <v>115.92</v>
      </c>
      <c r="AO121" s="356">
        <f aca="true" t="shared" si="185" ref="AO121:AO133">ROUND(+L121*1/12*VLOOKUP($D121,LGFPOVO,4,FALSE),2)</f>
        <v>115.92</v>
      </c>
      <c r="AP121" s="356">
        <f aca="true" t="shared" si="186" ref="AP121:AP133">ROUND(+M121*1/12*VLOOKUP($D121,LGFPOVO,4,FALSE),2)</f>
        <v>115.92</v>
      </c>
      <c r="AQ121" s="356">
        <f aca="true" t="shared" si="187" ref="AQ121:AQ133">ROUND(+N121*1/12*VLOOKUP($D121,LGFPOVO,4,FALSE),2)</f>
        <v>115.92</v>
      </c>
      <c r="AR121" s="356">
        <f aca="true" t="shared" si="188" ref="AR121:AR133">ROUND(+O121*1/12*VLOOKUP($D121,LGFPOVO,4,FALSE),2)</f>
        <v>115.92</v>
      </c>
      <c r="AS121" s="356">
        <f aca="true" t="shared" si="189" ref="AS121:AS133">ROUND(+P121*1/12*VLOOKUP($D121,LGFPOVO,4,FALSE),2)</f>
        <v>115.92</v>
      </c>
      <c r="AT121" s="356">
        <f aca="true" t="shared" si="190" ref="AT121:AT133">ROUND(+Q121*1/12*VLOOKUP($D121,LGFPOVO,4,FALSE),2)</f>
        <v>115.92</v>
      </c>
      <c r="AU121" s="356">
        <f aca="true" t="shared" si="191" ref="AU121:AU133">ROUND(+R121*1/12*VLOOKUP($D121,LGFPOVO,4,FALSE),2)</f>
        <v>115.92</v>
      </c>
      <c r="AV121" s="356">
        <f aca="true" t="shared" si="192" ref="AV121:AV133">ROUND(+S121*1/12*VLOOKUP($D121,LGFPOVO,4,FALSE),2)</f>
        <v>115.92</v>
      </c>
      <c r="AW121" s="356">
        <f aca="true" t="shared" si="193" ref="AW121:AW133">ROUND(+T121*1/12*VLOOKUP($D121,LGFPOVO,4,FALSE),2)</f>
        <v>115.92</v>
      </c>
    </row>
    <row r="122" spans="2:49" ht="12.75">
      <c r="B122" s="61"/>
      <c r="C122" s="85"/>
      <c r="D122" s="85" t="s">
        <v>474</v>
      </c>
      <c r="E122" s="85"/>
      <c r="F122" s="85" t="s">
        <v>661</v>
      </c>
      <c r="G122" s="108">
        <f aca="true" t="shared" si="194" ref="G122:G133">ROUND(SUM(I122:T122)/12,2)</f>
        <v>1</v>
      </c>
      <c r="H122" s="107"/>
      <c r="I122" s="68">
        <v>1</v>
      </c>
      <c r="J122" s="5">
        <f aca="true" t="shared" si="195" ref="J122:T122">+I122</f>
        <v>1</v>
      </c>
      <c r="K122" s="5">
        <f t="shared" si="195"/>
        <v>1</v>
      </c>
      <c r="L122" s="5">
        <f t="shared" si="195"/>
        <v>1</v>
      </c>
      <c r="M122" s="5">
        <f t="shared" si="195"/>
        <v>1</v>
      </c>
      <c r="N122" s="5">
        <f t="shared" si="195"/>
        <v>1</v>
      </c>
      <c r="O122" s="5">
        <f t="shared" si="195"/>
        <v>1</v>
      </c>
      <c r="P122" s="5">
        <f t="shared" si="195"/>
        <v>1</v>
      </c>
      <c r="Q122" s="5">
        <f t="shared" si="195"/>
        <v>1</v>
      </c>
      <c r="R122" s="5">
        <f t="shared" si="195"/>
        <v>1</v>
      </c>
      <c r="S122" s="5">
        <f t="shared" si="195"/>
        <v>1</v>
      </c>
      <c r="T122" s="5">
        <f t="shared" si="195"/>
        <v>1</v>
      </c>
      <c r="U122" s="1"/>
      <c r="V122" s="352"/>
      <c r="Y122" s="356">
        <f t="shared" si="170"/>
        <v>404.84</v>
      </c>
      <c r="Z122" s="356">
        <f t="shared" si="171"/>
        <v>404.84</v>
      </c>
      <c r="AA122" s="356">
        <f t="shared" si="172"/>
        <v>404.84</v>
      </c>
      <c r="AB122" s="356">
        <f t="shared" si="173"/>
        <v>404.84</v>
      </c>
      <c r="AC122" s="356">
        <f t="shared" si="174"/>
        <v>404.84</v>
      </c>
      <c r="AD122" s="356">
        <f t="shared" si="175"/>
        <v>404.84</v>
      </c>
      <c r="AE122" s="356">
        <f t="shared" si="176"/>
        <v>404.84</v>
      </c>
      <c r="AF122" s="356">
        <f t="shared" si="177"/>
        <v>404.84</v>
      </c>
      <c r="AG122" s="356">
        <f t="shared" si="178"/>
        <v>404.84</v>
      </c>
      <c r="AH122" s="356">
        <f t="shared" si="179"/>
        <v>404.84</v>
      </c>
      <c r="AI122" s="356">
        <f t="shared" si="180"/>
        <v>404.84</v>
      </c>
      <c r="AJ122" s="356">
        <f t="shared" si="181"/>
        <v>404.84</v>
      </c>
      <c r="AL122" s="356">
        <f t="shared" si="182"/>
        <v>42.67</v>
      </c>
      <c r="AM122" s="356">
        <f t="shared" si="183"/>
        <v>42.67</v>
      </c>
      <c r="AN122" s="356">
        <f t="shared" si="184"/>
        <v>42.67</v>
      </c>
      <c r="AO122" s="356">
        <f t="shared" si="185"/>
        <v>42.67</v>
      </c>
      <c r="AP122" s="356">
        <f t="shared" si="186"/>
        <v>42.67</v>
      </c>
      <c r="AQ122" s="356">
        <f t="shared" si="187"/>
        <v>42.67</v>
      </c>
      <c r="AR122" s="356">
        <f t="shared" si="188"/>
        <v>42.67</v>
      </c>
      <c r="AS122" s="356">
        <f t="shared" si="189"/>
        <v>42.67</v>
      </c>
      <c r="AT122" s="356">
        <f t="shared" si="190"/>
        <v>42.67</v>
      </c>
      <c r="AU122" s="356">
        <f t="shared" si="191"/>
        <v>42.67</v>
      </c>
      <c r="AV122" s="356">
        <f t="shared" si="192"/>
        <v>42.67</v>
      </c>
      <c r="AW122" s="356">
        <f t="shared" si="193"/>
        <v>42.67</v>
      </c>
    </row>
    <row r="123" spans="2:49" ht="12.75">
      <c r="B123" s="61"/>
      <c r="C123" s="85"/>
      <c r="D123" s="85" t="s">
        <v>475</v>
      </c>
      <c r="E123" s="85"/>
      <c r="F123" s="85" t="s">
        <v>661</v>
      </c>
      <c r="G123" s="108">
        <f t="shared" si="194"/>
        <v>1</v>
      </c>
      <c r="H123" s="107"/>
      <c r="I123" s="68">
        <v>1</v>
      </c>
      <c r="J123" s="5">
        <f aca="true" t="shared" si="196" ref="J123:T123">+I123</f>
        <v>1</v>
      </c>
      <c r="K123" s="5">
        <f t="shared" si="196"/>
        <v>1</v>
      </c>
      <c r="L123" s="5">
        <f t="shared" si="196"/>
        <v>1</v>
      </c>
      <c r="M123" s="5">
        <f t="shared" si="196"/>
        <v>1</v>
      </c>
      <c r="N123" s="5">
        <f t="shared" si="196"/>
        <v>1</v>
      </c>
      <c r="O123" s="5">
        <f t="shared" si="196"/>
        <v>1</v>
      </c>
      <c r="P123" s="5">
        <f t="shared" si="196"/>
        <v>1</v>
      </c>
      <c r="Q123" s="5">
        <f t="shared" si="196"/>
        <v>1</v>
      </c>
      <c r="R123" s="5">
        <f t="shared" si="196"/>
        <v>1</v>
      </c>
      <c r="S123" s="5">
        <f t="shared" si="196"/>
        <v>1</v>
      </c>
      <c r="T123" s="5">
        <f t="shared" si="196"/>
        <v>1</v>
      </c>
      <c r="U123" s="1"/>
      <c r="V123" s="352"/>
      <c r="Y123" s="356">
        <f t="shared" si="170"/>
        <v>404.84</v>
      </c>
      <c r="Z123" s="356">
        <f t="shared" si="171"/>
        <v>404.84</v>
      </c>
      <c r="AA123" s="356">
        <f t="shared" si="172"/>
        <v>404.84</v>
      </c>
      <c r="AB123" s="356">
        <f t="shared" si="173"/>
        <v>404.84</v>
      </c>
      <c r="AC123" s="356">
        <f t="shared" si="174"/>
        <v>404.84</v>
      </c>
      <c r="AD123" s="356">
        <f t="shared" si="175"/>
        <v>404.84</v>
      </c>
      <c r="AE123" s="356">
        <f t="shared" si="176"/>
        <v>404.84</v>
      </c>
      <c r="AF123" s="356">
        <f t="shared" si="177"/>
        <v>404.84</v>
      </c>
      <c r="AG123" s="356">
        <f t="shared" si="178"/>
        <v>404.84</v>
      </c>
      <c r="AH123" s="356">
        <f t="shared" si="179"/>
        <v>404.84</v>
      </c>
      <c r="AI123" s="356">
        <f t="shared" si="180"/>
        <v>404.84</v>
      </c>
      <c r="AJ123" s="356">
        <f t="shared" si="181"/>
        <v>404.84</v>
      </c>
      <c r="AL123" s="356">
        <f t="shared" si="182"/>
        <v>42.67</v>
      </c>
      <c r="AM123" s="356">
        <f t="shared" si="183"/>
        <v>42.67</v>
      </c>
      <c r="AN123" s="356">
        <f t="shared" si="184"/>
        <v>42.67</v>
      </c>
      <c r="AO123" s="356">
        <f t="shared" si="185"/>
        <v>42.67</v>
      </c>
      <c r="AP123" s="356">
        <f t="shared" si="186"/>
        <v>42.67</v>
      </c>
      <c r="AQ123" s="356">
        <f t="shared" si="187"/>
        <v>42.67</v>
      </c>
      <c r="AR123" s="356">
        <f t="shared" si="188"/>
        <v>42.67</v>
      </c>
      <c r="AS123" s="356">
        <f t="shared" si="189"/>
        <v>42.67</v>
      </c>
      <c r="AT123" s="356">
        <f t="shared" si="190"/>
        <v>42.67</v>
      </c>
      <c r="AU123" s="356">
        <f t="shared" si="191"/>
        <v>42.67</v>
      </c>
      <c r="AV123" s="356">
        <f t="shared" si="192"/>
        <v>42.67</v>
      </c>
      <c r="AW123" s="356">
        <f t="shared" si="193"/>
        <v>42.67</v>
      </c>
    </row>
    <row r="124" spans="2:49" ht="12.75">
      <c r="B124" s="61"/>
      <c r="C124" s="85"/>
      <c r="D124" s="85" t="s">
        <v>476</v>
      </c>
      <c r="E124" s="85"/>
      <c r="F124" s="85" t="s">
        <v>661</v>
      </c>
      <c r="G124" s="108">
        <f t="shared" si="194"/>
        <v>1</v>
      </c>
      <c r="H124" s="107"/>
      <c r="I124" s="68">
        <v>1</v>
      </c>
      <c r="J124" s="5">
        <f aca="true" t="shared" si="197" ref="J124:T124">+I124</f>
        <v>1</v>
      </c>
      <c r="K124" s="5">
        <f t="shared" si="197"/>
        <v>1</v>
      </c>
      <c r="L124" s="5">
        <f t="shared" si="197"/>
        <v>1</v>
      </c>
      <c r="M124" s="5">
        <f t="shared" si="197"/>
        <v>1</v>
      </c>
      <c r="N124" s="5">
        <f t="shared" si="197"/>
        <v>1</v>
      </c>
      <c r="O124" s="5">
        <f t="shared" si="197"/>
        <v>1</v>
      </c>
      <c r="P124" s="5">
        <f t="shared" si="197"/>
        <v>1</v>
      </c>
      <c r="Q124" s="5">
        <f t="shared" si="197"/>
        <v>1</v>
      </c>
      <c r="R124" s="5">
        <f t="shared" si="197"/>
        <v>1</v>
      </c>
      <c r="S124" s="5">
        <f t="shared" si="197"/>
        <v>1</v>
      </c>
      <c r="T124" s="5">
        <f t="shared" si="197"/>
        <v>1</v>
      </c>
      <c r="U124" s="1"/>
      <c r="V124" s="352"/>
      <c r="Y124" s="356">
        <f t="shared" si="170"/>
        <v>404.84</v>
      </c>
      <c r="Z124" s="356">
        <f t="shared" si="171"/>
        <v>404.84</v>
      </c>
      <c r="AA124" s="356">
        <f t="shared" si="172"/>
        <v>404.84</v>
      </c>
      <c r="AB124" s="356">
        <f t="shared" si="173"/>
        <v>404.84</v>
      </c>
      <c r="AC124" s="356">
        <f t="shared" si="174"/>
        <v>404.84</v>
      </c>
      <c r="AD124" s="356">
        <f t="shared" si="175"/>
        <v>404.84</v>
      </c>
      <c r="AE124" s="356">
        <f t="shared" si="176"/>
        <v>404.84</v>
      </c>
      <c r="AF124" s="356">
        <f t="shared" si="177"/>
        <v>404.84</v>
      </c>
      <c r="AG124" s="356">
        <f t="shared" si="178"/>
        <v>404.84</v>
      </c>
      <c r="AH124" s="356">
        <f t="shared" si="179"/>
        <v>404.84</v>
      </c>
      <c r="AI124" s="356">
        <f t="shared" si="180"/>
        <v>404.84</v>
      </c>
      <c r="AJ124" s="356">
        <f t="shared" si="181"/>
        <v>404.84</v>
      </c>
      <c r="AL124" s="356">
        <f t="shared" si="182"/>
        <v>47.42</v>
      </c>
      <c r="AM124" s="356">
        <f t="shared" si="183"/>
        <v>47.42</v>
      </c>
      <c r="AN124" s="356">
        <f t="shared" si="184"/>
        <v>47.42</v>
      </c>
      <c r="AO124" s="356">
        <f t="shared" si="185"/>
        <v>47.42</v>
      </c>
      <c r="AP124" s="356">
        <f t="shared" si="186"/>
        <v>47.42</v>
      </c>
      <c r="AQ124" s="356">
        <f t="shared" si="187"/>
        <v>47.42</v>
      </c>
      <c r="AR124" s="356">
        <f t="shared" si="188"/>
        <v>47.42</v>
      </c>
      <c r="AS124" s="356">
        <f t="shared" si="189"/>
        <v>47.42</v>
      </c>
      <c r="AT124" s="356">
        <f t="shared" si="190"/>
        <v>47.42</v>
      </c>
      <c r="AU124" s="356">
        <f t="shared" si="191"/>
        <v>47.42</v>
      </c>
      <c r="AV124" s="356">
        <f t="shared" si="192"/>
        <v>47.42</v>
      </c>
      <c r="AW124" s="356">
        <f t="shared" si="193"/>
        <v>47.42</v>
      </c>
    </row>
    <row r="125" spans="2:49" ht="12.75">
      <c r="B125" s="61"/>
      <c r="C125" s="85"/>
      <c r="D125" s="85" t="s">
        <v>478</v>
      </c>
      <c r="E125" s="85"/>
      <c r="F125" s="85" t="s">
        <v>661</v>
      </c>
      <c r="G125" s="108">
        <f t="shared" si="194"/>
        <v>1</v>
      </c>
      <c r="H125" s="107"/>
      <c r="I125" s="68">
        <v>1</v>
      </c>
      <c r="J125" s="5">
        <f aca="true" t="shared" si="198" ref="J125:T125">+I125</f>
        <v>1</v>
      </c>
      <c r="K125" s="5">
        <f t="shared" si="198"/>
        <v>1</v>
      </c>
      <c r="L125" s="5">
        <f t="shared" si="198"/>
        <v>1</v>
      </c>
      <c r="M125" s="5">
        <f t="shared" si="198"/>
        <v>1</v>
      </c>
      <c r="N125" s="5">
        <f t="shared" si="198"/>
        <v>1</v>
      </c>
      <c r="O125" s="5">
        <f t="shared" si="198"/>
        <v>1</v>
      </c>
      <c r="P125" s="5">
        <f t="shared" si="198"/>
        <v>1</v>
      </c>
      <c r="Q125" s="5">
        <f t="shared" si="198"/>
        <v>1</v>
      </c>
      <c r="R125" s="5">
        <f t="shared" si="198"/>
        <v>1</v>
      </c>
      <c r="S125" s="5">
        <f t="shared" si="198"/>
        <v>1</v>
      </c>
      <c r="T125" s="5">
        <f t="shared" si="198"/>
        <v>1</v>
      </c>
      <c r="U125" s="1"/>
      <c r="V125" s="352"/>
      <c r="Y125" s="356">
        <f t="shared" si="170"/>
        <v>404.84</v>
      </c>
      <c r="Z125" s="356">
        <f t="shared" si="171"/>
        <v>404.84</v>
      </c>
      <c r="AA125" s="356">
        <f t="shared" si="172"/>
        <v>404.84</v>
      </c>
      <c r="AB125" s="356">
        <f t="shared" si="173"/>
        <v>404.84</v>
      </c>
      <c r="AC125" s="356">
        <f t="shared" si="174"/>
        <v>404.84</v>
      </c>
      <c r="AD125" s="356">
        <f t="shared" si="175"/>
        <v>404.84</v>
      </c>
      <c r="AE125" s="356">
        <f t="shared" si="176"/>
        <v>404.84</v>
      </c>
      <c r="AF125" s="356">
        <f t="shared" si="177"/>
        <v>404.84</v>
      </c>
      <c r="AG125" s="356">
        <f t="shared" si="178"/>
        <v>404.84</v>
      </c>
      <c r="AH125" s="356">
        <f t="shared" si="179"/>
        <v>404.84</v>
      </c>
      <c r="AI125" s="356">
        <f t="shared" si="180"/>
        <v>404.84</v>
      </c>
      <c r="AJ125" s="356">
        <f t="shared" si="181"/>
        <v>404.84</v>
      </c>
      <c r="AL125" s="356">
        <f t="shared" si="182"/>
        <v>42.67</v>
      </c>
      <c r="AM125" s="356">
        <f t="shared" si="183"/>
        <v>42.67</v>
      </c>
      <c r="AN125" s="356">
        <f t="shared" si="184"/>
        <v>42.67</v>
      </c>
      <c r="AO125" s="356">
        <f t="shared" si="185"/>
        <v>42.67</v>
      </c>
      <c r="AP125" s="356">
        <f t="shared" si="186"/>
        <v>42.67</v>
      </c>
      <c r="AQ125" s="356">
        <f t="shared" si="187"/>
        <v>42.67</v>
      </c>
      <c r="AR125" s="356">
        <f t="shared" si="188"/>
        <v>42.67</v>
      </c>
      <c r="AS125" s="356">
        <f t="shared" si="189"/>
        <v>42.67</v>
      </c>
      <c r="AT125" s="356">
        <f t="shared" si="190"/>
        <v>42.67</v>
      </c>
      <c r="AU125" s="356">
        <f t="shared" si="191"/>
        <v>42.67</v>
      </c>
      <c r="AV125" s="356">
        <f t="shared" si="192"/>
        <v>42.67</v>
      </c>
      <c r="AW125" s="356">
        <f t="shared" si="193"/>
        <v>42.67</v>
      </c>
    </row>
    <row r="126" spans="2:49" ht="12.75">
      <c r="B126" s="61"/>
      <c r="C126" s="85"/>
      <c r="D126" s="85" t="s">
        <v>479</v>
      </c>
      <c r="E126" s="85"/>
      <c r="F126" s="85" t="s">
        <v>661</v>
      </c>
      <c r="G126" s="108">
        <f t="shared" si="194"/>
        <v>1</v>
      </c>
      <c r="H126" s="107"/>
      <c r="I126" s="68">
        <v>1</v>
      </c>
      <c r="J126" s="5">
        <f aca="true" t="shared" si="199" ref="J126:T126">+I126</f>
        <v>1</v>
      </c>
      <c r="K126" s="5">
        <f t="shared" si="199"/>
        <v>1</v>
      </c>
      <c r="L126" s="5">
        <f t="shared" si="199"/>
        <v>1</v>
      </c>
      <c r="M126" s="5">
        <f t="shared" si="199"/>
        <v>1</v>
      </c>
      <c r="N126" s="5">
        <f t="shared" si="199"/>
        <v>1</v>
      </c>
      <c r="O126" s="5">
        <f t="shared" si="199"/>
        <v>1</v>
      </c>
      <c r="P126" s="5">
        <f t="shared" si="199"/>
        <v>1</v>
      </c>
      <c r="Q126" s="5">
        <f t="shared" si="199"/>
        <v>1</v>
      </c>
      <c r="R126" s="5">
        <f t="shared" si="199"/>
        <v>1</v>
      </c>
      <c r="S126" s="5">
        <f t="shared" si="199"/>
        <v>1</v>
      </c>
      <c r="T126" s="5">
        <f t="shared" si="199"/>
        <v>1</v>
      </c>
      <c r="U126" s="1"/>
      <c r="V126" s="352"/>
      <c r="Y126" s="356">
        <f t="shared" si="170"/>
        <v>404.84</v>
      </c>
      <c r="Z126" s="356">
        <f t="shared" si="171"/>
        <v>404.84</v>
      </c>
      <c r="AA126" s="356">
        <f t="shared" si="172"/>
        <v>404.84</v>
      </c>
      <c r="AB126" s="356">
        <f t="shared" si="173"/>
        <v>404.84</v>
      </c>
      <c r="AC126" s="356">
        <f t="shared" si="174"/>
        <v>404.84</v>
      </c>
      <c r="AD126" s="356">
        <f t="shared" si="175"/>
        <v>404.84</v>
      </c>
      <c r="AE126" s="356">
        <f t="shared" si="176"/>
        <v>404.84</v>
      </c>
      <c r="AF126" s="356">
        <f t="shared" si="177"/>
        <v>404.84</v>
      </c>
      <c r="AG126" s="356">
        <f t="shared" si="178"/>
        <v>404.84</v>
      </c>
      <c r="AH126" s="356">
        <f t="shared" si="179"/>
        <v>404.84</v>
      </c>
      <c r="AI126" s="356">
        <f t="shared" si="180"/>
        <v>404.84</v>
      </c>
      <c r="AJ126" s="356">
        <f t="shared" si="181"/>
        <v>404.84</v>
      </c>
      <c r="AL126" s="356">
        <f t="shared" si="182"/>
        <v>42.67</v>
      </c>
      <c r="AM126" s="356">
        <f t="shared" si="183"/>
        <v>42.67</v>
      </c>
      <c r="AN126" s="356">
        <f t="shared" si="184"/>
        <v>42.67</v>
      </c>
      <c r="AO126" s="356">
        <f t="shared" si="185"/>
        <v>42.67</v>
      </c>
      <c r="AP126" s="356">
        <f t="shared" si="186"/>
        <v>42.67</v>
      </c>
      <c r="AQ126" s="356">
        <f t="shared" si="187"/>
        <v>42.67</v>
      </c>
      <c r="AR126" s="356">
        <f t="shared" si="188"/>
        <v>42.67</v>
      </c>
      <c r="AS126" s="356">
        <f t="shared" si="189"/>
        <v>42.67</v>
      </c>
      <c r="AT126" s="356">
        <f t="shared" si="190"/>
        <v>42.67</v>
      </c>
      <c r="AU126" s="356">
        <f t="shared" si="191"/>
        <v>42.67</v>
      </c>
      <c r="AV126" s="356">
        <f t="shared" si="192"/>
        <v>42.67</v>
      </c>
      <c r="AW126" s="356">
        <f t="shared" si="193"/>
        <v>42.67</v>
      </c>
    </row>
    <row r="127" spans="2:49" ht="12.75">
      <c r="B127" s="61"/>
      <c r="C127" s="85"/>
      <c r="D127" s="85" t="s">
        <v>477</v>
      </c>
      <c r="E127" s="85"/>
      <c r="F127" s="85" t="s">
        <v>661</v>
      </c>
      <c r="G127" s="108">
        <f t="shared" si="194"/>
        <v>1</v>
      </c>
      <c r="H127" s="107"/>
      <c r="I127" s="68">
        <v>1</v>
      </c>
      <c r="J127" s="5">
        <f aca="true" t="shared" si="200" ref="J127:T127">+I127</f>
        <v>1</v>
      </c>
      <c r="K127" s="5">
        <f t="shared" si="200"/>
        <v>1</v>
      </c>
      <c r="L127" s="5">
        <f t="shared" si="200"/>
        <v>1</v>
      </c>
      <c r="M127" s="5">
        <f t="shared" si="200"/>
        <v>1</v>
      </c>
      <c r="N127" s="5">
        <f t="shared" si="200"/>
        <v>1</v>
      </c>
      <c r="O127" s="5">
        <f t="shared" si="200"/>
        <v>1</v>
      </c>
      <c r="P127" s="5">
        <f t="shared" si="200"/>
        <v>1</v>
      </c>
      <c r="Q127" s="5">
        <f t="shared" si="200"/>
        <v>1</v>
      </c>
      <c r="R127" s="5">
        <f t="shared" si="200"/>
        <v>1</v>
      </c>
      <c r="S127" s="5">
        <f t="shared" si="200"/>
        <v>1</v>
      </c>
      <c r="T127" s="5">
        <f t="shared" si="200"/>
        <v>1</v>
      </c>
      <c r="U127" s="1"/>
      <c r="V127" s="352"/>
      <c r="Y127" s="356">
        <f t="shared" si="170"/>
        <v>404.84</v>
      </c>
      <c r="Z127" s="356">
        <f t="shared" si="171"/>
        <v>404.84</v>
      </c>
      <c r="AA127" s="356">
        <f t="shared" si="172"/>
        <v>404.84</v>
      </c>
      <c r="AB127" s="356">
        <f t="shared" si="173"/>
        <v>404.84</v>
      </c>
      <c r="AC127" s="356">
        <f t="shared" si="174"/>
        <v>404.84</v>
      </c>
      <c r="AD127" s="356">
        <f t="shared" si="175"/>
        <v>404.84</v>
      </c>
      <c r="AE127" s="356">
        <f t="shared" si="176"/>
        <v>404.84</v>
      </c>
      <c r="AF127" s="356">
        <f t="shared" si="177"/>
        <v>404.84</v>
      </c>
      <c r="AG127" s="356">
        <f t="shared" si="178"/>
        <v>404.84</v>
      </c>
      <c r="AH127" s="356">
        <f t="shared" si="179"/>
        <v>404.84</v>
      </c>
      <c r="AI127" s="356">
        <f t="shared" si="180"/>
        <v>404.84</v>
      </c>
      <c r="AJ127" s="356">
        <f t="shared" si="181"/>
        <v>404.84</v>
      </c>
      <c r="AL127" s="356">
        <f t="shared" si="182"/>
        <v>28.5</v>
      </c>
      <c r="AM127" s="356">
        <f t="shared" si="183"/>
        <v>28.5</v>
      </c>
      <c r="AN127" s="356">
        <f t="shared" si="184"/>
        <v>28.5</v>
      </c>
      <c r="AO127" s="356">
        <f t="shared" si="185"/>
        <v>28.5</v>
      </c>
      <c r="AP127" s="356">
        <f t="shared" si="186"/>
        <v>28.5</v>
      </c>
      <c r="AQ127" s="356">
        <f t="shared" si="187"/>
        <v>28.5</v>
      </c>
      <c r="AR127" s="356">
        <f t="shared" si="188"/>
        <v>28.5</v>
      </c>
      <c r="AS127" s="356">
        <f t="shared" si="189"/>
        <v>28.5</v>
      </c>
      <c r="AT127" s="356">
        <f t="shared" si="190"/>
        <v>28.5</v>
      </c>
      <c r="AU127" s="356">
        <f t="shared" si="191"/>
        <v>28.5</v>
      </c>
      <c r="AV127" s="356">
        <f t="shared" si="192"/>
        <v>28.5</v>
      </c>
      <c r="AW127" s="356">
        <f t="shared" si="193"/>
        <v>28.5</v>
      </c>
    </row>
    <row r="128" spans="2:49" ht="12.75">
      <c r="B128" s="61"/>
      <c r="C128" s="85"/>
      <c r="D128" s="85" t="s">
        <v>480</v>
      </c>
      <c r="E128" s="85"/>
      <c r="F128" s="85" t="s">
        <v>661</v>
      </c>
      <c r="G128" s="108">
        <f t="shared" si="194"/>
        <v>1</v>
      </c>
      <c r="H128" s="107"/>
      <c r="I128" s="68">
        <v>1</v>
      </c>
      <c r="J128" s="5">
        <f aca="true" t="shared" si="201" ref="J128:T128">+I128</f>
        <v>1</v>
      </c>
      <c r="K128" s="5">
        <f t="shared" si="201"/>
        <v>1</v>
      </c>
      <c r="L128" s="5">
        <f t="shared" si="201"/>
        <v>1</v>
      </c>
      <c r="M128" s="5">
        <f t="shared" si="201"/>
        <v>1</v>
      </c>
      <c r="N128" s="5">
        <f t="shared" si="201"/>
        <v>1</v>
      </c>
      <c r="O128" s="5">
        <f t="shared" si="201"/>
        <v>1</v>
      </c>
      <c r="P128" s="5">
        <f t="shared" si="201"/>
        <v>1</v>
      </c>
      <c r="Q128" s="5">
        <f t="shared" si="201"/>
        <v>1</v>
      </c>
      <c r="R128" s="5">
        <f t="shared" si="201"/>
        <v>1</v>
      </c>
      <c r="S128" s="5">
        <f t="shared" si="201"/>
        <v>1</v>
      </c>
      <c r="T128" s="5">
        <f t="shared" si="201"/>
        <v>1</v>
      </c>
      <c r="U128" s="1"/>
      <c r="V128" s="352"/>
      <c r="Y128" s="356">
        <f t="shared" si="170"/>
        <v>404.84</v>
      </c>
      <c r="Z128" s="356">
        <f t="shared" si="171"/>
        <v>404.84</v>
      </c>
      <c r="AA128" s="356">
        <f t="shared" si="172"/>
        <v>404.84</v>
      </c>
      <c r="AB128" s="356">
        <f t="shared" si="173"/>
        <v>404.84</v>
      </c>
      <c r="AC128" s="356">
        <f t="shared" si="174"/>
        <v>404.84</v>
      </c>
      <c r="AD128" s="356">
        <f t="shared" si="175"/>
        <v>404.84</v>
      </c>
      <c r="AE128" s="356">
        <f t="shared" si="176"/>
        <v>404.84</v>
      </c>
      <c r="AF128" s="356">
        <f t="shared" si="177"/>
        <v>404.84</v>
      </c>
      <c r="AG128" s="356">
        <f t="shared" si="178"/>
        <v>404.84</v>
      </c>
      <c r="AH128" s="356">
        <f t="shared" si="179"/>
        <v>404.84</v>
      </c>
      <c r="AI128" s="356">
        <f t="shared" si="180"/>
        <v>404.84</v>
      </c>
      <c r="AJ128" s="356">
        <f t="shared" si="181"/>
        <v>404.84</v>
      </c>
      <c r="AL128" s="356">
        <f t="shared" si="182"/>
        <v>42.67</v>
      </c>
      <c r="AM128" s="356">
        <f t="shared" si="183"/>
        <v>42.67</v>
      </c>
      <c r="AN128" s="356">
        <f t="shared" si="184"/>
        <v>42.67</v>
      </c>
      <c r="AO128" s="356">
        <f t="shared" si="185"/>
        <v>42.67</v>
      </c>
      <c r="AP128" s="356">
        <f t="shared" si="186"/>
        <v>42.67</v>
      </c>
      <c r="AQ128" s="356">
        <f t="shared" si="187"/>
        <v>42.67</v>
      </c>
      <c r="AR128" s="356">
        <f t="shared" si="188"/>
        <v>42.67</v>
      </c>
      <c r="AS128" s="356">
        <f t="shared" si="189"/>
        <v>42.67</v>
      </c>
      <c r="AT128" s="356">
        <f t="shared" si="190"/>
        <v>42.67</v>
      </c>
      <c r="AU128" s="356">
        <f t="shared" si="191"/>
        <v>42.67</v>
      </c>
      <c r="AV128" s="356">
        <f t="shared" si="192"/>
        <v>42.67</v>
      </c>
      <c r="AW128" s="356">
        <f t="shared" si="193"/>
        <v>42.67</v>
      </c>
    </row>
    <row r="129" spans="2:49" ht="12.75">
      <c r="B129" s="61"/>
      <c r="C129" s="85"/>
      <c r="D129" s="85" t="s">
        <v>481</v>
      </c>
      <c r="E129" s="85"/>
      <c r="F129" s="85" t="s">
        <v>661</v>
      </c>
      <c r="G129" s="108">
        <f t="shared" si="194"/>
        <v>1</v>
      </c>
      <c r="H129" s="107"/>
      <c r="I129" s="68">
        <v>1</v>
      </c>
      <c r="J129" s="5">
        <f aca="true" t="shared" si="202" ref="J129:T129">+I129</f>
        <v>1</v>
      </c>
      <c r="K129" s="5">
        <f t="shared" si="202"/>
        <v>1</v>
      </c>
      <c r="L129" s="5">
        <f t="shared" si="202"/>
        <v>1</v>
      </c>
      <c r="M129" s="5">
        <f t="shared" si="202"/>
        <v>1</v>
      </c>
      <c r="N129" s="5">
        <f t="shared" si="202"/>
        <v>1</v>
      </c>
      <c r="O129" s="5">
        <f t="shared" si="202"/>
        <v>1</v>
      </c>
      <c r="P129" s="5">
        <f t="shared" si="202"/>
        <v>1</v>
      </c>
      <c r="Q129" s="5">
        <f t="shared" si="202"/>
        <v>1</v>
      </c>
      <c r="R129" s="5">
        <f t="shared" si="202"/>
        <v>1</v>
      </c>
      <c r="S129" s="5">
        <f t="shared" si="202"/>
        <v>1</v>
      </c>
      <c r="T129" s="5">
        <f t="shared" si="202"/>
        <v>1</v>
      </c>
      <c r="U129" s="1"/>
      <c r="V129" s="352"/>
      <c r="Y129" s="356">
        <f t="shared" si="170"/>
        <v>404.84</v>
      </c>
      <c r="Z129" s="356">
        <f t="shared" si="171"/>
        <v>404.84</v>
      </c>
      <c r="AA129" s="356">
        <f t="shared" si="172"/>
        <v>404.84</v>
      </c>
      <c r="AB129" s="356">
        <f t="shared" si="173"/>
        <v>404.84</v>
      </c>
      <c r="AC129" s="356">
        <f t="shared" si="174"/>
        <v>404.84</v>
      </c>
      <c r="AD129" s="356">
        <f t="shared" si="175"/>
        <v>404.84</v>
      </c>
      <c r="AE129" s="356">
        <f t="shared" si="176"/>
        <v>404.84</v>
      </c>
      <c r="AF129" s="356">
        <f t="shared" si="177"/>
        <v>404.84</v>
      </c>
      <c r="AG129" s="356">
        <f t="shared" si="178"/>
        <v>404.84</v>
      </c>
      <c r="AH129" s="356">
        <f t="shared" si="179"/>
        <v>404.84</v>
      </c>
      <c r="AI129" s="356">
        <f t="shared" si="180"/>
        <v>404.84</v>
      </c>
      <c r="AJ129" s="356">
        <f t="shared" si="181"/>
        <v>404.84</v>
      </c>
      <c r="AL129" s="356">
        <f t="shared" si="182"/>
        <v>42.67</v>
      </c>
      <c r="AM129" s="356">
        <f t="shared" si="183"/>
        <v>42.67</v>
      </c>
      <c r="AN129" s="356">
        <f t="shared" si="184"/>
        <v>42.67</v>
      </c>
      <c r="AO129" s="356">
        <f t="shared" si="185"/>
        <v>42.67</v>
      </c>
      <c r="AP129" s="356">
        <f t="shared" si="186"/>
        <v>42.67</v>
      </c>
      <c r="AQ129" s="356">
        <f t="shared" si="187"/>
        <v>42.67</v>
      </c>
      <c r="AR129" s="356">
        <f t="shared" si="188"/>
        <v>42.67</v>
      </c>
      <c r="AS129" s="356">
        <f t="shared" si="189"/>
        <v>42.67</v>
      </c>
      <c r="AT129" s="356">
        <f t="shared" si="190"/>
        <v>42.67</v>
      </c>
      <c r="AU129" s="356">
        <f t="shared" si="191"/>
        <v>42.67</v>
      </c>
      <c r="AV129" s="356">
        <f t="shared" si="192"/>
        <v>42.67</v>
      </c>
      <c r="AW129" s="356">
        <f t="shared" si="193"/>
        <v>42.67</v>
      </c>
    </row>
    <row r="130" spans="2:49" ht="12.75">
      <c r="B130" s="61"/>
      <c r="C130" s="85"/>
      <c r="D130" s="85" t="s">
        <v>483</v>
      </c>
      <c r="E130" s="85"/>
      <c r="F130" s="85" t="s">
        <v>661</v>
      </c>
      <c r="G130" s="108">
        <f t="shared" si="194"/>
        <v>1</v>
      </c>
      <c r="H130" s="107"/>
      <c r="I130" s="68">
        <v>1</v>
      </c>
      <c r="J130" s="5">
        <f aca="true" t="shared" si="203" ref="J130:T130">+I130</f>
        <v>1</v>
      </c>
      <c r="K130" s="5">
        <f t="shared" si="203"/>
        <v>1</v>
      </c>
      <c r="L130" s="5">
        <f t="shared" si="203"/>
        <v>1</v>
      </c>
      <c r="M130" s="5">
        <f t="shared" si="203"/>
        <v>1</v>
      </c>
      <c r="N130" s="5">
        <f t="shared" si="203"/>
        <v>1</v>
      </c>
      <c r="O130" s="5">
        <f t="shared" si="203"/>
        <v>1</v>
      </c>
      <c r="P130" s="5">
        <f t="shared" si="203"/>
        <v>1</v>
      </c>
      <c r="Q130" s="5">
        <f t="shared" si="203"/>
        <v>1</v>
      </c>
      <c r="R130" s="5">
        <f t="shared" si="203"/>
        <v>1</v>
      </c>
      <c r="S130" s="5">
        <f t="shared" si="203"/>
        <v>1</v>
      </c>
      <c r="T130" s="5">
        <f t="shared" si="203"/>
        <v>1</v>
      </c>
      <c r="U130" s="1"/>
      <c r="V130" s="352"/>
      <c r="Y130" s="356">
        <f t="shared" si="170"/>
        <v>404.84</v>
      </c>
      <c r="Z130" s="356">
        <f t="shared" si="171"/>
        <v>404.84</v>
      </c>
      <c r="AA130" s="356">
        <f t="shared" si="172"/>
        <v>404.84</v>
      </c>
      <c r="AB130" s="356">
        <f t="shared" si="173"/>
        <v>404.84</v>
      </c>
      <c r="AC130" s="356">
        <f t="shared" si="174"/>
        <v>404.84</v>
      </c>
      <c r="AD130" s="356">
        <f t="shared" si="175"/>
        <v>404.84</v>
      </c>
      <c r="AE130" s="356">
        <f t="shared" si="176"/>
        <v>404.84</v>
      </c>
      <c r="AF130" s="356">
        <f t="shared" si="177"/>
        <v>404.84</v>
      </c>
      <c r="AG130" s="356">
        <f t="shared" si="178"/>
        <v>404.84</v>
      </c>
      <c r="AH130" s="356">
        <f t="shared" si="179"/>
        <v>404.84</v>
      </c>
      <c r="AI130" s="356">
        <f t="shared" si="180"/>
        <v>404.84</v>
      </c>
      <c r="AJ130" s="356">
        <f t="shared" si="181"/>
        <v>404.84</v>
      </c>
      <c r="AL130" s="356">
        <f t="shared" si="182"/>
        <v>42.67</v>
      </c>
      <c r="AM130" s="356">
        <f t="shared" si="183"/>
        <v>42.67</v>
      </c>
      <c r="AN130" s="356">
        <f t="shared" si="184"/>
        <v>42.67</v>
      </c>
      <c r="AO130" s="356">
        <f t="shared" si="185"/>
        <v>42.67</v>
      </c>
      <c r="AP130" s="356">
        <f t="shared" si="186"/>
        <v>42.67</v>
      </c>
      <c r="AQ130" s="356">
        <f t="shared" si="187"/>
        <v>42.67</v>
      </c>
      <c r="AR130" s="356">
        <f t="shared" si="188"/>
        <v>42.67</v>
      </c>
      <c r="AS130" s="356">
        <f t="shared" si="189"/>
        <v>42.67</v>
      </c>
      <c r="AT130" s="356">
        <f t="shared" si="190"/>
        <v>42.67</v>
      </c>
      <c r="AU130" s="356">
        <f t="shared" si="191"/>
        <v>42.67</v>
      </c>
      <c r="AV130" s="356">
        <f t="shared" si="192"/>
        <v>42.67</v>
      </c>
      <c r="AW130" s="356">
        <f t="shared" si="193"/>
        <v>42.67</v>
      </c>
    </row>
    <row r="131" spans="2:49" ht="12.75">
      <c r="B131" s="61"/>
      <c r="C131" s="85"/>
      <c r="D131" s="85" t="s">
        <v>484</v>
      </c>
      <c r="E131" s="85"/>
      <c r="F131" s="85" t="s">
        <v>661</v>
      </c>
      <c r="G131" s="108">
        <f t="shared" si="194"/>
        <v>1</v>
      </c>
      <c r="H131" s="107"/>
      <c r="I131" s="68">
        <v>1</v>
      </c>
      <c r="J131" s="5">
        <f aca="true" t="shared" si="204" ref="J131:T131">+I131</f>
        <v>1</v>
      </c>
      <c r="K131" s="5">
        <f t="shared" si="204"/>
        <v>1</v>
      </c>
      <c r="L131" s="5">
        <f t="shared" si="204"/>
        <v>1</v>
      </c>
      <c r="M131" s="5">
        <f t="shared" si="204"/>
        <v>1</v>
      </c>
      <c r="N131" s="5">
        <f t="shared" si="204"/>
        <v>1</v>
      </c>
      <c r="O131" s="5">
        <f t="shared" si="204"/>
        <v>1</v>
      </c>
      <c r="P131" s="5">
        <f t="shared" si="204"/>
        <v>1</v>
      </c>
      <c r="Q131" s="5">
        <f t="shared" si="204"/>
        <v>1</v>
      </c>
      <c r="R131" s="5">
        <f t="shared" si="204"/>
        <v>1</v>
      </c>
      <c r="S131" s="5">
        <f t="shared" si="204"/>
        <v>1</v>
      </c>
      <c r="T131" s="5">
        <f t="shared" si="204"/>
        <v>1</v>
      </c>
      <c r="U131" s="1"/>
      <c r="V131" s="352"/>
      <c r="Y131" s="356">
        <f t="shared" si="170"/>
        <v>404.84</v>
      </c>
      <c r="Z131" s="356">
        <f t="shared" si="171"/>
        <v>404.84</v>
      </c>
      <c r="AA131" s="356">
        <f t="shared" si="172"/>
        <v>404.84</v>
      </c>
      <c r="AB131" s="356">
        <f t="shared" si="173"/>
        <v>404.84</v>
      </c>
      <c r="AC131" s="356">
        <f t="shared" si="174"/>
        <v>404.84</v>
      </c>
      <c r="AD131" s="356">
        <f t="shared" si="175"/>
        <v>404.84</v>
      </c>
      <c r="AE131" s="356">
        <f t="shared" si="176"/>
        <v>404.84</v>
      </c>
      <c r="AF131" s="356">
        <f t="shared" si="177"/>
        <v>404.84</v>
      </c>
      <c r="AG131" s="356">
        <f t="shared" si="178"/>
        <v>404.84</v>
      </c>
      <c r="AH131" s="356">
        <f t="shared" si="179"/>
        <v>404.84</v>
      </c>
      <c r="AI131" s="356">
        <f t="shared" si="180"/>
        <v>404.84</v>
      </c>
      <c r="AJ131" s="356">
        <f t="shared" si="181"/>
        <v>404.84</v>
      </c>
      <c r="AL131" s="356">
        <f t="shared" si="182"/>
        <v>42.67</v>
      </c>
      <c r="AM131" s="356">
        <f t="shared" si="183"/>
        <v>42.67</v>
      </c>
      <c r="AN131" s="356">
        <f t="shared" si="184"/>
        <v>42.67</v>
      </c>
      <c r="AO131" s="356">
        <f t="shared" si="185"/>
        <v>42.67</v>
      </c>
      <c r="AP131" s="356">
        <f t="shared" si="186"/>
        <v>42.67</v>
      </c>
      <c r="AQ131" s="356">
        <f t="shared" si="187"/>
        <v>42.67</v>
      </c>
      <c r="AR131" s="356">
        <f t="shared" si="188"/>
        <v>42.67</v>
      </c>
      <c r="AS131" s="356">
        <f t="shared" si="189"/>
        <v>42.67</v>
      </c>
      <c r="AT131" s="356">
        <f t="shared" si="190"/>
        <v>42.67</v>
      </c>
      <c r="AU131" s="356">
        <f t="shared" si="191"/>
        <v>42.67</v>
      </c>
      <c r="AV131" s="356">
        <f t="shared" si="192"/>
        <v>42.67</v>
      </c>
      <c r="AW131" s="356">
        <f t="shared" si="193"/>
        <v>42.67</v>
      </c>
    </row>
    <row r="132" spans="2:49" ht="12.75">
      <c r="B132" s="61"/>
      <c r="C132" s="85"/>
      <c r="D132" s="85" t="s">
        <v>482</v>
      </c>
      <c r="E132" s="85"/>
      <c r="F132" s="85" t="s">
        <v>661</v>
      </c>
      <c r="G132" s="108">
        <f t="shared" si="194"/>
        <v>1</v>
      </c>
      <c r="H132" s="107"/>
      <c r="I132" s="68">
        <v>1</v>
      </c>
      <c r="J132" s="5">
        <f aca="true" t="shared" si="205" ref="J132:T132">+I132</f>
        <v>1</v>
      </c>
      <c r="K132" s="5">
        <f t="shared" si="205"/>
        <v>1</v>
      </c>
      <c r="L132" s="5">
        <f t="shared" si="205"/>
        <v>1</v>
      </c>
      <c r="M132" s="5">
        <f t="shared" si="205"/>
        <v>1</v>
      </c>
      <c r="N132" s="5">
        <f t="shared" si="205"/>
        <v>1</v>
      </c>
      <c r="O132" s="5">
        <f t="shared" si="205"/>
        <v>1</v>
      </c>
      <c r="P132" s="5">
        <f t="shared" si="205"/>
        <v>1</v>
      </c>
      <c r="Q132" s="5">
        <f t="shared" si="205"/>
        <v>1</v>
      </c>
      <c r="R132" s="5">
        <f t="shared" si="205"/>
        <v>1</v>
      </c>
      <c r="S132" s="5">
        <f t="shared" si="205"/>
        <v>1</v>
      </c>
      <c r="T132" s="5">
        <f t="shared" si="205"/>
        <v>1</v>
      </c>
      <c r="U132" s="1"/>
      <c r="V132" s="352"/>
      <c r="Y132" s="356">
        <f t="shared" si="170"/>
        <v>404.84</v>
      </c>
      <c r="Z132" s="356">
        <f t="shared" si="171"/>
        <v>404.84</v>
      </c>
      <c r="AA132" s="356">
        <f t="shared" si="172"/>
        <v>404.84</v>
      </c>
      <c r="AB132" s="356">
        <f t="shared" si="173"/>
        <v>404.84</v>
      </c>
      <c r="AC132" s="356">
        <f t="shared" si="174"/>
        <v>404.84</v>
      </c>
      <c r="AD132" s="356">
        <f t="shared" si="175"/>
        <v>404.84</v>
      </c>
      <c r="AE132" s="356">
        <f t="shared" si="176"/>
        <v>404.84</v>
      </c>
      <c r="AF132" s="356">
        <f t="shared" si="177"/>
        <v>404.84</v>
      </c>
      <c r="AG132" s="356">
        <f t="shared" si="178"/>
        <v>404.84</v>
      </c>
      <c r="AH132" s="356">
        <f t="shared" si="179"/>
        <v>404.84</v>
      </c>
      <c r="AI132" s="356">
        <f t="shared" si="180"/>
        <v>404.84</v>
      </c>
      <c r="AJ132" s="356">
        <f t="shared" si="181"/>
        <v>404.84</v>
      </c>
      <c r="AL132" s="356">
        <f t="shared" si="182"/>
        <v>42.67</v>
      </c>
      <c r="AM132" s="356">
        <f t="shared" si="183"/>
        <v>42.67</v>
      </c>
      <c r="AN132" s="356">
        <f t="shared" si="184"/>
        <v>42.67</v>
      </c>
      <c r="AO132" s="356">
        <f t="shared" si="185"/>
        <v>42.67</v>
      </c>
      <c r="AP132" s="356">
        <f t="shared" si="186"/>
        <v>42.67</v>
      </c>
      <c r="AQ132" s="356">
        <f t="shared" si="187"/>
        <v>42.67</v>
      </c>
      <c r="AR132" s="356">
        <f t="shared" si="188"/>
        <v>42.67</v>
      </c>
      <c r="AS132" s="356">
        <f t="shared" si="189"/>
        <v>42.67</v>
      </c>
      <c r="AT132" s="356">
        <f t="shared" si="190"/>
        <v>42.67</v>
      </c>
      <c r="AU132" s="356">
        <f t="shared" si="191"/>
        <v>42.67</v>
      </c>
      <c r="AV132" s="356">
        <f t="shared" si="192"/>
        <v>42.67</v>
      </c>
      <c r="AW132" s="356">
        <f t="shared" si="193"/>
        <v>42.67</v>
      </c>
    </row>
    <row r="133" spans="2:49" ht="12.75">
      <c r="B133" s="61"/>
      <c r="C133" s="85"/>
      <c r="D133" s="85" t="s">
        <v>485</v>
      </c>
      <c r="E133" s="85"/>
      <c r="F133" s="85" t="s">
        <v>661</v>
      </c>
      <c r="G133" s="108">
        <f t="shared" si="194"/>
        <v>1</v>
      </c>
      <c r="H133" s="107"/>
      <c r="I133" s="68">
        <v>1</v>
      </c>
      <c r="J133" s="5">
        <f aca="true" t="shared" si="206" ref="J133:T133">+I133</f>
        <v>1</v>
      </c>
      <c r="K133" s="5">
        <f t="shared" si="206"/>
        <v>1</v>
      </c>
      <c r="L133" s="5">
        <f t="shared" si="206"/>
        <v>1</v>
      </c>
      <c r="M133" s="5">
        <f t="shared" si="206"/>
        <v>1</v>
      </c>
      <c r="N133" s="5">
        <f t="shared" si="206"/>
        <v>1</v>
      </c>
      <c r="O133" s="5">
        <f t="shared" si="206"/>
        <v>1</v>
      </c>
      <c r="P133" s="5">
        <f t="shared" si="206"/>
        <v>1</v>
      </c>
      <c r="Q133" s="5">
        <f t="shared" si="206"/>
        <v>1</v>
      </c>
      <c r="R133" s="5">
        <f t="shared" si="206"/>
        <v>1</v>
      </c>
      <c r="S133" s="5">
        <f t="shared" si="206"/>
        <v>1</v>
      </c>
      <c r="T133" s="5">
        <f t="shared" si="206"/>
        <v>1</v>
      </c>
      <c r="U133" s="1"/>
      <c r="V133" s="352"/>
      <c r="Y133" s="356">
        <f t="shared" si="170"/>
        <v>404.84</v>
      </c>
      <c r="Z133" s="356">
        <f t="shared" si="171"/>
        <v>404.84</v>
      </c>
      <c r="AA133" s="356">
        <f t="shared" si="172"/>
        <v>404.84</v>
      </c>
      <c r="AB133" s="356">
        <f t="shared" si="173"/>
        <v>404.84</v>
      </c>
      <c r="AC133" s="356">
        <f t="shared" si="174"/>
        <v>404.84</v>
      </c>
      <c r="AD133" s="356">
        <f t="shared" si="175"/>
        <v>404.84</v>
      </c>
      <c r="AE133" s="356">
        <f t="shared" si="176"/>
        <v>404.84</v>
      </c>
      <c r="AF133" s="356">
        <f t="shared" si="177"/>
        <v>404.84</v>
      </c>
      <c r="AG133" s="356">
        <f t="shared" si="178"/>
        <v>404.84</v>
      </c>
      <c r="AH133" s="356">
        <f t="shared" si="179"/>
        <v>404.84</v>
      </c>
      <c r="AI133" s="356">
        <f t="shared" si="180"/>
        <v>404.84</v>
      </c>
      <c r="AJ133" s="356">
        <f t="shared" si="181"/>
        <v>404.84</v>
      </c>
      <c r="AL133" s="356">
        <f t="shared" si="182"/>
        <v>42.67</v>
      </c>
      <c r="AM133" s="356">
        <f t="shared" si="183"/>
        <v>42.67</v>
      </c>
      <c r="AN133" s="356">
        <f t="shared" si="184"/>
        <v>42.67</v>
      </c>
      <c r="AO133" s="356">
        <f t="shared" si="185"/>
        <v>42.67</v>
      </c>
      <c r="AP133" s="356">
        <f t="shared" si="186"/>
        <v>42.67</v>
      </c>
      <c r="AQ133" s="356">
        <f t="shared" si="187"/>
        <v>42.67</v>
      </c>
      <c r="AR133" s="356">
        <f t="shared" si="188"/>
        <v>42.67</v>
      </c>
      <c r="AS133" s="356">
        <f t="shared" si="189"/>
        <v>42.67</v>
      </c>
      <c r="AT133" s="356">
        <f t="shared" si="190"/>
        <v>42.67</v>
      </c>
      <c r="AU133" s="356">
        <f t="shared" si="191"/>
        <v>42.67</v>
      </c>
      <c r="AV133" s="356">
        <f t="shared" si="192"/>
        <v>42.67</v>
      </c>
      <c r="AW133" s="356">
        <f t="shared" si="193"/>
        <v>42.67</v>
      </c>
    </row>
    <row r="134" spans="2:36" s="6" customFormat="1" ht="12.75">
      <c r="B134" s="13"/>
      <c r="C134" s="1"/>
      <c r="D134" s="3" t="s">
        <v>649</v>
      </c>
      <c r="E134" s="3"/>
      <c r="F134" s="3"/>
      <c r="G134" s="357">
        <f>SUM(I134:T134)</f>
        <v>69220.32</v>
      </c>
      <c r="H134" s="160"/>
      <c r="I134" s="43">
        <f aca="true" t="shared" si="207" ref="I134:T134">+Y134</f>
        <v>5768.360000000001</v>
      </c>
      <c r="J134" s="43">
        <f t="shared" si="207"/>
        <v>5768.360000000001</v>
      </c>
      <c r="K134" s="43">
        <f t="shared" si="207"/>
        <v>5768.360000000001</v>
      </c>
      <c r="L134" s="43">
        <f t="shared" si="207"/>
        <v>5768.360000000001</v>
      </c>
      <c r="M134" s="43">
        <f t="shared" si="207"/>
        <v>5768.360000000001</v>
      </c>
      <c r="N134" s="43">
        <f t="shared" si="207"/>
        <v>5768.360000000001</v>
      </c>
      <c r="O134" s="43">
        <f t="shared" si="207"/>
        <v>5768.360000000001</v>
      </c>
      <c r="P134" s="43">
        <f t="shared" si="207"/>
        <v>5768.360000000001</v>
      </c>
      <c r="Q134" s="43">
        <f t="shared" si="207"/>
        <v>5768.360000000001</v>
      </c>
      <c r="R134" s="43">
        <f t="shared" si="207"/>
        <v>5768.360000000001</v>
      </c>
      <c r="S134" s="43">
        <f t="shared" si="207"/>
        <v>5768.360000000001</v>
      </c>
      <c r="T134" s="43">
        <f t="shared" si="207"/>
        <v>5768.360000000001</v>
      </c>
      <c r="U134" s="1"/>
      <c r="V134" s="14"/>
      <c r="Y134" s="358">
        <f aca="true" t="shared" si="208" ref="Y134:AJ134">SUM(Y121:Y133)</f>
        <v>5768.360000000001</v>
      </c>
      <c r="Z134" s="358">
        <f t="shared" si="208"/>
        <v>5768.360000000001</v>
      </c>
      <c r="AA134" s="358">
        <f t="shared" si="208"/>
        <v>5768.360000000001</v>
      </c>
      <c r="AB134" s="358">
        <f t="shared" si="208"/>
        <v>5768.360000000001</v>
      </c>
      <c r="AC134" s="358">
        <f t="shared" si="208"/>
        <v>5768.360000000001</v>
      </c>
      <c r="AD134" s="358">
        <f t="shared" si="208"/>
        <v>5768.360000000001</v>
      </c>
      <c r="AE134" s="358">
        <f t="shared" si="208"/>
        <v>5768.360000000001</v>
      </c>
      <c r="AF134" s="358">
        <f t="shared" si="208"/>
        <v>5768.360000000001</v>
      </c>
      <c r="AG134" s="358">
        <f t="shared" si="208"/>
        <v>5768.360000000001</v>
      </c>
      <c r="AH134" s="358">
        <f t="shared" si="208"/>
        <v>5768.360000000001</v>
      </c>
      <c r="AI134" s="358">
        <f t="shared" si="208"/>
        <v>5768.360000000001</v>
      </c>
      <c r="AJ134" s="358">
        <f t="shared" si="208"/>
        <v>5768.360000000001</v>
      </c>
    </row>
    <row r="135" spans="2:49" s="6" customFormat="1" ht="12.75">
      <c r="B135" s="13"/>
      <c r="C135" s="1"/>
      <c r="D135" s="3" t="s">
        <v>650</v>
      </c>
      <c r="E135" s="3"/>
      <c r="F135" s="3"/>
      <c r="G135" s="357">
        <f>SUM(I135:T135)</f>
        <v>7422.48</v>
      </c>
      <c r="H135" s="160"/>
      <c r="I135" s="43">
        <f aca="true" t="shared" si="209" ref="I135:T135">+AL135</f>
        <v>618.54</v>
      </c>
      <c r="J135" s="43">
        <f t="shared" si="209"/>
        <v>618.54</v>
      </c>
      <c r="K135" s="43">
        <f t="shared" si="209"/>
        <v>618.54</v>
      </c>
      <c r="L135" s="43">
        <f t="shared" si="209"/>
        <v>618.54</v>
      </c>
      <c r="M135" s="43">
        <f t="shared" si="209"/>
        <v>618.54</v>
      </c>
      <c r="N135" s="43">
        <f t="shared" si="209"/>
        <v>618.54</v>
      </c>
      <c r="O135" s="43">
        <f t="shared" si="209"/>
        <v>618.54</v>
      </c>
      <c r="P135" s="43">
        <f t="shared" si="209"/>
        <v>618.54</v>
      </c>
      <c r="Q135" s="43">
        <f t="shared" si="209"/>
        <v>618.54</v>
      </c>
      <c r="R135" s="43">
        <f t="shared" si="209"/>
        <v>618.54</v>
      </c>
      <c r="S135" s="43">
        <f t="shared" si="209"/>
        <v>618.54</v>
      </c>
      <c r="T135" s="43">
        <f t="shared" si="209"/>
        <v>618.54</v>
      </c>
      <c r="U135" s="1"/>
      <c r="V135" s="14"/>
      <c r="AL135" s="358">
        <f aca="true" t="shared" si="210" ref="AL135:AW135">SUM(AL121:AL133)</f>
        <v>618.54</v>
      </c>
      <c r="AM135" s="358">
        <f t="shared" si="210"/>
        <v>618.54</v>
      </c>
      <c r="AN135" s="358">
        <f t="shared" si="210"/>
        <v>618.54</v>
      </c>
      <c r="AO135" s="358">
        <f t="shared" si="210"/>
        <v>618.54</v>
      </c>
      <c r="AP135" s="358">
        <f t="shared" si="210"/>
        <v>618.54</v>
      </c>
      <c r="AQ135" s="358">
        <f t="shared" si="210"/>
        <v>618.54</v>
      </c>
      <c r="AR135" s="358">
        <f t="shared" si="210"/>
        <v>618.54</v>
      </c>
      <c r="AS135" s="358">
        <f t="shared" si="210"/>
        <v>618.54</v>
      </c>
      <c r="AT135" s="358">
        <f t="shared" si="210"/>
        <v>618.54</v>
      </c>
      <c r="AU135" s="358">
        <f t="shared" si="210"/>
        <v>618.54</v>
      </c>
      <c r="AV135" s="358">
        <f t="shared" si="210"/>
        <v>618.54</v>
      </c>
      <c r="AW135" s="358">
        <f t="shared" si="210"/>
        <v>618.54</v>
      </c>
    </row>
    <row r="136" spans="2:22" ht="12.75">
      <c r="B136" s="61"/>
      <c r="C136" s="85"/>
      <c r="D136" s="3"/>
      <c r="E136" s="85"/>
      <c r="F136" s="3" t="s">
        <v>577</v>
      </c>
      <c r="G136" s="357">
        <f>SUM(G134:G135)</f>
        <v>76642.8</v>
      </c>
      <c r="H136" s="160"/>
      <c r="I136" s="83"/>
      <c r="J136" s="83"/>
      <c r="K136" s="23">
        <f>SUM(K121:K133)</f>
        <v>13</v>
      </c>
      <c r="L136" s="83"/>
      <c r="M136" s="83"/>
      <c r="N136" s="83"/>
      <c r="O136" s="83"/>
      <c r="P136" s="83"/>
      <c r="Q136" s="83"/>
      <c r="R136" s="83"/>
      <c r="S136" s="83"/>
      <c r="T136" s="83"/>
      <c r="U136" s="85"/>
      <c r="V136" s="352"/>
    </row>
    <row r="137" spans="2:22" ht="12.75">
      <c r="B137" s="61"/>
      <c r="C137" s="85"/>
      <c r="D137" s="3"/>
      <c r="E137" s="85"/>
      <c r="F137" s="85"/>
      <c r="G137" s="83"/>
      <c r="H137" s="85"/>
      <c r="I137" s="83"/>
      <c r="J137" s="83"/>
      <c r="K137" s="83"/>
      <c r="L137" s="83"/>
      <c r="M137" s="83"/>
      <c r="N137" s="83"/>
      <c r="O137" s="83"/>
      <c r="P137" s="83"/>
      <c r="Q137" s="83"/>
      <c r="R137" s="83"/>
      <c r="S137" s="83"/>
      <c r="T137" s="83"/>
      <c r="U137" s="85"/>
      <c r="V137" s="352"/>
    </row>
    <row r="138" spans="2:22" ht="12.75">
      <c r="B138" s="61"/>
      <c r="C138" s="62"/>
      <c r="D138" s="36"/>
      <c r="E138" s="62"/>
      <c r="F138" s="62"/>
      <c r="G138" s="55"/>
      <c r="H138" s="62"/>
      <c r="U138" s="62"/>
      <c r="V138" s="352"/>
    </row>
    <row r="139" spans="2:22" ht="12.75">
      <c r="B139" s="61"/>
      <c r="C139" s="85"/>
      <c r="D139" s="3"/>
      <c r="E139" s="85"/>
      <c r="F139" s="85"/>
      <c r="G139" s="83"/>
      <c r="H139" s="85"/>
      <c r="I139" s="83"/>
      <c r="J139" s="83"/>
      <c r="K139" s="83"/>
      <c r="L139" s="83"/>
      <c r="M139" s="83"/>
      <c r="N139" s="83"/>
      <c r="O139" s="83"/>
      <c r="P139" s="83"/>
      <c r="Q139" s="83"/>
      <c r="R139" s="83"/>
      <c r="S139" s="83"/>
      <c r="T139" s="83"/>
      <c r="U139" s="85"/>
      <c r="V139" s="352"/>
    </row>
    <row r="140" spans="2:49" ht="12.75">
      <c r="B140" s="61"/>
      <c r="C140" s="85"/>
      <c r="D140" s="2" t="s">
        <v>518</v>
      </c>
      <c r="E140" s="84"/>
      <c r="F140" s="3" t="s">
        <v>704</v>
      </c>
      <c r="G140" s="333" t="str">
        <f>tabel!D2</f>
        <v>2010/11</v>
      </c>
      <c r="H140" s="3"/>
      <c r="I140" s="162" t="s">
        <v>590</v>
      </c>
      <c r="J140" s="162" t="s">
        <v>591</v>
      </c>
      <c r="K140" s="162" t="s">
        <v>592</v>
      </c>
      <c r="L140" s="162" t="s">
        <v>593</v>
      </c>
      <c r="M140" s="162" t="s">
        <v>594</v>
      </c>
      <c r="N140" s="162" t="s">
        <v>588</v>
      </c>
      <c r="O140" s="162" t="s">
        <v>589</v>
      </c>
      <c r="P140" s="162" t="s">
        <v>595</v>
      </c>
      <c r="Q140" s="162" t="s">
        <v>596</v>
      </c>
      <c r="R140" s="162" t="s">
        <v>597</v>
      </c>
      <c r="S140" s="162" t="s">
        <v>598</v>
      </c>
      <c r="T140" s="162" t="s">
        <v>599</v>
      </c>
      <c r="U140" s="1"/>
      <c r="V140" s="352"/>
      <c r="Y140" s="56" t="s">
        <v>590</v>
      </c>
      <c r="Z140" s="56" t="s">
        <v>591</v>
      </c>
      <c r="AA140" s="56" t="s">
        <v>592</v>
      </c>
      <c r="AB140" s="56" t="s">
        <v>593</v>
      </c>
      <c r="AC140" s="105" t="s">
        <v>594</v>
      </c>
      <c r="AD140" s="105" t="s">
        <v>588</v>
      </c>
      <c r="AE140" s="105" t="s">
        <v>589</v>
      </c>
      <c r="AF140" s="105" t="s">
        <v>595</v>
      </c>
      <c r="AG140" s="105" t="s">
        <v>596</v>
      </c>
      <c r="AH140" s="105" t="s">
        <v>597</v>
      </c>
      <c r="AI140" s="105" t="s">
        <v>598</v>
      </c>
      <c r="AJ140" s="105" t="s">
        <v>599</v>
      </c>
      <c r="AL140" s="56" t="s">
        <v>590</v>
      </c>
      <c r="AM140" s="56" t="s">
        <v>591</v>
      </c>
      <c r="AN140" s="56" t="s">
        <v>592</v>
      </c>
      <c r="AO140" s="56" t="s">
        <v>593</v>
      </c>
      <c r="AP140" s="105" t="s">
        <v>594</v>
      </c>
      <c r="AQ140" s="105" t="s">
        <v>588</v>
      </c>
      <c r="AR140" s="105" t="s">
        <v>589</v>
      </c>
      <c r="AS140" s="105" t="s">
        <v>595</v>
      </c>
      <c r="AT140" s="105" t="s">
        <v>596</v>
      </c>
      <c r="AU140" s="105" t="s">
        <v>597</v>
      </c>
      <c r="AV140" s="105" t="s">
        <v>598</v>
      </c>
      <c r="AW140" s="105" t="s">
        <v>599</v>
      </c>
    </row>
    <row r="141" spans="2:49" ht="12.75">
      <c r="B141" s="61"/>
      <c r="C141" s="85"/>
      <c r="D141" s="85"/>
      <c r="E141" s="84"/>
      <c r="F141" s="3"/>
      <c r="G141" s="4"/>
      <c r="H141" s="3"/>
      <c r="I141" s="83"/>
      <c r="J141" s="83"/>
      <c r="K141" s="83"/>
      <c r="L141" s="83"/>
      <c r="M141" s="106"/>
      <c r="N141" s="106"/>
      <c r="O141" s="106"/>
      <c r="P141" s="106"/>
      <c r="Q141" s="106"/>
      <c r="R141" s="106"/>
      <c r="S141" s="106"/>
      <c r="T141" s="106"/>
      <c r="U141" s="1"/>
      <c r="V141" s="352"/>
      <c r="AC141" s="105"/>
      <c r="AD141" s="105"/>
      <c r="AE141" s="105"/>
      <c r="AF141" s="105"/>
      <c r="AG141" s="105"/>
      <c r="AH141" s="105"/>
      <c r="AI141" s="105"/>
      <c r="AJ141" s="105"/>
      <c r="AP141" s="105"/>
      <c r="AQ141" s="105"/>
      <c r="AR141" s="105"/>
      <c r="AS141" s="105"/>
      <c r="AT141" s="105"/>
      <c r="AU141" s="105"/>
      <c r="AV141" s="105"/>
      <c r="AW141" s="105"/>
    </row>
    <row r="142" spans="2:49" ht="12.75">
      <c r="B142" s="61"/>
      <c r="C142" s="85"/>
      <c r="D142" s="85" t="s">
        <v>473</v>
      </c>
      <c r="E142" s="85"/>
      <c r="F142" s="85" t="s">
        <v>661</v>
      </c>
      <c r="G142" s="108">
        <f aca="true" t="shared" si="211" ref="G142:G154">ROUND(SUM(I142:T142)/12,2)</f>
        <v>1</v>
      </c>
      <c r="H142" s="107"/>
      <c r="I142" s="68">
        <v>1</v>
      </c>
      <c r="J142" s="5">
        <f>+I142</f>
        <v>1</v>
      </c>
      <c r="K142" s="5">
        <f aca="true" t="shared" si="212" ref="K142:T142">+J142</f>
        <v>1</v>
      </c>
      <c r="L142" s="5">
        <f t="shared" si="212"/>
        <v>1</v>
      </c>
      <c r="M142" s="5">
        <f t="shared" si="212"/>
        <v>1</v>
      </c>
      <c r="N142" s="5">
        <f t="shared" si="212"/>
        <v>1</v>
      </c>
      <c r="O142" s="5">
        <f t="shared" si="212"/>
        <v>1</v>
      </c>
      <c r="P142" s="5">
        <f t="shared" si="212"/>
        <v>1</v>
      </c>
      <c r="Q142" s="5">
        <f t="shared" si="212"/>
        <v>1</v>
      </c>
      <c r="R142" s="5">
        <f t="shared" si="212"/>
        <v>1</v>
      </c>
      <c r="S142" s="5">
        <f t="shared" si="212"/>
        <v>1</v>
      </c>
      <c r="T142" s="5">
        <f t="shared" si="212"/>
        <v>1</v>
      </c>
      <c r="U142" s="1"/>
      <c r="V142" s="352"/>
      <c r="Y142" s="359">
        <f aca="true" t="shared" si="213" ref="Y142:Y154">ROUND(+I142*1/12*VLOOKUP($D142,LGFPOVO,3,FALSE),2)</f>
        <v>429.99</v>
      </c>
      <c r="Z142" s="359">
        <f aca="true" t="shared" si="214" ref="Z142:Z154">ROUND(+J142*1/12*VLOOKUP($D142,LGFPOVO,3,FALSE),2)</f>
        <v>429.99</v>
      </c>
      <c r="AA142" s="359">
        <f aca="true" t="shared" si="215" ref="AA142:AA154">ROUND(+K142*1/12*VLOOKUP($D142,LGFPOVO,3,FALSE),2)</f>
        <v>429.99</v>
      </c>
      <c r="AB142" s="359">
        <f aca="true" t="shared" si="216" ref="AB142:AB154">ROUND(+L142*1/12*VLOOKUP($D142,LGFPOVO,3,FALSE),2)</f>
        <v>429.99</v>
      </c>
      <c r="AC142" s="359">
        <f aca="true" t="shared" si="217" ref="AC142:AC154">ROUND(+M142*1/12*VLOOKUP($D142,LGFPOVO,3,FALSE),2)</f>
        <v>429.99</v>
      </c>
      <c r="AD142" s="359">
        <f aca="true" t="shared" si="218" ref="AD142:AD154">ROUND(+N142*1/12*VLOOKUP($D142,LGFPOVO,3,FALSE),2)</f>
        <v>429.99</v>
      </c>
      <c r="AE142" s="359">
        <f aca="true" t="shared" si="219" ref="AE142:AE154">ROUND(+O142*1/12*VLOOKUP($D142,LGFPOVO,3,FALSE),2)</f>
        <v>429.99</v>
      </c>
      <c r="AF142" s="359">
        <f aca="true" t="shared" si="220" ref="AF142:AF154">ROUND(+P142*1/12*VLOOKUP($D142,LGFPOVO,3,FALSE),2)</f>
        <v>429.99</v>
      </c>
      <c r="AG142" s="359">
        <f aca="true" t="shared" si="221" ref="AG142:AG154">ROUND(+Q142*1/12*VLOOKUP($D142,LGFPOVO,3,FALSE),2)</f>
        <v>429.99</v>
      </c>
      <c r="AH142" s="359">
        <f aca="true" t="shared" si="222" ref="AH142:AH154">ROUND(+R142*1/12*VLOOKUP($D142,LGFPOVO,3,FALSE),2)</f>
        <v>429.99</v>
      </c>
      <c r="AI142" s="359">
        <f aca="true" t="shared" si="223" ref="AI142:AI154">ROUND(+S142*1/12*VLOOKUP($D142,LGFPOVO,3,FALSE),2)</f>
        <v>429.99</v>
      </c>
      <c r="AJ142" s="359">
        <f aca="true" t="shared" si="224" ref="AJ142:AJ154">ROUND(+T142*1/12*VLOOKUP($D142,LGFPOVO,3,FALSE),2)</f>
        <v>429.99</v>
      </c>
      <c r="AL142" s="359">
        <f aca="true" t="shared" si="225" ref="AL142:AL154">ROUND(+I142*1/12*VLOOKUP($D142,LGFPOVO,5,FALSE),2)</f>
        <v>46.58</v>
      </c>
      <c r="AM142" s="359">
        <f aca="true" t="shared" si="226" ref="AM142:AM154">ROUND(+J142*1/12*VLOOKUP($D142,LGFPOVO,5,FALSE),2)</f>
        <v>46.58</v>
      </c>
      <c r="AN142" s="359">
        <f aca="true" t="shared" si="227" ref="AN142:AN154">ROUND(+K142*1/12*VLOOKUP($D142,LGFPOVO,5,FALSE),2)</f>
        <v>46.58</v>
      </c>
      <c r="AO142" s="359">
        <f aca="true" t="shared" si="228" ref="AO142:AO154">ROUND(+L142*1/12*VLOOKUP($D142,LGFPOVO,5,FALSE),2)</f>
        <v>46.58</v>
      </c>
      <c r="AP142" s="359">
        <f aca="true" t="shared" si="229" ref="AP142:AP154">ROUND(+M142*1/12*VLOOKUP($D142,LGFPOVO,5,FALSE),2)</f>
        <v>46.58</v>
      </c>
      <c r="AQ142" s="359">
        <f aca="true" t="shared" si="230" ref="AQ142:AQ154">ROUND(+N142*1/12*VLOOKUP($D142,LGFPOVO,5,FALSE),2)</f>
        <v>46.58</v>
      </c>
      <c r="AR142" s="359">
        <f aca="true" t="shared" si="231" ref="AR142:AR154">ROUND(+O142*1/12*VLOOKUP($D142,LGFPOVO,5,FALSE),2)</f>
        <v>46.58</v>
      </c>
      <c r="AS142" s="359">
        <f aca="true" t="shared" si="232" ref="AS142:AS154">ROUND(+P142*1/12*VLOOKUP($D142,LGFPOVO,5,FALSE),2)</f>
        <v>46.58</v>
      </c>
      <c r="AT142" s="359">
        <f aca="true" t="shared" si="233" ref="AT142:AT154">ROUND(+Q142*1/12*VLOOKUP($D142,LGFPOVO,5,FALSE),2)</f>
        <v>46.58</v>
      </c>
      <c r="AU142" s="359">
        <f aca="true" t="shared" si="234" ref="AU142:AU154">ROUND(+R142*1/12*VLOOKUP($D142,LGFPOVO,5,FALSE),2)</f>
        <v>46.58</v>
      </c>
      <c r="AV142" s="359">
        <f aca="true" t="shared" si="235" ref="AV142:AV154">ROUND(+S142*1/12*VLOOKUP($D142,LGFPOVO,5,FALSE),2)</f>
        <v>46.58</v>
      </c>
      <c r="AW142" s="359">
        <f aca="true" t="shared" si="236" ref="AW142:AW154">ROUND(+T142*1/12*VLOOKUP($D142,LGFPOVO,5,FALSE),2)</f>
        <v>46.58</v>
      </c>
    </row>
    <row r="143" spans="2:49" ht="12.75">
      <c r="B143" s="61"/>
      <c r="C143" s="85"/>
      <c r="D143" s="85" t="s">
        <v>474</v>
      </c>
      <c r="E143" s="85"/>
      <c r="F143" s="85" t="s">
        <v>661</v>
      </c>
      <c r="G143" s="108">
        <f t="shared" si="211"/>
        <v>1</v>
      </c>
      <c r="H143" s="107"/>
      <c r="I143" s="68">
        <v>1</v>
      </c>
      <c r="J143" s="5">
        <f aca="true" t="shared" si="237" ref="J143:T143">+I143</f>
        <v>1</v>
      </c>
      <c r="K143" s="5">
        <f t="shared" si="237"/>
        <v>1</v>
      </c>
      <c r="L143" s="5">
        <f t="shared" si="237"/>
        <v>1</v>
      </c>
      <c r="M143" s="5">
        <f t="shared" si="237"/>
        <v>1</v>
      </c>
      <c r="N143" s="5">
        <f t="shared" si="237"/>
        <v>1</v>
      </c>
      <c r="O143" s="5">
        <f t="shared" si="237"/>
        <v>1</v>
      </c>
      <c r="P143" s="5">
        <f t="shared" si="237"/>
        <v>1</v>
      </c>
      <c r="Q143" s="5">
        <f t="shared" si="237"/>
        <v>1</v>
      </c>
      <c r="R143" s="5">
        <f t="shared" si="237"/>
        <v>1</v>
      </c>
      <c r="S143" s="5">
        <f t="shared" si="237"/>
        <v>1</v>
      </c>
      <c r="T143" s="5">
        <f t="shared" si="237"/>
        <v>1</v>
      </c>
      <c r="U143" s="1"/>
      <c r="V143" s="352"/>
      <c r="Y143" s="359">
        <f t="shared" si="213"/>
        <v>278.11</v>
      </c>
      <c r="Z143" s="359">
        <f t="shared" si="214"/>
        <v>278.11</v>
      </c>
      <c r="AA143" s="359">
        <f t="shared" si="215"/>
        <v>278.11</v>
      </c>
      <c r="AB143" s="359">
        <f t="shared" si="216"/>
        <v>278.11</v>
      </c>
      <c r="AC143" s="359">
        <f t="shared" si="217"/>
        <v>278.11</v>
      </c>
      <c r="AD143" s="359">
        <f t="shared" si="218"/>
        <v>278.11</v>
      </c>
      <c r="AE143" s="359">
        <f t="shared" si="219"/>
        <v>278.11</v>
      </c>
      <c r="AF143" s="359">
        <f t="shared" si="220"/>
        <v>278.11</v>
      </c>
      <c r="AG143" s="359">
        <f t="shared" si="221"/>
        <v>278.11</v>
      </c>
      <c r="AH143" s="359">
        <f t="shared" si="222"/>
        <v>278.11</v>
      </c>
      <c r="AI143" s="359">
        <f t="shared" si="223"/>
        <v>278.11</v>
      </c>
      <c r="AJ143" s="359">
        <f t="shared" si="224"/>
        <v>278.11</v>
      </c>
      <c r="AL143" s="359">
        <f t="shared" si="225"/>
        <v>18</v>
      </c>
      <c r="AM143" s="359">
        <f t="shared" si="226"/>
        <v>18</v>
      </c>
      <c r="AN143" s="359">
        <f t="shared" si="227"/>
        <v>18</v>
      </c>
      <c r="AO143" s="359">
        <f t="shared" si="228"/>
        <v>18</v>
      </c>
      <c r="AP143" s="359">
        <f t="shared" si="229"/>
        <v>18</v>
      </c>
      <c r="AQ143" s="359">
        <f t="shared" si="230"/>
        <v>18</v>
      </c>
      <c r="AR143" s="359">
        <f t="shared" si="231"/>
        <v>18</v>
      </c>
      <c r="AS143" s="359">
        <f t="shared" si="232"/>
        <v>18</v>
      </c>
      <c r="AT143" s="359">
        <f t="shared" si="233"/>
        <v>18</v>
      </c>
      <c r="AU143" s="359">
        <f t="shared" si="234"/>
        <v>18</v>
      </c>
      <c r="AV143" s="359">
        <f t="shared" si="235"/>
        <v>18</v>
      </c>
      <c r="AW143" s="359">
        <f t="shared" si="236"/>
        <v>18</v>
      </c>
    </row>
    <row r="144" spans="2:49" ht="12.75">
      <c r="B144" s="61"/>
      <c r="C144" s="85"/>
      <c r="D144" s="85" t="s">
        <v>475</v>
      </c>
      <c r="E144" s="85"/>
      <c r="F144" s="85" t="s">
        <v>661</v>
      </c>
      <c r="G144" s="108">
        <f t="shared" si="211"/>
        <v>1</v>
      </c>
      <c r="H144" s="107"/>
      <c r="I144" s="68">
        <v>1</v>
      </c>
      <c r="J144" s="5">
        <f aca="true" t="shared" si="238" ref="J144:T144">+I144</f>
        <v>1</v>
      </c>
      <c r="K144" s="5">
        <f t="shared" si="238"/>
        <v>1</v>
      </c>
      <c r="L144" s="5">
        <f t="shared" si="238"/>
        <v>1</v>
      </c>
      <c r="M144" s="5">
        <f t="shared" si="238"/>
        <v>1</v>
      </c>
      <c r="N144" s="5">
        <f t="shared" si="238"/>
        <v>1</v>
      </c>
      <c r="O144" s="5">
        <f t="shared" si="238"/>
        <v>1</v>
      </c>
      <c r="P144" s="5">
        <f t="shared" si="238"/>
        <v>1</v>
      </c>
      <c r="Q144" s="5">
        <f t="shared" si="238"/>
        <v>1</v>
      </c>
      <c r="R144" s="5">
        <f t="shared" si="238"/>
        <v>1</v>
      </c>
      <c r="S144" s="5">
        <f t="shared" si="238"/>
        <v>1</v>
      </c>
      <c r="T144" s="5">
        <f t="shared" si="238"/>
        <v>1</v>
      </c>
      <c r="U144" s="1"/>
      <c r="V144" s="352"/>
      <c r="Y144" s="359">
        <f t="shared" si="213"/>
        <v>0</v>
      </c>
      <c r="Z144" s="359">
        <f t="shared" si="214"/>
        <v>0</v>
      </c>
      <c r="AA144" s="359">
        <f t="shared" si="215"/>
        <v>0</v>
      </c>
      <c r="AB144" s="359">
        <f t="shared" si="216"/>
        <v>0</v>
      </c>
      <c r="AC144" s="359">
        <f t="shared" si="217"/>
        <v>0</v>
      </c>
      <c r="AD144" s="359">
        <f t="shared" si="218"/>
        <v>0</v>
      </c>
      <c r="AE144" s="359">
        <f t="shared" si="219"/>
        <v>0</v>
      </c>
      <c r="AF144" s="359">
        <f t="shared" si="220"/>
        <v>0</v>
      </c>
      <c r="AG144" s="359">
        <f t="shared" si="221"/>
        <v>0</v>
      </c>
      <c r="AH144" s="359">
        <f t="shared" si="222"/>
        <v>0</v>
      </c>
      <c r="AI144" s="359">
        <f t="shared" si="223"/>
        <v>0</v>
      </c>
      <c r="AJ144" s="359">
        <f t="shared" si="224"/>
        <v>0</v>
      </c>
      <c r="AL144" s="359">
        <f t="shared" si="225"/>
        <v>0</v>
      </c>
      <c r="AM144" s="359">
        <f t="shared" si="226"/>
        <v>0</v>
      </c>
      <c r="AN144" s="359">
        <f t="shared" si="227"/>
        <v>0</v>
      </c>
      <c r="AO144" s="359">
        <f t="shared" si="228"/>
        <v>0</v>
      </c>
      <c r="AP144" s="359">
        <f t="shared" si="229"/>
        <v>0</v>
      </c>
      <c r="AQ144" s="359">
        <f t="shared" si="230"/>
        <v>0</v>
      </c>
      <c r="AR144" s="359">
        <f t="shared" si="231"/>
        <v>0</v>
      </c>
      <c r="AS144" s="359">
        <f t="shared" si="232"/>
        <v>0</v>
      </c>
      <c r="AT144" s="359">
        <f t="shared" si="233"/>
        <v>0</v>
      </c>
      <c r="AU144" s="359">
        <f t="shared" si="234"/>
        <v>0</v>
      </c>
      <c r="AV144" s="359">
        <f t="shared" si="235"/>
        <v>0</v>
      </c>
      <c r="AW144" s="359">
        <f t="shared" si="236"/>
        <v>0</v>
      </c>
    </row>
    <row r="145" spans="2:49" ht="12.75">
      <c r="B145" s="61"/>
      <c r="C145" s="85"/>
      <c r="D145" s="85" t="s">
        <v>476</v>
      </c>
      <c r="E145" s="85"/>
      <c r="F145" s="85" t="s">
        <v>661</v>
      </c>
      <c r="G145" s="108">
        <f t="shared" si="211"/>
        <v>1</v>
      </c>
      <c r="H145" s="107"/>
      <c r="I145" s="68">
        <v>1</v>
      </c>
      <c r="J145" s="5">
        <f aca="true" t="shared" si="239" ref="J145:T145">+I145</f>
        <v>1</v>
      </c>
      <c r="K145" s="5">
        <f t="shared" si="239"/>
        <v>1</v>
      </c>
      <c r="L145" s="5">
        <f t="shared" si="239"/>
        <v>1</v>
      </c>
      <c r="M145" s="5">
        <f t="shared" si="239"/>
        <v>1</v>
      </c>
      <c r="N145" s="5">
        <f t="shared" si="239"/>
        <v>1</v>
      </c>
      <c r="O145" s="5">
        <f t="shared" si="239"/>
        <v>1</v>
      </c>
      <c r="P145" s="5">
        <f t="shared" si="239"/>
        <v>1</v>
      </c>
      <c r="Q145" s="5">
        <f t="shared" si="239"/>
        <v>1</v>
      </c>
      <c r="R145" s="5">
        <f t="shared" si="239"/>
        <v>1</v>
      </c>
      <c r="S145" s="5">
        <f t="shared" si="239"/>
        <v>1</v>
      </c>
      <c r="T145" s="5">
        <f t="shared" si="239"/>
        <v>1</v>
      </c>
      <c r="U145" s="1"/>
      <c r="V145" s="352"/>
      <c r="Y145" s="359">
        <f t="shared" si="213"/>
        <v>429.99</v>
      </c>
      <c r="Z145" s="359">
        <f t="shared" si="214"/>
        <v>429.99</v>
      </c>
      <c r="AA145" s="359">
        <f t="shared" si="215"/>
        <v>429.99</v>
      </c>
      <c r="AB145" s="359">
        <f t="shared" si="216"/>
        <v>429.99</v>
      </c>
      <c r="AC145" s="359">
        <f t="shared" si="217"/>
        <v>429.99</v>
      </c>
      <c r="AD145" s="359">
        <f t="shared" si="218"/>
        <v>429.99</v>
      </c>
      <c r="AE145" s="359">
        <f t="shared" si="219"/>
        <v>429.99</v>
      </c>
      <c r="AF145" s="359">
        <f t="shared" si="220"/>
        <v>429.99</v>
      </c>
      <c r="AG145" s="359">
        <f t="shared" si="221"/>
        <v>429.99</v>
      </c>
      <c r="AH145" s="359">
        <f t="shared" si="222"/>
        <v>429.99</v>
      </c>
      <c r="AI145" s="359">
        <f t="shared" si="223"/>
        <v>429.99</v>
      </c>
      <c r="AJ145" s="359">
        <f t="shared" si="224"/>
        <v>429.99</v>
      </c>
      <c r="AL145" s="359">
        <f t="shared" si="225"/>
        <v>39.08</v>
      </c>
      <c r="AM145" s="359">
        <f t="shared" si="226"/>
        <v>39.08</v>
      </c>
      <c r="AN145" s="359">
        <f t="shared" si="227"/>
        <v>39.08</v>
      </c>
      <c r="AO145" s="359">
        <f t="shared" si="228"/>
        <v>39.08</v>
      </c>
      <c r="AP145" s="359">
        <f t="shared" si="229"/>
        <v>39.08</v>
      </c>
      <c r="AQ145" s="359">
        <f t="shared" si="230"/>
        <v>39.08</v>
      </c>
      <c r="AR145" s="359">
        <f t="shared" si="231"/>
        <v>39.08</v>
      </c>
      <c r="AS145" s="359">
        <f t="shared" si="232"/>
        <v>39.08</v>
      </c>
      <c r="AT145" s="359">
        <f t="shared" si="233"/>
        <v>39.08</v>
      </c>
      <c r="AU145" s="359">
        <f t="shared" si="234"/>
        <v>39.08</v>
      </c>
      <c r="AV145" s="359">
        <f t="shared" si="235"/>
        <v>39.08</v>
      </c>
      <c r="AW145" s="359">
        <f t="shared" si="236"/>
        <v>39.08</v>
      </c>
    </row>
    <row r="146" spans="2:49" ht="12.75">
      <c r="B146" s="61"/>
      <c r="C146" s="85"/>
      <c r="D146" s="85" t="s">
        <v>478</v>
      </c>
      <c r="E146" s="85"/>
      <c r="F146" s="85" t="s">
        <v>661</v>
      </c>
      <c r="G146" s="108">
        <f t="shared" si="211"/>
        <v>1</v>
      </c>
      <c r="H146" s="107"/>
      <c r="I146" s="68">
        <v>1</v>
      </c>
      <c r="J146" s="5">
        <f aca="true" t="shared" si="240" ref="J146:T146">+I146</f>
        <v>1</v>
      </c>
      <c r="K146" s="5">
        <f t="shared" si="240"/>
        <v>1</v>
      </c>
      <c r="L146" s="5">
        <f t="shared" si="240"/>
        <v>1</v>
      </c>
      <c r="M146" s="5">
        <f t="shared" si="240"/>
        <v>1</v>
      </c>
      <c r="N146" s="5">
        <f t="shared" si="240"/>
        <v>1</v>
      </c>
      <c r="O146" s="5">
        <f t="shared" si="240"/>
        <v>1</v>
      </c>
      <c r="P146" s="5">
        <f t="shared" si="240"/>
        <v>1</v>
      </c>
      <c r="Q146" s="5">
        <f t="shared" si="240"/>
        <v>1</v>
      </c>
      <c r="R146" s="5">
        <f t="shared" si="240"/>
        <v>1</v>
      </c>
      <c r="S146" s="5">
        <f t="shared" si="240"/>
        <v>1</v>
      </c>
      <c r="T146" s="5">
        <f t="shared" si="240"/>
        <v>1</v>
      </c>
      <c r="U146" s="1"/>
      <c r="V146" s="352"/>
      <c r="Y146" s="359">
        <f t="shared" si="213"/>
        <v>278.11</v>
      </c>
      <c r="Z146" s="359">
        <f t="shared" si="214"/>
        <v>278.11</v>
      </c>
      <c r="AA146" s="359">
        <f t="shared" si="215"/>
        <v>278.11</v>
      </c>
      <c r="AB146" s="359">
        <f t="shared" si="216"/>
        <v>278.11</v>
      </c>
      <c r="AC146" s="359">
        <f t="shared" si="217"/>
        <v>278.11</v>
      </c>
      <c r="AD146" s="359">
        <f t="shared" si="218"/>
        <v>278.11</v>
      </c>
      <c r="AE146" s="359">
        <f t="shared" si="219"/>
        <v>278.11</v>
      </c>
      <c r="AF146" s="359">
        <f t="shared" si="220"/>
        <v>278.11</v>
      </c>
      <c r="AG146" s="359">
        <f t="shared" si="221"/>
        <v>278.11</v>
      </c>
      <c r="AH146" s="359">
        <f t="shared" si="222"/>
        <v>278.11</v>
      </c>
      <c r="AI146" s="359">
        <f t="shared" si="223"/>
        <v>278.11</v>
      </c>
      <c r="AJ146" s="359">
        <f t="shared" si="224"/>
        <v>278.11</v>
      </c>
      <c r="AL146" s="359">
        <f t="shared" si="225"/>
        <v>22.83</v>
      </c>
      <c r="AM146" s="359">
        <f t="shared" si="226"/>
        <v>22.83</v>
      </c>
      <c r="AN146" s="359">
        <f t="shared" si="227"/>
        <v>22.83</v>
      </c>
      <c r="AO146" s="359">
        <f t="shared" si="228"/>
        <v>22.83</v>
      </c>
      <c r="AP146" s="359">
        <f t="shared" si="229"/>
        <v>22.83</v>
      </c>
      <c r="AQ146" s="359">
        <f t="shared" si="230"/>
        <v>22.83</v>
      </c>
      <c r="AR146" s="359">
        <f t="shared" si="231"/>
        <v>22.83</v>
      </c>
      <c r="AS146" s="359">
        <f t="shared" si="232"/>
        <v>22.83</v>
      </c>
      <c r="AT146" s="359">
        <f t="shared" si="233"/>
        <v>22.83</v>
      </c>
      <c r="AU146" s="359">
        <f t="shared" si="234"/>
        <v>22.83</v>
      </c>
      <c r="AV146" s="359">
        <f t="shared" si="235"/>
        <v>22.83</v>
      </c>
      <c r="AW146" s="359">
        <f t="shared" si="236"/>
        <v>22.83</v>
      </c>
    </row>
    <row r="147" spans="2:49" ht="12.75">
      <c r="B147" s="61"/>
      <c r="C147" s="85"/>
      <c r="D147" s="85" t="s">
        <v>479</v>
      </c>
      <c r="E147" s="85"/>
      <c r="F147" s="85" t="s">
        <v>661</v>
      </c>
      <c r="G147" s="108">
        <f t="shared" si="211"/>
        <v>1</v>
      </c>
      <c r="H147" s="107"/>
      <c r="I147" s="68">
        <v>1</v>
      </c>
      <c r="J147" s="5">
        <f aca="true" t="shared" si="241" ref="J147:T147">+I147</f>
        <v>1</v>
      </c>
      <c r="K147" s="5">
        <f t="shared" si="241"/>
        <v>1</v>
      </c>
      <c r="L147" s="5">
        <f t="shared" si="241"/>
        <v>1</v>
      </c>
      <c r="M147" s="5">
        <f t="shared" si="241"/>
        <v>1</v>
      </c>
      <c r="N147" s="5">
        <f t="shared" si="241"/>
        <v>1</v>
      </c>
      <c r="O147" s="5">
        <f t="shared" si="241"/>
        <v>1</v>
      </c>
      <c r="P147" s="5">
        <f t="shared" si="241"/>
        <v>1</v>
      </c>
      <c r="Q147" s="5">
        <f t="shared" si="241"/>
        <v>1</v>
      </c>
      <c r="R147" s="5">
        <f t="shared" si="241"/>
        <v>1</v>
      </c>
      <c r="S147" s="5">
        <f t="shared" si="241"/>
        <v>1</v>
      </c>
      <c r="T147" s="5">
        <f t="shared" si="241"/>
        <v>1</v>
      </c>
      <c r="U147" s="1"/>
      <c r="V147" s="352"/>
      <c r="Y147" s="359">
        <f t="shared" si="213"/>
        <v>278.11</v>
      </c>
      <c r="Z147" s="359">
        <f t="shared" si="214"/>
        <v>278.11</v>
      </c>
      <c r="AA147" s="359">
        <f t="shared" si="215"/>
        <v>278.11</v>
      </c>
      <c r="AB147" s="359">
        <f t="shared" si="216"/>
        <v>278.11</v>
      </c>
      <c r="AC147" s="359">
        <f t="shared" si="217"/>
        <v>278.11</v>
      </c>
      <c r="AD147" s="359">
        <f t="shared" si="218"/>
        <v>278.11</v>
      </c>
      <c r="AE147" s="359">
        <f t="shared" si="219"/>
        <v>278.11</v>
      </c>
      <c r="AF147" s="359">
        <f t="shared" si="220"/>
        <v>278.11</v>
      </c>
      <c r="AG147" s="359">
        <f t="shared" si="221"/>
        <v>278.11</v>
      </c>
      <c r="AH147" s="359">
        <f t="shared" si="222"/>
        <v>278.11</v>
      </c>
      <c r="AI147" s="359">
        <f t="shared" si="223"/>
        <v>278.11</v>
      </c>
      <c r="AJ147" s="359">
        <f t="shared" si="224"/>
        <v>278.11</v>
      </c>
      <c r="AL147" s="359">
        <f t="shared" si="225"/>
        <v>22.83</v>
      </c>
      <c r="AM147" s="359">
        <f t="shared" si="226"/>
        <v>22.83</v>
      </c>
      <c r="AN147" s="359">
        <f t="shared" si="227"/>
        <v>22.83</v>
      </c>
      <c r="AO147" s="359">
        <f t="shared" si="228"/>
        <v>22.83</v>
      </c>
      <c r="AP147" s="359">
        <f t="shared" si="229"/>
        <v>22.83</v>
      </c>
      <c r="AQ147" s="359">
        <f t="shared" si="230"/>
        <v>22.83</v>
      </c>
      <c r="AR147" s="359">
        <f t="shared" si="231"/>
        <v>22.83</v>
      </c>
      <c r="AS147" s="359">
        <f t="shared" si="232"/>
        <v>22.83</v>
      </c>
      <c r="AT147" s="359">
        <f t="shared" si="233"/>
        <v>22.83</v>
      </c>
      <c r="AU147" s="359">
        <f t="shared" si="234"/>
        <v>22.83</v>
      </c>
      <c r="AV147" s="359">
        <f t="shared" si="235"/>
        <v>22.83</v>
      </c>
      <c r="AW147" s="359">
        <f t="shared" si="236"/>
        <v>22.83</v>
      </c>
    </row>
    <row r="148" spans="2:49" ht="12.75">
      <c r="B148" s="61"/>
      <c r="C148" s="85"/>
      <c r="D148" s="85" t="s">
        <v>477</v>
      </c>
      <c r="E148" s="85"/>
      <c r="F148" s="85" t="s">
        <v>661</v>
      </c>
      <c r="G148" s="108">
        <f t="shared" si="211"/>
        <v>1</v>
      </c>
      <c r="H148" s="107"/>
      <c r="I148" s="68">
        <v>1</v>
      </c>
      <c r="J148" s="5">
        <f aca="true" t="shared" si="242" ref="J148:T148">+I148</f>
        <v>1</v>
      </c>
      <c r="K148" s="5">
        <f t="shared" si="242"/>
        <v>1</v>
      </c>
      <c r="L148" s="5">
        <f t="shared" si="242"/>
        <v>1</v>
      </c>
      <c r="M148" s="5">
        <f t="shared" si="242"/>
        <v>1</v>
      </c>
      <c r="N148" s="5">
        <f t="shared" si="242"/>
        <v>1</v>
      </c>
      <c r="O148" s="5">
        <f t="shared" si="242"/>
        <v>1</v>
      </c>
      <c r="P148" s="5">
        <f t="shared" si="242"/>
        <v>1</v>
      </c>
      <c r="Q148" s="5">
        <f t="shared" si="242"/>
        <v>1</v>
      </c>
      <c r="R148" s="5">
        <f t="shared" si="242"/>
        <v>1</v>
      </c>
      <c r="S148" s="5">
        <f t="shared" si="242"/>
        <v>1</v>
      </c>
      <c r="T148" s="5">
        <f t="shared" si="242"/>
        <v>1</v>
      </c>
      <c r="U148" s="1"/>
      <c r="V148" s="352"/>
      <c r="Y148" s="359">
        <f t="shared" si="213"/>
        <v>278.11</v>
      </c>
      <c r="Z148" s="359">
        <f t="shared" si="214"/>
        <v>278.11</v>
      </c>
      <c r="AA148" s="359">
        <f t="shared" si="215"/>
        <v>278.11</v>
      </c>
      <c r="AB148" s="359">
        <f t="shared" si="216"/>
        <v>278.11</v>
      </c>
      <c r="AC148" s="359">
        <f t="shared" si="217"/>
        <v>278.11</v>
      </c>
      <c r="AD148" s="359">
        <f t="shared" si="218"/>
        <v>278.11</v>
      </c>
      <c r="AE148" s="359">
        <f t="shared" si="219"/>
        <v>278.11</v>
      </c>
      <c r="AF148" s="359">
        <f t="shared" si="220"/>
        <v>278.11</v>
      </c>
      <c r="AG148" s="359">
        <f t="shared" si="221"/>
        <v>278.11</v>
      </c>
      <c r="AH148" s="359">
        <f t="shared" si="222"/>
        <v>278.11</v>
      </c>
      <c r="AI148" s="359">
        <f t="shared" si="223"/>
        <v>278.11</v>
      </c>
      <c r="AJ148" s="359">
        <f t="shared" si="224"/>
        <v>278.11</v>
      </c>
      <c r="AL148" s="359">
        <f t="shared" si="225"/>
        <v>12.42</v>
      </c>
      <c r="AM148" s="359">
        <f t="shared" si="226"/>
        <v>12.42</v>
      </c>
      <c r="AN148" s="359">
        <f t="shared" si="227"/>
        <v>12.42</v>
      </c>
      <c r="AO148" s="359">
        <f t="shared" si="228"/>
        <v>12.42</v>
      </c>
      <c r="AP148" s="359">
        <f t="shared" si="229"/>
        <v>12.42</v>
      </c>
      <c r="AQ148" s="359">
        <f t="shared" si="230"/>
        <v>12.42</v>
      </c>
      <c r="AR148" s="359">
        <f t="shared" si="231"/>
        <v>12.42</v>
      </c>
      <c r="AS148" s="359">
        <f t="shared" si="232"/>
        <v>12.42</v>
      </c>
      <c r="AT148" s="359">
        <f t="shared" si="233"/>
        <v>12.42</v>
      </c>
      <c r="AU148" s="359">
        <f t="shared" si="234"/>
        <v>12.42</v>
      </c>
      <c r="AV148" s="359">
        <f t="shared" si="235"/>
        <v>12.42</v>
      </c>
      <c r="AW148" s="359">
        <f t="shared" si="236"/>
        <v>12.42</v>
      </c>
    </row>
    <row r="149" spans="2:49" ht="12.75">
      <c r="B149" s="61"/>
      <c r="C149" s="85"/>
      <c r="D149" s="85" t="s">
        <v>480</v>
      </c>
      <c r="E149" s="85"/>
      <c r="F149" s="85" t="s">
        <v>661</v>
      </c>
      <c r="G149" s="108">
        <f t="shared" si="211"/>
        <v>1</v>
      </c>
      <c r="H149" s="107"/>
      <c r="I149" s="68">
        <v>1</v>
      </c>
      <c r="J149" s="5">
        <f aca="true" t="shared" si="243" ref="J149:T149">+I149</f>
        <v>1</v>
      </c>
      <c r="K149" s="5">
        <f t="shared" si="243"/>
        <v>1</v>
      </c>
      <c r="L149" s="5">
        <f t="shared" si="243"/>
        <v>1</v>
      </c>
      <c r="M149" s="5">
        <f t="shared" si="243"/>
        <v>1</v>
      </c>
      <c r="N149" s="5">
        <f t="shared" si="243"/>
        <v>1</v>
      </c>
      <c r="O149" s="5">
        <f t="shared" si="243"/>
        <v>1</v>
      </c>
      <c r="P149" s="5">
        <f t="shared" si="243"/>
        <v>1</v>
      </c>
      <c r="Q149" s="5">
        <f t="shared" si="243"/>
        <v>1</v>
      </c>
      <c r="R149" s="5">
        <f t="shared" si="243"/>
        <v>1</v>
      </c>
      <c r="S149" s="5">
        <f t="shared" si="243"/>
        <v>1</v>
      </c>
      <c r="T149" s="5">
        <f t="shared" si="243"/>
        <v>1</v>
      </c>
      <c r="U149" s="1"/>
      <c r="V149" s="352"/>
      <c r="Y149" s="359">
        <f t="shared" si="213"/>
        <v>278.11</v>
      </c>
      <c r="Z149" s="359">
        <f t="shared" si="214"/>
        <v>278.11</v>
      </c>
      <c r="AA149" s="359">
        <f t="shared" si="215"/>
        <v>278.11</v>
      </c>
      <c r="AB149" s="359">
        <f t="shared" si="216"/>
        <v>278.11</v>
      </c>
      <c r="AC149" s="359">
        <f t="shared" si="217"/>
        <v>278.11</v>
      </c>
      <c r="AD149" s="359">
        <f t="shared" si="218"/>
        <v>278.11</v>
      </c>
      <c r="AE149" s="359">
        <f t="shared" si="219"/>
        <v>278.11</v>
      </c>
      <c r="AF149" s="359">
        <f t="shared" si="220"/>
        <v>278.11</v>
      </c>
      <c r="AG149" s="359">
        <f t="shared" si="221"/>
        <v>278.11</v>
      </c>
      <c r="AH149" s="359">
        <f t="shared" si="222"/>
        <v>278.11</v>
      </c>
      <c r="AI149" s="359">
        <f t="shared" si="223"/>
        <v>278.11</v>
      </c>
      <c r="AJ149" s="359">
        <f t="shared" si="224"/>
        <v>278.11</v>
      </c>
      <c r="AL149" s="359">
        <f t="shared" si="225"/>
        <v>22.83</v>
      </c>
      <c r="AM149" s="359">
        <f t="shared" si="226"/>
        <v>22.83</v>
      </c>
      <c r="AN149" s="359">
        <f t="shared" si="227"/>
        <v>22.83</v>
      </c>
      <c r="AO149" s="359">
        <f t="shared" si="228"/>
        <v>22.83</v>
      </c>
      <c r="AP149" s="359">
        <f t="shared" si="229"/>
        <v>22.83</v>
      </c>
      <c r="AQ149" s="359">
        <f t="shared" si="230"/>
        <v>22.83</v>
      </c>
      <c r="AR149" s="359">
        <f t="shared" si="231"/>
        <v>22.83</v>
      </c>
      <c r="AS149" s="359">
        <f t="shared" si="232"/>
        <v>22.83</v>
      </c>
      <c r="AT149" s="359">
        <f t="shared" si="233"/>
        <v>22.83</v>
      </c>
      <c r="AU149" s="359">
        <f t="shared" si="234"/>
        <v>22.83</v>
      </c>
      <c r="AV149" s="359">
        <f t="shared" si="235"/>
        <v>22.83</v>
      </c>
      <c r="AW149" s="359">
        <f t="shared" si="236"/>
        <v>22.83</v>
      </c>
    </row>
    <row r="150" spans="2:49" ht="12.75">
      <c r="B150" s="61"/>
      <c r="C150" s="85"/>
      <c r="D150" s="85" t="s">
        <v>481</v>
      </c>
      <c r="E150" s="85"/>
      <c r="F150" s="85" t="s">
        <v>661</v>
      </c>
      <c r="G150" s="108">
        <f t="shared" si="211"/>
        <v>1</v>
      </c>
      <c r="H150" s="107"/>
      <c r="I150" s="68">
        <v>1</v>
      </c>
      <c r="J150" s="5">
        <f aca="true" t="shared" si="244" ref="J150:T150">+I150</f>
        <v>1</v>
      </c>
      <c r="K150" s="5">
        <f t="shared" si="244"/>
        <v>1</v>
      </c>
      <c r="L150" s="5">
        <f t="shared" si="244"/>
        <v>1</v>
      </c>
      <c r="M150" s="5">
        <f t="shared" si="244"/>
        <v>1</v>
      </c>
      <c r="N150" s="5">
        <f t="shared" si="244"/>
        <v>1</v>
      </c>
      <c r="O150" s="5">
        <f t="shared" si="244"/>
        <v>1</v>
      </c>
      <c r="P150" s="5">
        <f t="shared" si="244"/>
        <v>1</v>
      </c>
      <c r="Q150" s="5">
        <f t="shared" si="244"/>
        <v>1</v>
      </c>
      <c r="R150" s="5">
        <f t="shared" si="244"/>
        <v>1</v>
      </c>
      <c r="S150" s="5">
        <f t="shared" si="244"/>
        <v>1</v>
      </c>
      <c r="T150" s="5">
        <f t="shared" si="244"/>
        <v>1</v>
      </c>
      <c r="U150" s="1"/>
      <c r="V150" s="352"/>
      <c r="Y150" s="359">
        <f t="shared" si="213"/>
        <v>278.11</v>
      </c>
      <c r="Z150" s="359">
        <f t="shared" si="214"/>
        <v>278.11</v>
      </c>
      <c r="AA150" s="359">
        <f t="shared" si="215"/>
        <v>278.11</v>
      </c>
      <c r="AB150" s="359">
        <f t="shared" si="216"/>
        <v>278.11</v>
      </c>
      <c r="AC150" s="359">
        <f t="shared" si="217"/>
        <v>278.11</v>
      </c>
      <c r="AD150" s="359">
        <f t="shared" si="218"/>
        <v>278.11</v>
      </c>
      <c r="AE150" s="359">
        <f t="shared" si="219"/>
        <v>278.11</v>
      </c>
      <c r="AF150" s="359">
        <f t="shared" si="220"/>
        <v>278.11</v>
      </c>
      <c r="AG150" s="359">
        <f t="shared" si="221"/>
        <v>278.11</v>
      </c>
      <c r="AH150" s="359">
        <f t="shared" si="222"/>
        <v>278.11</v>
      </c>
      <c r="AI150" s="359">
        <f t="shared" si="223"/>
        <v>278.11</v>
      </c>
      <c r="AJ150" s="359">
        <f t="shared" si="224"/>
        <v>278.11</v>
      </c>
      <c r="AL150" s="359">
        <f t="shared" si="225"/>
        <v>22.83</v>
      </c>
      <c r="AM150" s="359">
        <f t="shared" si="226"/>
        <v>22.83</v>
      </c>
      <c r="AN150" s="359">
        <f t="shared" si="227"/>
        <v>22.83</v>
      </c>
      <c r="AO150" s="359">
        <f t="shared" si="228"/>
        <v>22.83</v>
      </c>
      <c r="AP150" s="359">
        <f t="shared" si="229"/>
        <v>22.83</v>
      </c>
      <c r="AQ150" s="359">
        <f t="shared" si="230"/>
        <v>22.83</v>
      </c>
      <c r="AR150" s="359">
        <f t="shared" si="231"/>
        <v>22.83</v>
      </c>
      <c r="AS150" s="359">
        <f t="shared" si="232"/>
        <v>22.83</v>
      </c>
      <c r="AT150" s="359">
        <f t="shared" si="233"/>
        <v>22.83</v>
      </c>
      <c r="AU150" s="359">
        <f t="shared" si="234"/>
        <v>22.83</v>
      </c>
      <c r="AV150" s="359">
        <f t="shared" si="235"/>
        <v>22.83</v>
      </c>
      <c r="AW150" s="359">
        <f t="shared" si="236"/>
        <v>22.83</v>
      </c>
    </row>
    <row r="151" spans="2:49" ht="12.75">
      <c r="B151" s="61"/>
      <c r="C151" s="85"/>
      <c r="D151" s="85" t="s">
        <v>483</v>
      </c>
      <c r="E151" s="85"/>
      <c r="F151" s="85" t="s">
        <v>661</v>
      </c>
      <c r="G151" s="108">
        <f t="shared" si="211"/>
        <v>1</v>
      </c>
      <c r="H151" s="107"/>
      <c r="I151" s="68">
        <v>1</v>
      </c>
      <c r="J151" s="5">
        <f aca="true" t="shared" si="245" ref="J151:T151">+I151</f>
        <v>1</v>
      </c>
      <c r="K151" s="5">
        <f t="shared" si="245"/>
        <v>1</v>
      </c>
      <c r="L151" s="5">
        <f t="shared" si="245"/>
        <v>1</v>
      </c>
      <c r="M151" s="5">
        <f t="shared" si="245"/>
        <v>1</v>
      </c>
      <c r="N151" s="5">
        <f t="shared" si="245"/>
        <v>1</v>
      </c>
      <c r="O151" s="5">
        <f t="shared" si="245"/>
        <v>1</v>
      </c>
      <c r="P151" s="5">
        <f t="shared" si="245"/>
        <v>1</v>
      </c>
      <c r="Q151" s="5">
        <f t="shared" si="245"/>
        <v>1</v>
      </c>
      <c r="R151" s="5">
        <f t="shared" si="245"/>
        <v>1</v>
      </c>
      <c r="S151" s="5">
        <f t="shared" si="245"/>
        <v>1</v>
      </c>
      <c r="T151" s="5">
        <f t="shared" si="245"/>
        <v>1</v>
      </c>
      <c r="U151" s="1"/>
      <c r="V151" s="352"/>
      <c r="Y151" s="359">
        <f t="shared" si="213"/>
        <v>278.11</v>
      </c>
      <c r="Z151" s="359">
        <f t="shared" si="214"/>
        <v>278.11</v>
      </c>
      <c r="AA151" s="359">
        <f t="shared" si="215"/>
        <v>278.11</v>
      </c>
      <c r="AB151" s="359">
        <f t="shared" si="216"/>
        <v>278.11</v>
      </c>
      <c r="AC151" s="359">
        <f t="shared" si="217"/>
        <v>278.11</v>
      </c>
      <c r="AD151" s="359">
        <f t="shared" si="218"/>
        <v>278.11</v>
      </c>
      <c r="AE151" s="359">
        <f t="shared" si="219"/>
        <v>278.11</v>
      </c>
      <c r="AF151" s="359">
        <f t="shared" si="220"/>
        <v>278.11</v>
      </c>
      <c r="AG151" s="359">
        <f t="shared" si="221"/>
        <v>278.11</v>
      </c>
      <c r="AH151" s="359">
        <f t="shared" si="222"/>
        <v>278.11</v>
      </c>
      <c r="AI151" s="359">
        <f t="shared" si="223"/>
        <v>278.11</v>
      </c>
      <c r="AJ151" s="359">
        <f t="shared" si="224"/>
        <v>278.11</v>
      </c>
      <c r="AL151" s="359">
        <f t="shared" si="225"/>
        <v>22.83</v>
      </c>
      <c r="AM151" s="359">
        <f t="shared" si="226"/>
        <v>22.83</v>
      </c>
      <c r="AN151" s="359">
        <f t="shared" si="227"/>
        <v>22.83</v>
      </c>
      <c r="AO151" s="359">
        <f t="shared" si="228"/>
        <v>22.83</v>
      </c>
      <c r="AP151" s="359">
        <f t="shared" si="229"/>
        <v>22.83</v>
      </c>
      <c r="AQ151" s="359">
        <f t="shared" si="230"/>
        <v>22.83</v>
      </c>
      <c r="AR151" s="359">
        <f t="shared" si="231"/>
        <v>22.83</v>
      </c>
      <c r="AS151" s="359">
        <f t="shared" si="232"/>
        <v>22.83</v>
      </c>
      <c r="AT151" s="359">
        <f t="shared" si="233"/>
        <v>22.83</v>
      </c>
      <c r="AU151" s="359">
        <f t="shared" si="234"/>
        <v>22.83</v>
      </c>
      <c r="AV151" s="359">
        <f t="shared" si="235"/>
        <v>22.83</v>
      </c>
      <c r="AW151" s="359">
        <f t="shared" si="236"/>
        <v>22.83</v>
      </c>
    </row>
    <row r="152" spans="2:49" ht="12.75">
      <c r="B152" s="61"/>
      <c r="C152" s="85"/>
      <c r="D152" s="85" t="s">
        <v>484</v>
      </c>
      <c r="E152" s="85"/>
      <c r="F152" s="85" t="s">
        <v>661</v>
      </c>
      <c r="G152" s="108">
        <f t="shared" si="211"/>
        <v>1</v>
      </c>
      <c r="H152" s="107"/>
      <c r="I152" s="68">
        <v>1</v>
      </c>
      <c r="J152" s="5">
        <f aca="true" t="shared" si="246" ref="J152:T152">+I152</f>
        <v>1</v>
      </c>
      <c r="K152" s="5">
        <f t="shared" si="246"/>
        <v>1</v>
      </c>
      <c r="L152" s="5">
        <f t="shared" si="246"/>
        <v>1</v>
      </c>
      <c r="M152" s="5">
        <f t="shared" si="246"/>
        <v>1</v>
      </c>
      <c r="N152" s="5">
        <f t="shared" si="246"/>
        <v>1</v>
      </c>
      <c r="O152" s="5">
        <f t="shared" si="246"/>
        <v>1</v>
      </c>
      <c r="P152" s="5">
        <f t="shared" si="246"/>
        <v>1</v>
      </c>
      <c r="Q152" s="5">
        <f t="shared" si="246"/>
        <v>1</v>
      </c>
      <c r="R152" s="5">
        <f t="shared" si="246"/>
        <v>1</v>
      </c>
      <c r="S152" s="5">
        <f t="shared" si="246"/>
        <v>1</v>
      </c>
      <c r="T152" s="5">
        <f t="shared" si="246"/>
        <v>1</v>
      </c>
      <c r="U152" s="1"/>
      <c r="V152" s="352"/>
      <c r="Y152" s="359">
        <f t="shared" si="213"/>
        <v>278.11</v>
      </c>
      <c r="Z152" s="359">
        <f t="shared" si="214"/>
        <v>278.11</v>
      </c>
      <c r="AA152" s="359">
        <f t="shared" si="215"/>
        <v>278.11</v>
      </c>
      <c r="AB152" s="359">
        <f t="shared" si="216"/>
        <v>278.11</v>
      </c>
      <c r="AC152" s="359">
        <f t="shared" si="217"/>
        <v>278.11</v>
      </c>
      <c r="AD152" s="359">
        <f t="shared" si="218"/>
        <v>278.11</v>
      </c>
      <c r="AE152" s="359">
        <f t="shared" si="219"/>
        <v>278.11</v>
      </c>
      <c r="AF152" s="359">
        <f t="shared" si="220"/>
        <v>278.11</v>
      </c>
      <c r="AG152" s="359">
        <f t="shared" si="221"/>
        <v>278.11</v>
      </c>
      <c r="AH152" s="359">
        <f t="shared" si="222"/>
        <v>278.11</v>
      </c>
      <c r="AI152" s="359">
        <f t="shared" si="223"/>
        <v>278.11</v>
      </c>
      <c r="AJ152" s="359">
        <f t="shared" si="224"/>
        <v>278.11</v>
      </c>
      <c r="AL152" s="359">
        <f t="shared" si="225"/>
        <v>22.83</v>
      </c>
      <c r="AM152" s="359">
        <f t="shared" si="226"/>
        <v>22.83</v>
      </c>
      <c r="AN152" s="359">
        <f t="shared" si="227"/>
        <v>22.83</v>
      </c>
      <c r="AO152" s="359">
        <f t="shared" si="228"/>
        <v>22.83</v>
      </c>
      <c r="AP152" s="359">
        <f t="shared" si="229"/>
        <v>22.83</v>
      </c>
      <c r="AQ152" s="359">
        <f t="shared" si="230"/>
        <v>22.83</v>
      </c>
      <c r="AR152" s="359">
        <f t="shared" si="231"/>
        <v>22.83</v>
      </c>
      <c r="AS152" s="359">
        <f t="shared" si="232"/>
        <v>22.83</v>
      </c>
      <c r="AT152" s="359">
        <f t="shared" si="233"/>
        <v>22.83</v>
      </c>
      <c r="AU152" s="359">
        <f t="shared" si="234"/>
        <v>22.83</v>
      </c>
      <c r="AV152" s="359">
        <f t="shared" si="235"/>
        <v>22.83</v>
      </c>
      <c r="AW152" s="359">
        <f t="shared" si="236"/>
        <v>22.83</v>
      </c>
    </row>
    <row r="153" spans="2:49" ht="12.75">
      <c r="B153" s="61"/>
      <c r="C153" s="85"/>
      <c r="D153" s="85" t="s">
        <v>482</v>
      </c>
      <c r="E153" s="85"/>
      <c r="F153" s="85" t="s">
        <v>661</v>
      </c>
      <c r="G153" s="108">
        <f t="shared" si="211"/>
        <v>1</v>
      </c>
      <c r="H153" s="107"/>
      <c r="I153" s="68">
        <v>1</v>
      </c>
      <c r="J153" s="5">
        <f aca="true" t="shared" si="247" ref="J153:T153">+I153</f>
        <v>1</v>
      </c>
      <c r="K153" s="5">
        <f t="shared" si="247"/>
        <v>1</v>
      </c>
      <c r="L153" s="5">
        <f t="shared" si="247"/>
        <v>1</v>
      </c>
      <c r="M153" s="5">
        <f t="shared" si="247"/>
        <v>1</v>
      </c>
      <c r="N153" s="5">
        <f t="shared" si="247"/>
        <v>1</v>
      </c>
      <c r="O153" s="5">
        <f t="shared" si="247"/>
        <v>1</v>
      </c>
      <c r="P153" s="5">
        <f t="shared" si="247"/>
        <v>1</v>
      </c>
      <c r="Q153" s="5">
        <f t="shared" si="247"/>
        <v>1</v>
      </c>
      <c r="R153" s="5">
        <f t="shared" si="247"/>
        <v>1</v>
      </c>
      <c r="S153" s="5">
        <f t="shared" si="247"/>
        <v>1</v>
      </c>
      <c r="T153" s="5">
        <f t="shared" si="247"/>
        <v>1</v>
      </c>
      <c r="U153" s="1"/>
      <c r="V153" s="352"/>
      <c r="Y153" s="359">
        <f t="shared" si="213"/>
        <v>278.11</v>
      </c>
      <c r="Z153" s="359">
        <f t="shared" si="214"/>
        <v>278.11</v>
      </c>
      <c r="AA153" s="359">
        <f t="shared" si="215"/>
        <v>278.11</v>
      </c>
      <c r="AB153" s="359">
        <f t="shared" si="216"/>
        <v>278.11</v>
      </c>
      <c r="AC153" s="359">
        <f t="shared" si="217"/>
        <v>278.11</v>
      </c>
      <c r="AD153" s="359">
        <f t="shared" si="218"/>
        <v>278.11</v>
      </c>
      <c r="AE153" s="359">
        <f t="shared" si="219"/>
        <v>278.11</v>
      </c>
      <c r="AF153" s="359">
        <f t="shared" si="220"/>
        <v>278.11</v>
      </c>
      <c r="AG153" s="359">
        <f t="shared" si="221"/>
        <v>278.11</v>
      </c>
      <c r="AH153" s="359">
        <f t="shared" si="222"/>
        <v>278.11</v>
      </c>
      <c r="AI153" s="359">
        <f t="shared" si="223"/>
        <v>278.11</v>
      </c>
      <c r="AJ153" s="359">
        <f t="shared" si="224"/>
        <v>278.11</v>
      </c>
      <c r="AL153" s="359">
        <f t="shared" si="225"/>
        <v>22.83</v>
      </c>
      <c r="AM153" s="359">
        <f t="shared" si="226"/>
        <v>22.83</v>
      </c>
      <c r="AN153" s="359">
        <f t="shared" si="227"/>
        <v>22.83</v>
      </c>
      <c r="AO153" s="359">
        <f t="shared" si="228"/>
        <v>22.83</v>
      </c>
      <c r="AP153" s="359">
        <f t="shared" si="229"/>
        <v>22.83</v>
      </c>
      <c r="AQ153" s="359">
        <f t="shared" si="230"/>
        <v>22.83</v>
      </c>
      <c r="AR153" s="359">
        <f t="shared" si="231"/>
        <v>22.83</v>
      </c>
      <c r="AS153" s="359">
        <f t="shared" si="232"/>
        <v>22.83</v>
      </c>
      <c r="AT153" s="359">
        <f t="shared" si="233"/>
        <v>22.83</v>
      </c>
      <c r="AU153" s="359">
        <f t="shared" si="234"/>
        <v>22.83</v>
      </c>
      <c r="AV153" s="359">
        <f t="shared" si="235"/>
        <v>22.83</v>
      </c>
      <c r="AW153" s="359">
        <f t="shared" si="236"/>
        <v>22.83</v>
      </c>
    </row>
    <row r="154" spans="2:49" ht="12.75">
      <c r="B154" s="61"/>
      <c r="C154" s="85"/>
      <c r="D154" s="85" t="s">
        <v>485</v>
      </c>
      <c r="E154" s="85"/>
      <c r="F154" s="85" t="s">
        <v>661</v>
      </c>
      <c r="G154" s="108">
        <f t="shared" si="211"/>
        <v>1</v>
      </c>
      <c r="H154" s="107"/>
      <c r="I154" s="68">
        <v>1</v>
      </c>
      <c r="J154" s="5">
        <f aca="true" t="shared" si="248" ref="J154:T154">+I154</f>
        <v>1</v>
      </c>
      <c r="K154" s="5">
        <f t="shared" si="248"/>
        <v>1</v>
      </c>
      <c r="L154" s="5">
        <f t="shared" si="248"/>
        <v>1</v>
      </c>
      <c r="M154" s="5">
        <f t="shared" si="248"/>
        <v>1</v>
      </c>
      <c r="N154" s="5">
        <f t="shared" si="248"/>
        <v>1</v>
      </c>
      <c r="O154" s="5">
        <f t="shared" si="248"/>
        <v>1</v>
      </c>
      <c r="P154" s="5">
        <f t="shared" si="248"/>
        <v>1</v>
      </c>
      <c r="Q154" s="5">
        <f t="shared" si="248"/>
        <v>1</v>
      </c>
      <c r="R154" s="5">
        <f t="shared" si="248"/>
        <v>1</v>
      </c>
      <c r="S154" s="5">
        <f t="shared" si="248"/>
        <v>1</v>
      </c>
      <c r="T154" s="5">
        <f t="shared" si="248"/>
        <v>1</v>
      </c>
      <c r="U154" s="1"/>
      <c r="V154" s="352"/>
      <c r="Y154" s="359">
        <f t="shared" si="213"/>
        <v>278.11</v>
      </c>
      <c r="Z154" s="359">
        <f t="shared" si="214"/>
        <v>278.11</v>
      </c>
      <c r="AA154" s="359">
        <f t="shared" si="215"/>
        <v>278.11</v>
      </c>
      <c r="AB154" s="359">
        <f t="shared" si="216"/>
        <v>278.11</v>
      </c>
      <c r="AC154" s="359">
        <f t="shared" si="217"/>
        <v>278.11</v>
      </c>
      <c r="AD154" s="359">
        <f t="shared" si="218"/>
        <v>278.11</v>
      </c>
      <c r="AE154" s="359">
        <f t="shared" si="219"/>
        <v>278.11</v>
      </c>
      <c r="AF154" s="359">
        <f t="shared" si="220"/>
        <v>278.11</v>
      </c>
      <c r="AG154" s="359">
        <f t="shared" si="221"/>
        <v>278.11</v>
      </c>
      <c r="AH154" s="359">
        <f t="shared" si="222"/>
        <v>278.11</v>
      </c>
      <c r="AI154" s="359">
        <f t="shared" si="223"/>
        <v>278.11</v>
      </c>
      <c r="AJ154" s="359">
        <f t="shared" si="224"/>
        <v>278.11</v>
      </c>
      <c r="AL154" s="359">
        <f t="shared" si="225"/>
        <v>22.83</v>
      </c>
      <c r="AM154" s="359">
        <f t="shared" si="226"/>
        <v>22.83</v>
      </c>
      <c r="AN154" s="359">
        <f t="shared" si="227"/>
        <v>22.83</v>
      </c>
      <c r="AO154" s="359">
        <f t="shared" si="228"/>
        <v>22.83</v>
      </c>
      <c r="AP154" s="359">
        <f t="shared" si="229"/>
        <v>22.83</v>
      </c>
      <c r="AQ154" s="359">
        <f t="shared" si="230"/>
        <v>22.83</v>
      </c>
      <c r="AR154" s="359">
        <f t="shared" si="231"/>
        <v>22.83</v>
      </c>
      <c r="AS154" s="359">
        <f t="shared" si="232"/>
        <v>22.83</v>
      </c>
      <c r="AT154" s="359">
        <f t="shared" si="233"/>
        <v>22.83</v>
      </c>
      <c r="AU154" s="359">
        <f t="shared" si="234"/>
        <v>22.83</v>
      </c>
      <c r="AV154" s="359">
        <f t="shared" si="235"/>
        <v>22.83</v>
      </c>
      <c r="AW154" s="359">
        <f t="shared" si="236"/>
        <v>22.83</v>
      </c>
    </row>
    <row r="155" spans="2:36" s="6" customFormat="1" ht="12.75">
      <c r="B155" s="13"/>
      <c r="C155" s="1"/>
      <c r="D155" s="3" t="s">
        <v>649</v>
      </c>
      <c r="E155" s="3"/>
      <c r="F155" s="3"/>
      <c r="G155" s="357">
        <f>SUM(I155:T155)</f>
        <v>43692.960000000014</v>
      </c>
      <c r="H155" s="160"/>
      <c r="I155" s="43">
        <f aca="true" t="shared" si="249" ref="I155:T155">+Y155</f>
        <v>3641.0800000000013</v>
      </c>
      <c r="J155" s="43">
        <f t="shared" si="249"/>
        <v>3641.0800000000013</v>
      </c>
      <c r="K155" s="43">
        <f t="shared" si="249"/>
        <v>3641.0800000000013</v>
      </c>
      <c r="L155" s="43">
        <f t="shared" si="249"/>
        <v>3641.0800000000013</v>
      </c>
      <c r="M155" s="43">
        <f t="shared" si="249"/>
        <v>3641.0800000000013</v>
      </c>
      <c r="N155" s="43">
        <f t="shared" si="249"/>
        <v>3641.0800000000013</v>
      </c>
      <c r="O155" s="43">
        <f t="shared" si="249"/>
        <v>3641.0800000000013</v>
      </c>
      <c r="P155" s="43">
        <f t="shared" si="249"/>
        <v>3641.0800000000013</v>
      </c>
      <c r="Q155" s="43">
        <f t="shared" si="249"/>
        <v>3641.0800000000013</v>
      </c>
      <c r="R155" s="43">
        <f t="shared" si="249"/>
        <v>3641.0800000000013</v>
      </c>
      <c r="S155" s="43">
        <f t="shared" si="249"/>
        <v>3641.0800000000013</v>
      </c>
      <c r="T155" s="43">
        <f t="shared" si="249"/>
        <v>3641.0800000000013</v>
      </c>
      <c r="U155" s="1"/>
      <c r="V155" s="14"/>
      <c r="Y155" s="358">
        <f aca="true" t="shared" si="250" ref="Y155:AJ155">SUM(Y142:Y154)</f>
        <v>3641.0800000000013</v>
      </c>
      <c r="Z155" s="358">
        <f t="shared" si="250"/>
        <v>3641.0800000000013</v>
      </c>
      <c r="AA155" s="358">
        <f t="shared" si="250"/>
        <v>3641.0800000000013</v>
      </c>
      <c r="AB155" s="358">
        <f t="shared" si="250"/>
        <v>3641.0800000000013</v>
      </c>
      <c r="AC155" s="358">
        <f t="shared" si="250"/>
        <v>3641.0800000000013</v>
      </c>
      <c r="AD155" s="358">
        <f t="shared" si="250"/>
        <v>3641.0800000000013</v>
      </c>
      <c r="AE155" s="358">
        <f t="shared" si="250"/>
        <v>3641.0800000000013</v>
      </c>
      <c r="AF155" s="358">
        <f t="shared" si="250"/>
        <v>3641.0800000000013</v>
      </c>
      <c r="AG155" s="358">
        <f t="shared" si="250"/>
        <v>3641.0800000000013</v>
      </c>
      <c r="AH155" s="358">
        <f t="shared" si="250"/>
        <v>3641.0800000000013</v>
      </c>
      <c r="AI155" s="358">
        <f t="shared" si="250"/>
        <v>3641.0800000000013</v>
      </c>
      <c r="AJ155" s="358">
        <f t="shared" si="250"/>
        <v>3641.0800000000013</v>
      </c>
    </row>
    <row r="156" spans="2:49" s="6" customFormat="1" ht="12.75">
      <c r="B156" s="13"/>
      <c r="C156" s="1"/>
      <c r="D156" s="3" t="s">
        <v>650</v>
      </c>
      <c r="E156" s="3"/>
      <c r="F156" s="3"/>
      <c r="G156" s="357">
        <f>SUM(I156:T156)</f>
        <v>3584.639999999998</v>
      </c>
      <c r="H156" s="160"/>
      <c r="I156" s="43">
        <f aca="true" t="shared" si="251" ref="I156:T156">+AL156</f>
        <v>298.7199999999999</v>
      </c>
      <c r="J156" s="43">
        <f t="shared" si="251"/>
        <v>298.7199999999999</v>
      </c>
      <c r="K156" s="43">
        <f t="shared" si="251"/>
        <v>298.7199999999999</v>
      </c>
      <c r="L156" s="43">
        <f t="shared" si="251"/>
        <v>298.7199999999999</v>
      </c>
      <c r="M156" s="43">
        <f t="shared" si="251"/>
        <v>298.7199999999999</v>
      </c>
      <c r="N156" s="43">
        <f t="shared" si="251"/>
        <v>298.7199999999999</v>
      </c>
      <c r="O156" s="43">
        <f t="shared" si="251"/>
        <v>298.7199999999999</v>
      </c>
      <c r="P156" s="43">
        <f t="shared" si="251"/>
        <v>298.7199999999999</v>
      </c>
      <c r="Q156" s="43">
        <f t="shared" si="251"/>
        <v>298.7199999999999</v>
      </c>
      <c r="R156" s="43">
        <f t="shared" si="251"/>
        <v>298.7199999999999</v>
      </c>
      <c r="S156" s="43">
        <f t="shared" si="251"/>
        <v>298.7199999999999</v>
      </c>
      <c r="T156" s="43">
        <f t="shared" si="251"/>
        <v>298.7199999999999</v>
      </c>
      <c r="U156" s="1"/>
      <c r="V156" s="14"/>
      <c r="AL156" s="358">
        <f aca="true" t="shared" si="252" ref="AL156:AW156">SUM(AL142:AL154)</f>
        <v>298.7199999999999</v>
      </c>
      <c r="AM156" s="358">
        <f t="shared" si="252"/>
        <v>298.7199999999999</v>
      </c>
      <c r="AN156" s="358">
        <f t="shared" si="252"/>
        <v>298.7199999999999</v>
      </c>
      <c r="AO156" s="358">
        <f t="shared" si="252"/>
        <v>298.7199999999999</v>
      </c>
      <c r="AP156" s="358">
        <f t="shared" si="252"/>
        <v>298.7199999999999</v>
      </c>
      <c r="AQ156" s="358">
        <f t="shared" si="252"/>
        <v>298.7199999999999</v>
      </c>
      <c r="AR156" s="358">
        <f t="shared" si="252"/>
        <v>298.7199999999999</v>
      </c>
      <c r="AS156" s="358">
        <f t="shared" si="252"/>
        <v>298.7199999999999</v>
      </c>
      <c r="AT156" s="358">
        <f t="shared" si="252"/>
        <v>298.7199999999999</v>
      </c>
      <c r="AU156" s="358">
        <f t="shared" si="252"/>
        <v>298.7199999999999</v>
      </c>
      <c r="AV156" s="358">
        <f t="shared" si="252"/>
        <v>298.7199999999999</v>
      </c>
      <c r="AW156" s="358">
        <f t="shared" si="252"/>
        <v>298.7199999999999</v>
      </c>
    </row>
    <row r="157" spans="2:22" ht="12.75">
      <c r="B157" s="61"/>
      <c r="C157" s="85"/>
      <c r="D157" s="3"/>
      <c r="E157" s="85"/>
      <c r="F157" s="3" t="s">
        <v>577</v>
      </c>
      <c r="G157" s="357">
        <f>SUM(G155:G156)</f>
        <v>47277.60000000001</v>
      </c>
      <c r="H157" s="160"/>
      <c r="I157" s="83"/>
      <c r="J157" s="83"/>
      <c r="K157" s="23">
        <f>SUM(K142:K154)</f>
        <v>13</v>
      </c>
      <c r="L157" s="83"/>
      <c r="M157" s="83"/>
      <c r="N157" s="83"/>
      <c r="O157" s="83"/>
      <c r="P157" s="83"/>
      <c r="Q157" s="83"/>
      <c r="R157" s="83"/>
      <c r="S157" s="83"/>
      <c r="T157" s="83"/>
      <c r="U157" s="85"/>
      <c r="V157" s="352"/>
    </row>
    <row r="158" spans="2:22" ht="12.75">
      <c r="B158" s="61"/>
      <c r="C158" s="85"/>
      <c r="D158" s="85"/>
      <c r="E158" s="85"/>
      <c r="F158" s="85"/>
      <c r="G158" s="83"/>
      <c r="H158" s="85"/>
      <c r="I158" s="83"/>
      <c r="J158" s="83"/>
      <c r="K158" s="83"/>
      <c r="L158" s="83"/>
      <c r="M158" s="83"/>
      <c r="N158" s="83"/>
      <c r="O158" s="83"/>
      <c r="P158" s="83"/>
      <c r="Q158" s="83"/>
      <c r="R158" s="83"/>
      <c r="S158" s="83"/>
      <c r="T158" s="83"/>
      <c r="U158" s="85"/>
      <c r="V158" s="352"/>
    </row>
    <row r="159" spans="2:22" ht="12.75">
      <c r="B159" s="61"/>
      <c r="C159" s="85"/>
      <c r="D159" s="3" t="s">
        <v>659</v>
      </c>
      <c r="E159" s="1"/>
      <c r="F159" s="1"/>
      <c r="G159" s="357">
        <f>+G134+G155</f>
        <v>112913.28000000003</v>
      </c>
      <c r="H159" s="160"/>
      <c r="I159" s="83"/>
      <c r="J159" s="83"/>
      <c r="K159" s="83"/>
      <c r="L159" s="83"/>
      <c r="M159" s="83"/>
      <c r="N159" s="83"/>
      <c r="O159" s="83"/>
      <c r="P159" s="83"/>
      <c r="Q159" s="83"/>
      <c r="R159" s="83"/>
      <c r="S159" s="83"/>
      <c r="T159" s="83"/>
      <c r="U159" s="85"/>
      <c r="V159" s="352"/>
    </row>
    <row r="160" spans="2:22" ht="12.75">
      <c r="B160" s="61"/>
      <c r="C160" s="85"/>
      <c r="D160" s="3" t="s">
        <v>660</v>
      </c>
      <c r="E160" s="1"/>
      <c r="F160" s="1"/>
      <c r="G160" s="357">
        <f>+G135+G156</f>
        <v>11007.119999999997</v>
      </c>
      <c r="H160" s="160"/>
      <c r="I160" s="83"/>
      <c r="J160" s="83"/>
      <c r="K160" s="83"/>
      <c r="L160" s="83"/>
      <c r="M160" s="83"/>
      <c r="N160" s="83"/>
      <c r="O160" s="83"/>
      <c r="P160" s="83"/>
      <c r="Q160" s="83"/>
      <c r="R160" s="83"/>
      <c r="S160" s="83"/>
      <c r="T160" s="83"/>
      <c r="U160" s="85"/>
      <c r="V160" s="352"/>
    </row>
    <row r="161" spans="2:22" ht="12.75">
      <c r="B161" s="61"/>
      <c r="C161" s="85"/>
      <c r="D161" s="85"/>
      <c r="E161" s="85"/>
      <c r="F161" s="3" t="s">
        <v>577</v>
      </c>
      <c r="G161" s="357">
        <f>SUM(G159:G160)</f>
        <v>123920.40000000002</v>
      </c>
      <c r="H161" s="160"/>
      <c r="I161" s="83"/>
      <c r="J161" s="83"/>
      <c r="K161" s="83"/>
      <c r="L161" s="83"/>
      <c r="M161" s="83"/>
      <c r="N161" s="83"/>
      <c r="O161" s="83"/>
      <c r="P161" s="83"/>
      <c r="Q161" s="83"/>
      <c r="R161" s="83"/>
      <c r="S161" s="83"/>
      <c r="T161" s="83"/>
      <c r="U161" s="85"/>
      <c r="V161" s="352"/>
    </row>
    <row r="162" spans="2:22" ht="12.75">
      <c r="B162" s="61"/>
      <c r="C162" s="85"/>
      <c r="D162" s="85"/>
      <c r="E162" s="85"/>
      <c r="F162" s="85"/>
      <c r="G162" s="83"/>
      <c r="H162" s="85"/>
      <c r="I162" s="83"/>
      <c r="J162" s="83"/>
      <c r="K162" s="83"/>
      <c r="L162" s="83"/>
      <c r="M162" s="83"/>
      <c r="N162" s="83"/>
      <c r="O162" s="83"/>
      <c r="P162" s="83"/>
      <c r="Q162" s="83"/>
      <c r="R162" s="83"/>
      <c r="S162" s="83"/>
      <c r="T162" s="83"/>
      <c r="U162" s="85"/>
      <c r="V162" s="352"/>
    </row>
    <row r="163" spans="2:22" ht="12.75">
      <c r="B163" s="61"/>
      <c r="C163" s="62"/>
      <c r="D163" s="62"/>
      <c r="E163" s="62"/>
      <c r="F163" s="62"/>
      <c r="G163" s="55"/>
      <c r="H163" s="62"/>
      <c r="U163" s="62"/>
      <c r="V163" s="352"/>
    </row>
    <row r="164" spans="2:22" ht="13.5" thickBot="1">
      <c r="B164" s="70"/>
      <c r="C164" s="71"/>
      <c r="D164" s="71"/>
      <c r="E164" s="71"/>
      <c r="F164" s="71"/>
      <c r="G164" s="75"/>
      <c r="H164" s="71"/>
      <c r="I164" s="75"/>
      <c r="J164" s="75"/>
      <c r="K164" s="75"/>
      <c r="L164" s="75"/>
      <c r="M164" s="75"/>
      <c r="N164" s="75"/>
      <c r="O164" s="75"/>
      <c r="P164" s="75"/>
      <c r="Q164" s="75"/>
      <c r="R164" s="75"/>
      <c r="S164" s="75"/>
      <c r="T164" s="75"/>
      <c r="U164" s="71"/>
      <c r="V164" s="360"/>
    </row>
    <row r="165" spans="2:22" ht="12.75">
      <c r="B165" s="76"/>
      <c r="C165" s="77"/>
      <c r="D165" s="77"/>
      <c r="E165" s="77"/>
      <c r="F165" s="77"/>
      <c r="G165" s="58"/>
      <c r="H165" s="77"/>
      <c r="I165" s="58"/>
      <c r="J165" s="58"/>
      <c r="K165" s="58"/>
      <c r="L165" s="58"/>
      <c r="M165" s="58"/>
      <c r="N165" s="58"/>
      <c r="O165" s="58"/>
      <c r="P165" s="58"/>
      <c r="Q165" s="58"/>
      <c r="R165" s="58"/>
      <c r="S165" s="58"/>
      <c r="T165" s="58"/>
      <c r="U165" s="77"/>
      <c r="V165" s="351"/>
    </row>
    <row r="166" spans="2:22" ht="12.75">
      <c r="B166" s="61"/>
      <c r="C166" s="62"/>
      <c r="D166" s="62"/>
      <c r="E166" s="62"/>
      <c r="F166" s="62"/>
      <c r="G166" s="55"/>
      <c r="H166" s="62"/>
      <c r="U166" s="62"/>
      <c r="V166" s="352"/>
    </row>
    <row r="167" spans="2:22" ht="18">
      <c r="B167" s="61"/>
      <c r="C167" s="17" t="str">
        <f>+C59</f>
        <v>TE BEKOSTIGEN DOOR Cfi voor WEB (MBO)</v>
      </c>
      <c r="D167" s="62"/>
      <c r="E167" s="62"/>
      <c r="F167" s="62"/>
      <c r="G167" s="55"/>
      <c r="H167" s="62"/>
      <c r="U167" s="62"/>
      <c r="V167" s="352"/>
    </row>
    <row r="168" spans="1:22" s="477" customFormat="1" ht="12.75">
      <c r="A168" s="471"/>
      <c r="B168" s="472"/>
      <c r="C168" s="473"/>
      <c r="D168" s="474"/>
      <c r="E168" s="474"/>
      <c r="F168" s="474"/>
      <c r="G168" s="475"/>
      <c r="H168" s="474"/>
      <c r="I168" s="475"/>
      <c r="J168" s="475"/>
      <c r="K168" s="475"/>
      <c r="L168" s="475"/>
      <c r="M168" s="475"/>
      <c r="N168" s="475"/>
      <c r="O168" s="475"/>
      <c r="P168" s="475"/>
      <c r="Q168" s="475"/>
      <c r="R168" s="475"/>
      <c r="S168" s="475"/>
      <c r="T168" s="475"/>
      <c r="U168" s="474"/>
      <c r="V168" s="476"/>
    </row>
    <row r="169" spans="1:22" s="477" customFormat="1" ht="12.75">
      <c r="A169" s="471"/>
      <c r="B169" s="472"/>
      <c r="C169" s="473"/>
      <c r="D169" s="474"/>
      <c r="E169" s="474"/>
      <c r="F169" s="474"/>
      <c r="G169" s="475"/>
      <c r="H169" s="474"/>
      <c r="I169" s="475"/>
      <c r="J169" s="475"/>
      <c r="K169" s="475"/>
      <c r="L169" s="475"/>
      <c r="M169" s="475"/>
      <c r="N169" s="475"/>
      <c r="O169" s="475"/>
      <c r="P169" s="475"/>
      <c r="Q169" s="475"/>
      <c r="R169" s="475"/>
      <c r="S169" s="475"/>
      <c r="T169" s="475"/>
      <c r="U169" s="474"/>
      <c r="V169" s="476"/>
    </row>
    <row r="170" spans="2:22" s="477" customFormat="1" ht="12.75">
      <c r="B170" s="478"/>
      <c r="C170" s="473"/>
      <c r="D170" s="474"/>
      <c r="E170" s="474"/>
      <c r="F170" s="474"/>
      <c r="G170" s="475"/>
      <c r="H170" s="474"/>
      <c r="I170" s="475"/>
      <c r="J170" s="475"/>
      <c r="K170" s="475"/>
      <c r="L170" s="475"/>
      <c r="M170" s="475"/>
      <c r="N170" s="475"/>
      <c r="O170" s="475"/>
      <c r="P170" s="475"/>
      <c r="Q170" s="475"/>
      <c r="R170" s="475"/>
      <c r="S170" s="475"/>
      <c r="T170" s="475"/>
      <c r="U170" s="474"/>
      <c r="V170" s="476"/>
    </row>
    <row r="171" spans="2:22" ht="12.75">
      <c r="B171" s="61"/>
      <c r="C171" s="85"/>
      <c r="D171" s="85"/>
      <c r="E171" s="85"/>
      <c r="F171" s="85"/>
      <c r="G171" s="83"/>
      <c r="H171" s="85"/>
      <c r="I171" s="83"/>
      <c r="J171" s="83"/>
      <c r="K171" s="83"/>
      <c r="L171" s="83"/>
      <c r="M171" s="83"/>
      <c r="N171" s="83"/>
      <c r="O171" s="83"/>
      <c r="P171" s="83"/>
      <c r="Q171" s="83"/>
      <c r="R171" s="83"/>
      <c r="S171" s="83"/>
      <c r="T171" s="83"/>
      <c r="U171" s="85"/>
      <c r="V171" s="352"/>
    </row>
    <row r="172" spans="2:49" ht="12.75">
      <c r="B172" s="61"/>
      <c r="C172" s="85"/>
      <c r="D172" s="2" t="s">
        <v>518</v>
      </c>
      <c r="E172" s="84"/>
      <c r="F172" s="2" t="s">
        <v>18</v>
      </c>
      <c r="G172" s="333" t="str">
        <f>tabel!D2</f>
        <v>2010/11</v>
      </c>
      <c r="H172" s="3"/>
      <c r="I172" s="162" t="s">
        <v>590</v>
      </c>
      <c r="J172" s="162" t="s">
        <v>591</v>
      </c>
      <c r="K172" s="162" t="s">
        <v>592</v>
      </c>
      <c r="L172" s="162" t="s">
        <v>593</v>
      </c>
      <c r="M172" s="162" t="s">
        <v>594</v>
      </c>
      <c r="N172" s="162" t="s">
        <v>588</v>
      </c>
      <c r="O172" s="162" t="s">
        <v>589</v>
      </c>
      <c r="P172" s="162" t="s">
        <v>595</v>
      </c>
      <c r="Q172" s="162" t="s">
        <v>596</v>
      </c>
      <c r="R172" s="162" t="s">
        <v>597</v>
      </c>
      <c r="S172" s="162" t="s">
        <v>598</v>
      </c>
      <c r="T172" s="162" t="s">
        <v>599</v>
      </c>
      <c r="U172" s="1"/>
      <c r="V172" s="352"/>
      <c r="Y172" s="56" t="s">
        <v>590</v>
      </c>
      <c r="Z172" s="56" t="s">
        <v>591</v>
      </c>
      <c r="AA172" s="56" t="s">
        <v>592</v>
      </c>
      <c r="AB172" s="56" t="s">
        <v>593</v>
      </c>
      <c r="AC172" s="105" t="s">
        <v>594</v>
      </c>
      <c r="AD172" s="105" t="s">
        <v>588</v>
      </c>
      <c r="AE172" s="105" t="s">
        <v>589</v>
      </c>
      <c r="AF172" s="105" t="s">
        <v>595</v>
      </c>
      <c r="AG172" s="105" t="s">
        <v>596</v>
      </c>
      <c r="AH172" s="105" t="s">
        <v>597</v>
      </c>
      <c r="AI172" s="105" t="s">
        <v>598</v>
      </c>
      <c r="AJ172" s="105" t="s">
        <v>599</v>
      </c>
      <c r="AL172" s="56" t="s">
        <v>590</v>
      </c>
      <c r="AM172" s="56" t="s">
        <v>591</v>
      </c>
      <c r="AN172" s="56" t="s">
        <v>592</v>
      </c>
      <c r="AO172" s="56" t="s">
        <v>593</v>
      </c>
      <c r="AP172" s="105" t="s">
        <v>594</v>
      </c>
      <c r="AQ172" s="105" t="s">
        <v>588</v>
      </c>
      <c r="AR172" s="105" t="s">
        <v>589</v>
      </c>
      <c r="AS172" s="105" t="s">
        <v>595</v>
      </c>
      <c r="AT172" s="105" t="s">
        <v>596</v>
      </c>
      <c r="AU172" s="105" t="s">
        <v>597</v>
      </c>
      <c r="AV172" s="105" t="s">
        <v>598</v>
      </c>
      <c r="AW172" s="105" t="s">
        <v>599</v>
      </c>
    </row>
    <row r="173" spans="2:49" ht="12.75">
      <c r="B173" s="61"/>
      <c r="C173" s="85"/>
      <c r="D173" s="85"/>
      <c r="E173" s="84"/>
      <c r="F173" s="3"/>
      <c r="G173" s="4"/>
      <c r="H173" s="3"/>
      <c r="I173" s="83"/>
      <c r="J173" s="83"/>
      <c r="K173" s="83"/>
      <c r="L173" s="83"/>
      <c r="M173" s="106"/>
      <c r="N173" s="106"/>
      <c r="O173" s="106"/>
      <c r="P173" s="106"/>
      <c r="Q173" s="106"/>
      <c r="R173" s="106"/>
      <c r="S173" s="106"/>
      <c r="T173" s="106"/>
      <c r="U173" s="1"/>
      <c r="V173" s="352"/>
      <c r="AC173" s="105"/>
      <c r="AD173" s="105"/>
      <c r="AE173" s="105"/>
      <c r="AF173" s="105"/>
      <c r="AG173" s="105"/>
      <c r="AH173" s="105"/>
      <c r="AI173" s="105"/>
      <c r="AJ173" s="105"/>
      <c r="AP173" s="105"/>
      <c r="AQ173" s="105"/>
      <c r="AR173" s="105"/>
      <c r="AS173" s="105"/>
      <c r="AT173" s="105"/>
      <c r="AU173" s="105"/>
      <c r="AV173" s="105"/>
      <c r="AW173" s="105"/>
    </row>
    <row r="174" spans="2:49" ht="12.75">
      <c r="B174" s="61"/>
      <c r="C174" s="85"/>
      <c r="D174" s="85" t="s">
        <v>473</v>
      </c>
      <c r="E174" s="85"/>
      <c r="F174" s="85" t="s">
        <v>661</v>
      </c>
      <c r="G174" s="108">
        <f aca="true" t="shared" si="253" ref="G174:G186">ROUND(SUM(I174:T174)/12,2)</f>
        <v>1</v>
      </c>
      <c r="H174" s="107"/>
      <c r="I174" s="68">
        <v>1</v>
      </c>
      <c r="J174" s="5">
        <f>+I174</f>
        <v>1</v>
      </c>
      <c r="K174" s="5">
        <f aca="true" t="shared" si="254" ref="K174:T174">+J174</f>
        <v>1</v>
      </c>
      <c r="L174" s="5">
        <f t="shared" si="254"/>
        <v>1</v>
      </c>
      <c r="M174" s="5">
        <f t="shared" si="254"/>
        <v>1</v>
      </c>
      <c r="N174" s="5">
        <f t="shared" si="254"/>
        <v>1</v>
      </c>
      <c r="O174" s="5">
        <f t="shared" si="254"/>
        <v>1</v>
      </c>
      <c r="P174" s="5">
        <f t="shared" si="254"/>
        <v>1</v>
      </c>
      <c r="Q174" s="5">
        <f t="shared" si="254"/>
        <v>1</v>
      </c>
      <c r="R174" s="5">
        <f t="shared" si="254"/>
        <v>1</v>
      </c>
      <c r="S174" s="5">
        <f t="shared" si="254"/>
        <v>1</v>
      </c>
      <c r="T174" s="5">
        <f t="shared" si="254"/>
        <v>1</v>
      </c>
      <c r="U174" s="1"/>
      <c r="V174" s="352"/>
      <c r="Y174" s="56">
        <f>ROUND(+I174*1/12*VLOOKUP($D174,LGFMBO,2,FALSE),2)</f>
        <v>421.97</v>
      </c>
      <c r="Z174" s="56">
        <f aca="true" t="shared" si="255" ref="Z174:Z186">ROUND(+J174*1/12*VLOOKUP($D174,LGFMBO,2,FALSE),2)</f>
        <v>421.97</v>
      </c>
      <c r="AA174" s="56">
        <f aca="true" t="shared" si="256" ref="AA174:AA186">ROUND(+K174*1/12*VLOOKUP($D174,LGFMBO,2,FALSE),2)</f>
        <v>421.97</v>
      </c>
      <c r="AB174" s="56">
        <f aca="true" t="shared" si="257" ref="AB174:AB186">ROUND(+L174*1/12*VLOOKUP($D174,LGFMBO,2,FALSE),2)</f>
        <v>421.97</v>
      </c>
      <c r="AC174" s="56">
        <f aca="true" t="shared" si="258" ref="AC174:AC186">ROUND(+M174*1/12*VLOOKUP($D174,LGFMBO,2,FALSE),2)</f>
        <v>421.97</v>
      </c>
      <c r="AD174" s="56">
        <f aca="true" t="shared" si="259" ref="AD174:AD186">ROUND(+N174*1/12*VLOOKUP($D174,LGFMBO,2,FALSE),2)</f>
        <v>421.97</v>
      </c>
      <c r="AE174" s="56">
        <f aca="true" t="shared" si="260" ref="AE174:AE186">ROUND(+O174*1/12*VLOOKUP($D174,LGFMBO,2,FALSE),2)</f>
        <v>421.97</v>
      </c>
      <c r="AF174" s="56">
        <f aca="true" t="shared" si="261" ref="AF174:AF186">ROUND(+P174*1/12*VLOOKUP($D174,LGFMBO,2,FALSE),2)</f>
        <v>421.97</v>
      </c>
      <c r="AG174" s="56">
        <f aca="true" t="shared" si="262" ref="AG174:AG186">ROUND(+Q174*1/12*VLOOKUP($D174,LGFMBO,2,FALSE),2)</f>
        <v>421.97</v>
      </c>
      <c r="AH174" s="56">
        <f aca="true" t="shared" si="263" ref="AH174:AH186">ROUND(+R174*1/12*VLOOKUP($D174,LGFMBO,2,FALSE),2)</f>
        <v>421.97</v>
      </c>
      <c r="AI174" s="56">
        <f aca="true" t="shared" si="264" ref="AI174:AI186">ROUND(+S174*1/12*VLOOKUP($D174,LGFMBO,2,FALSE),2)</f>
        <v>421.97</v>
      </c>
      <c r="AJ174" s="56">
        <f aca="true" t="shared" si="265" ref="AJ174:AJ186">ROUND(+T174*1/12*VLOOKUP($D174,LGFMBO,2,FALSE),2)</f>
        <v>421.97</v>
      </c>
      <c r="AL174" s="359">
        <f aca="true" t="shared" si="266" ref="AL174:AL186">ROUND(+I174*1/12*VLOOKUP($D174,LGFMBO,4,FALSE),2)</f>
        <v>46.58</v>
      </c>
      <c r="AM174" s="359">
        <f aca="true" t="shared" si="267" ref="AM174:AM186">ROUND(+J174*1/12*VLOOKUP($D174,LGFMBO,4,FALSE),2)</f>
        <v>46.58</v>
      </c>
      <c r="AN174" s="359">
        <f aca="true" t="shared" si="268" ref="AN174:AN186">ROUND(+K174*1/12*VLOOKUP($D174,LGFMBO,4,FALSE),2)</f>
        <v>46.58</v>
      </c>
      <c r="AO174" s="359">
        <f aca="true" t="shared" si="269" ref="AO174:AO186">ROUND(+L174*1/12*VLOOKUP($D174,LGFMBO,4,FALSE),2)</f>
        <v>46.58</v>
      </c>
      <c r="AP174" s="359">
        <f aca="true" t="shared" si="270" ref="AP174:AP186">ROUND(+M174*1/12*VLOOKUP($D174,LGFMBO,4,FALSE),2)</f>
        <v>46.58</v>
      </c>
      <c r="AQ174" s="359">
        <f aca="true" t="shared" si="271" ref="AQ174:AQ186">ROUND(+N174*1/12*VLOOKUP($D174,LGFMBO,4,FALSE),2)</f>
        <v>46.58</v>
      </c>
      <c r="AR174" s="359">
        <f aca="true" t="shared" si="272" ref="AR174:AR186">ROUND(+O174*1/12*VLOOKUP($D174,LGFMBO,4,FALSE),2)</f>
        <v>46.58</v>
      </c>
      <c r="AS174" s="359">
        <f aca="true" t="shared" si="273" ref="AS174:AS186">ROUND(+P174*1/12*VLOOKUP($D174,LGFMBO,4,FALSE),2)</f>
        <v>46.58</v>
      </c>
      <c r="AT174" s="359">
        <f aca="true" t="shared" si="274" ref="AT174:AT186">ROUND(+Q174*1/12*VLOOKUP($D174,LGFMBO,4,FALSE),2)</f>
        <v>46.58</v>
      </c>
      <c r="AU174" s="359">
        <f aca="true" t="shared" si="275" ref="AU174:AU186">ROUND(+R174*1/12*VLOOKUP($D174,LGFMBO,4,FALSE),2)</f>
        <v>46.58</v>
      </c>
      <c r="AV174" s="359">
        <f aca="true" t="shared" si="276" ref="AV174:AV186">ROUND(+S174*1/12*VLOOKUP($D174,LGFMBO,4,FALSE),2)</f>
        <v>46.58</v>
      </c>
      <c r="AW174" s="359">
        <f aca="true" t="shared" si="277" ref="AW174:AW186">ROUND(+T174*1/12*VLOOKUP($D174,LGFMBO,4,FALSE),2)</f>
        <v>46.58</v>
      </c>
    </row>
    <row r="175" spans="2:49" ht="12.75">
      <c r="B175" s="61"/>
      <c r="C175" s="85"/>
      <c r="D175" s="85" t="s">
        <v>474</v>
      </c>
      <c r="E175" s="85"/>
      <c r="F175" s="85" t="s">
        <v>661</v>
      </c>
      <c r="G175" s="108">
        <f t="shared" si="253"/>
        <v>1</v>
      </c>
      <c r="H175" s="107"/>
      <c r="I175" s="68">
        <v>1</v>
      </c>
      <c r="J175" s="5">
        <f aca="true" t="shared" si="278" ref="J175:T175">+I175</f>
        <v>1</v>
      </c>
      <c r="K175" s="5">
        <f t="shared" si="278"/>
        <v>1</v>
      </c>
      <c r="L175" s="5">
        <f t="shared" si="278"/>
        <v>1</v>
      </c>
      <c r="M175" s="5">
        <f t="shared" si="278"/>
        <v>1</v>
      </c>
      <c r="N175" s="5">
        <f t="shared" si="278"/>
        <v>1</v>
      </c>
      <c r="O175" s="5">
        <f t="shared" si="278"/>
        <v>1</v>
      </c>
      <c r="P175" s="5">
        <f t="shared" si="278"/>
        <v>1</v>
      </c>
      <c r="Q175" s="5">
        <f t="shared" si="278"/>
        <v>1</v>
      </c>
      <c r="R175" s="5">
        <f t="shared" si="278"/>
        <v>1</v>
      </c>
      <c r="S175" s="5">
        <f t="shared" si="278"/>
        <v>1</v>
      </c>
      <c r="T175" s="5">
        <f t="shared" si="278"/>
        <v>1</v>
      </c>
      <c r="U175" s="1"/>
      <c r="V175" s="352"/>
      <c r="Y175" s="56">
        <f aca="true" t="shared" si="279" ref="Y175:Y186">ROUND(+I175*1/12*VLOOKUP($D175,LGFMBO,2,FALSE),2)</f>
        <v>272.93</v>
      </c>
      <c r="Z175" s="56">
        <f t="shared" si="255"/>
        <v>272.93</v>
      </c>
      <c r="AA175" s="56">
        <f t="shared" si="256"/>
        <v>272.93</v>
      </c>
      <c r="AB175" s="56">
        <f t="shared" si="257"/>
        <v>272.93</v>
      </c>
      <c r="AC175" s="56">
        <f t="shared" si="258"/>
        <v>272.93</v>
      </c>
      <c r="AD175" s="56">
        <f t="shared" si="259"/>
        <v>272.93</v>
      </c>
      <c r="AE175" s="56">
        <f t="shared" si="260"/>
        <v>272.93</v>
      </c>
      <c r="AF175" s="56">
        <f t="shared" si="261"/>
        <v>272.93</v>
      </c>
      <c r="AG175" s="56">
        <f t="shared" si="262"/>
        <v>272.93</v>
      </c>
      <c r="AH175" s="56">
        <f t="shared" si="263"/>
        <v>272.93</v>
      </c>
      <c r="AI175" s="56">
        <f t="shared" si="264"/>
        <v>272.93</v>
      </c>
      <c r="AJ175" s="56">
        <f t="shared" si="265"/>
        <v>272.93</v>
      </c>
      <c r="AL175" s="359">
        <f t="shared" si="266"/>
        <v>18</v>
      </c>
      <c r="AM175" s="359">
        <f t="shared" si="267"/>
        <v>18</v>
      </c>
      <c r="AN175" s="359">
        <f t="shared" si="268"/>
        <v>18</v>
      </c>
      <c r="AO175" s="359">
        <f t="shared" si="269"/>
        <v>18</v>
      </c>
      <c r="AP175" s="359">
        <f t="shared" si="270"/>
        <v>18</v>
      </c>
      <c r="AQ175" s="359">
        <f t="shared" si="271"/>
        <v>18</v>
      </c>
      <c r="AR175" s="359">
        <f t="shared" si="272"/>
        <v>18</v>
      </c>
      <c r="AS175" s="359">
        <f t="shared" si="273"/>
        <v>18</v>
      </c>
      <c r="AT175" s="359">
        <f t="shared" si="274"/>
        <v>18</v>
      </c>
      <c r="AU175" s="359">
        <f t="shared" si="275"/>
        <v>18</v>
      </c>
      <c r="AV175" s="359">
        <f t="shared" si="276"/>
        <v>18</v>
      </c>
      <c r="AW175" s="359">
        <f t="shared" si="277"/>
        <v>18</v>
      </c>
    </row>
    <row r="176" spans="2:49" ht="12.75">
      <c r="B176" s="61"/>
      <c r="C176" s="85"/>
      <c r="D176" s="85" t="s">
        <v>475</v>
      </c>
      <c r="E176" s="85"/>
      <c r="F176" s="85" t="s">
        <v>661</v>
      </c>
      <c r="G176" s="108">
        <f t="shared" si="253"/>
        <v>1</v>
      </c>
      <c r="H176" s="107"/>
      <c r="I176" s="68">
        <v>1</v>
      </c>
      <c r="J176" s="5">
        <f aca="true" t="shared" si="280" ref="J176:T176">+I176</f>
        <v>1</v>
      </c>
      <c r="K176" s="5">
        <f t="shared" si="280"/>
        <v>1</v>
      </c>
      <c r="L176" s="5">
        <f t="shared" si="280"/>
        <v>1</v>
      </c>
      <c r="M176" s="5">
        <f t="shared" si="280"/>
        <v>1</v>
      </c>
      <c r="N176" s="5">
        <f t="shared" si="280"/>
        <v>1</v>
      </c>
      <c r="O176" s="5">
        <f t="shared" si="280"/>
        <v>1</v>
      </c>
      <c r="P176" s="5">
        <f t="shared" si="280"/>
        <v>1</v>
      </c>
      <c r="Q176" s="5">
        <f t="shared" si="280"/>
        <v>1</v>
      </c>
      <c r="R176" s="5">
        <f t="shared" si="280"/>
        <v>1</v>
      </c>
      <c r="S176" s="5">
        <f t="shared" si="280"/>
        <v>1</v>
      </c>
      <c r="T176" s="5">
        <f t="shared" si="280"/>
        <v>1</v>
      </c>
      <c r="U176" s="1"/>
      <c r="V176" s="352"/>
      <c r="Y176" s="56">
        <f t="shared" si="279"/>
        <v>272.93</v>
      </c>
      <c r="Z176" s="56">
        <f t="shared" si="255"/>
        <v>272.93</v>
      </c>
      <c r="AA176" s="56">
        <f t="shared" si="256"/>
        <v>272.93</v>
      </c>
      <c r="AB176" s="56">
        <f t="shared" si="257"/>
        <v>272.93</v>
      </c>
      <c r="AC176" s="56">
        <f t="shared" si="258"/>
        <v>272.93</v>
      </c>
      <c r="AD176" s="56">
        <f t="shared" si="259"/>
        <v>272.93</v>
      </c>
      <c r="AE176" s="56">
        <f t="shared" si="260"/>
        <v>272.93</v>
      </c>
      <c r="AF176" s="56">
        <f t="shared" si="261"/>
        <v>272.93</v>
      </c>
      <c r="AG176" s="56">
        <f t="shared" si="262"/>
        <v>272.93</v>
      </c>
      <c r="AH176" s="56">
        <f t="shared" si="263"/>
        <v>272.93</v>
      </c>
      <c r="AI176" s="56">
        <f t="shared" si="264"/>
        <v>272.93</v>
      </c>
      <c r="AJ176" s="56">
        <f t="shared" si="265"/>
        <v>272.93</v>
      </c>
      <c r="AL176" s="359">
        <f t="shared" si="266"/>
        <v>22.83</v>
      </c>
      <c r="AM176" s="359">
        <f t="shared" si="267"/>
        <v>22.83</v>
      </c>
      <c r="AN176" s="359">
        <f t="shared" si="268"/>
        <v>22.83</v>
      </c>
      <c r="AO176" s="359">
        <f t="shared" si="269"/>
        <v>22.83</v>
      </c>
      <c r="AP176" s="359">
        <f t="shared" si="270"/>
        <v>22.83</v>
      </c>
      <c r="AQ176" s="359">
        <f t="shared" si="271"/>
        <v>22.83</v>
      </c>
      <c r="AR176" s="359">
        <f t="shared" si="272"/>
        <v>22.83</v>
      </c>
      <c r="AS176" s="359">
        <f t="shared" si="273"/>
        <v>22.83</v>
      </c>
      <c r="AT176" s="359">
        <f t="shared" si="274"/>
        <v>22.83</v>
      </c>
      <c r="AU176" s="359">
        <f t="shared" si="275"/>
        <v>22.83</v>
      </c>
      <c r="AV176" s="359">
        <f t="shared" si="276"/>
        <v>22.83</v>
      </c>
      <c r="AW176" s="359">
        <f t="shared" si="277"/>
        <v>22.83</v>
      </c>
    </row>
    <row r="177" spans="2:49" ht="12.75">
      <c r="B177" s="61"/>
      <c r="C177" s="85"/>
      <c r="D177" s="85" t="s">
        <v>476</v>
      </c>
      <c r="E177" s="85"/>
      <c r="F177" s="85" t="s">
        <v>661</v>
      </c>
      <c r="G177" s="108">
        <f t="shared" si="253"/>
        <v>1</v>
      </c>
      <c r="H177" s="107"/>
      <c r="I177" s="68">
        <v>1</v>
      </c>
      <c r="J177" s="5">
        <f aca="true" t="shared" si="281" ref="J177:T177">+I177</f>
        <v>1</v>
      </c>
      <c r="K177" s="5">
        <f t="shared" si="281"/>
        <v>1</v>
      </c>
      <c r="L177" s="5">
        <f t="shared" si="281"/>
        <v>1</v>
      </c>
      <c r="M177" s="5">
        <f t="shared" si="281"/>
        <v>1</v>
      </c>
      <c r="N177" s="5">
        <f t="shared" si="281"/>
        <v>1</v>
      </c>
      <c r="O177" s="5">
        <f t="shared" si="281"/>
        <v>1</v>
      </c>
      <c r="P177" s="5">
        <f t="shared" si="281"/>
        <v>1</v>
      </c>
      <c r="Q177" s="5">
        <f t="shared" si="281"/>
        <v>1</v>
      </c>
      <c r="R177" s="5">
        <f t="shared" si="281"/>
        <v>1</v>
      </c>
      <c r="S177" s="5">
        <f t="shared" si="281"/>
        <v>1</v>
      </c>
      <c r="T177" s="5">
        <f t="shared" si="281"/>
        <v>1</v>
      </c>
      <c r="U177" s="1"/>
      <c r="V177" s="352"/>
      <c r="Y177" s="56">
        <f t="shared" si="279"/>
        <v>421.97</v>
      </c>
      <c r="Z177" s="56">
        <f t="shared" si="255"/>
        <v>421.97</v>
      </c>
      <c r="AA177" s="56">
        <f t="shared" si="256"/>
        <v>421.97</v>
      </c>
      <c r="AB177" s="56">
        <f t="shared" si="257"/>
        <v>421.97</v>
      </c>
      <c r="AC177" s="56">
        <f t="shared" si="258"/>
        <v>421.97</v>
      </c>
      <c r="AD177" s="56">
        <f t="shared" si="259"/>
        <v>421.97</v>
      </c>
      <c r="AE177" s="56">
        <f t="shared" si="260"/>
        <v>421.97</v>
      </c>
      <c r="AF177" s="56">
        <f t="shared" si="261"/>
        <v>421.97</v>
      </c>
      <c r="AG177" s="56">
        <f t="shared" si="262"/>
        <v>421.97</v>
      </c>
      <c r="AH177" s="56">
        <f t="shared" si="263"/>
        <v>421.97</v>
      </c>
      <c r="AI177" s="56">
        <f t="shared" si="264"/>
        <v>421.97</v>
      </c>
      <c r="AJ177" s="56">
        <f t="shared" si="265"/>
        <v>421.97</v>
      </c>
      <c r="AL177" s="359">
        <f t="shared" si="266"/>
        <v>39.08</v>
      </c>
      <c r="AM177" s="359">
        <f t="shared" si="267"/>
        <v>39.08</v>
      </c>
      <c r="AN177" s="359">
        <f t="shared" si="268"/>
        <v>39.08</v>
      </c>
      <c r="AO177" s="359">
        <f t="shared" si="269"/>
        <v>39.08</v>
      </c>
      <c r="AP177" s="359">
        <f t="shared" si="270"/>
        <v>39.08</v>
      </c>
      <c r="AQ177" s="359">
        <f t="shared" si="271"/>
        <v>39.08</v>
      </c>
      <c r="AR177" s="359">
        <f t="shared" si="272"/>
        <v>39.08</v>
      </c>
      <c r="AS177" s="359">
        <f t="shared" si="273"/>
        <v>39.08</v>
      </c>
      <c r="AT177" s="359">
        <f t="shared" si="274"/>
        <v>39.08</v>
      </c>
      <c r="AU177" s="359">
        <f t="shared" si="275"/>
        <v>39.08</v>
      </c>
      <c r="AV177" s="359">
        <f t="shared" si="276"/>
        <v>39.08</v>
      </c>
      <c r="AW177" s="359">
        <f t="shared" si="277"/>
        <v>39.08</v>
      </c>
    </row>
    <row r="178" spans="2:49" ht="12.75">
      <c r="B178" s="61"/>
      <c r="C178" s="85"/>
      <c r="D178" s="85" t="s">
        <v>478</v>
      </c>
      <c r="E178" s="85"/>
      <c r="F178" s="85" t="s">
        <v>661</v>
      </c>
      <c r="G178" s="108">
        <f t="shared" si="253"/>
        <v>1</v>
      </c>
      <c r="H178" s="107"/>
      <c r="I178" s="68">
        <v>1</v>
      </c>
      <c r="J178" s="5">
        <f aca="true" t="shared" si="282" ref="J178:T178">+I178</f>
        <v>1</v>
      </c>
      <c r="K178" s="5">
        <f t="shared" si="282"/>
        <v>1</v>
      </c>
      <c r="L178" s="5">
        <f t="shared" si="282"/>
        <v>1</v>
      </c>
      <c r="M178" s="5">
        <f t="shared" si="282"/>
        <v>1</v>
      </c>
      <c r="N178" s="5">
        <f t="shared" si="282"/>
        <v>1</v>
      </c>
      <c r="O178" s="5">
        <f t="shared" si="282"/>
        <v>1</v>
      </c>
      <c r="P178" s="5">
        <f t="shared" si="282"/>
        <v>1</v>
      </c>
      <c r="Q178" s="5">
        <f t="shared" si="282"/>
        <v>1</v>
      </c>
      <c r="R178" s="5">
        <f t="shared" si="282"/>
        <v>1</v>
      </c>
      <c r="S178" s="5">
        <f t="shared" si="282"/>
        <v>1</v>
      </c>
      <c r="T178" s="5">
        <f t="shared" si="282"/>
        <v>1</v>
      </c>
      <c r="U178" s="1"/>
      <c r="V178" s="352"/>
      <c r="Y178" s="56">
        <f t="shared" si="279"/>
        <v>272.93</v>
      </c>
      <c r="Z178" s="56">
        <f t="shared" si="255"/>
        <v>272.93</v>
      </c>
      <c r="AA178" s="56">
        <f t="shared" si="256"/>
        <v>272.93</v>
      </c>
      <c r="AB178" s="56">
        <f t="shared" si="257"/>
        <v>272.93</v>
      </c>
      <c r="AC178" s="56">
        <f t="shared" si="258"/>
        <v>272.93</v>
      </c>
      <c r="AD178" s="56">
        <f t="shared" si="259"/>
        <v>272.93</v>
      </c>
      <c r="AE178" s="56">
        <f t="shared" si="260"/>
        <v>272.93</v>
      </c>
      <c r="AF178" s="56">
        <f t="shared" si="261"/>
        <v>272.93</v>
      </c>
      <c r="AG178" s="56">
        <f t="shared" si="262"/>
        <v>272.93</v>
      </c>
      <c r="AH178" s="56">
        <f t="shared" si="263"/>
        <v>272.93</v>
      </c>
      <c r="AI178" s="56">
        <f t="shared" si="264"/>
        <v>272.93</v>
      </c>
      <c r="AJ178" s="56">
        <f t="shared" si="265"/>
        <v>272.93</v>
      </c>
      <c r="AL178" s="359">
        <f t="shared" si="266"/>
        <v>22.83</v>
      </c>
      <c r="AM178" s="359">
        <f t="shared" si="267"/>
        <v>22.83</v>
      </c>
      <c r="AN178" s="359">
        <f t="shared" si="268"/>
        <v>22.83</v>
      </c>
      <c r="AO178" s="359">
        <f t="shared" si="269"/>
        <v>22.83</v>
      </c>
      <c r="AP178" s="359">
        <f t="shared" si="270"/>
        <v>22.83</v>
      </c>
      <c r="AQ178" s="359">
        <f t="shared" si="271"/>
        <v>22.83</v>
      </c>
      <c r="AR178" s="359">
        <f t="shared" si="272"/>
        <v>22.83</v>
      </c>
      <c r="AS178" s="359">
        <f t="shared" si="273"/>
        <v>22.83</v>
      </c>
      <c r="AT178" s="359">
        <f t="shared" si="274"/>
        <v>22.83</v>
      </c>
      <c r="AU178" s="359">
        <f t="shared" si="275"/>
        <v>22.83</v>
      </c>
      <c r="AV178" s="359">
        <f t="shared" si="276"/>
        <v>22.83</v>
      </c>
      <c r="AW178" s="359">
        <f t="shared" si="277"/>
        <v>22.83</v>
      </c>
    </row>
    <row r="179" spans="2:49" ht="12.75">
      <c r="B179" s="61"/>
      <c r="C179" s="85"/>
      <c r="D179" s="85" t="s">
        <v>479</v>
      </c>
      <c r="E179" s="85"/>
      <c r="F179" s="85" t="s">
        <v>661</v>
      </c>
      <c r="G179" s="108">
        <f t="shared" si="253"/>
        <v>1</v>
      </c>
      <c r="H179" s="107"/>
      <c r="I179" s="68">
        <v>1</v>
      </c>
      <c r="J179" s="5">
        <f aca="true" t="shared" si="283" ref="J179:T179">+I179</f>
        <v>1</v>
      </c>
      <c r="K179" s="5">
        <f t="shared" si="283"/>
        <v>1</v>
      </c>
      <c r="L179" s="5">
        <f t="shared" si="283"/>
        <v>1</v>
      </c>
      <c r="M179" s="5">
        <f t="shared" si="283"/>
        <v>1</v>
      </c>
      <c r="N179" s="5">
        <f t="shared" si="283"/>
        <v>1</v>
      </c>
      <c r="O179" s="5">
        <f t="shared" si="283"/>
        <v>1</v>
      </c>
      <c r="P179" s="5">
        <f t="shared" si="283"/>
        <v>1</v>
      </c>
      <c r="Q179" s="5">
        <f t="shared" si="283"/>
        <v>1</v>
      </c>
      <c r="R179" s="5">
        <f t="shared" si="283"/>
        <v>1</v>
      </c>
      <c r="S179" s="5">
        <f t="shared" si="283"/>
        <v>1</v>
      </c>
      <c r="T179" s="5">
        <f t="shared" si="283"/>
        <v>1</v>
      </c>
      <c r="U179" s="1"/>
      <c r="V179" s="352"/>
      <c r="Y179" s="56">
        <f t="shared" si="279"/>
        <v>272.93</v>
      </c>
      <c r="Z179" s="56">
        <f t="shared" si="255"/>
        <v>272.93</v>
      </c>
      <c r="AA179" s="56">
        <f t="shared" si="256"/>
        <v>272.93</v>
      </c>
      <c r="AB179" s="56">
        <f t="shared" si="257"/>
        <v>272.93</v>
      </c>
      <c r="AC179" s="56">
        <f t="shared" si="258"/>
        <v>272.93</v>
      </c>
      <c r="AD179" s="56">
        <f t="shared" si="259"/>
        <v>272.93</v>
      </c>
      <c r="AE179" s="56">
        <f t="shared" si="260"/>
        <v>272.93</v>
      </c>
      <c r="AF179" s="56">
        <f t="shared" si="261"/>
        <v>272.93</v>
      </c>
      <c r="AG179" s="56">
        <f t="shared" si="262"/>
        <v>272.93</v>
      </c>
      <c r="AH179" s="56">
        <f t="shared" si="263"/>
        <v>272.93</v>
      </c>
      <c r="AI179" s="56">
        <f t="shared" si="264"/>
        <v>272.93</v>
      </c>
      <c r="AJ179" s="56">
        <f t="shared" si="265"/>
        <v>272.93</v>
      </c>
      <c r="AL179" s="359">
        <f t="shared" si="266"/>
        <v>22.83</v>
      </c>
      <c r="AM179" s="359">
        <f t="shared" si="267"/>
        <v>22.83</v>
      </c>
      <c r="AN179" s="359">
        <f t="shared" si="268"/>
        <v>22.83</v>
      </c>
      <c r="AO179" s="359">
        <f t="shared" si="269"/>
        <v>22.83</v>
      </c>
      <c r="AP179" s="359">
        <f t="shared" si="270"/>
        <v>22.83</v>
      </c>
      <c r="AQ179" s="359">
        <f t="shared" si="271"/>
        <v>22.83</v>
      </c>
      <c r="AR179" s="359">
        <f t="shared" si="272"/>
        <v>22.83</v>
      </c>
      <c r="AS179" s="359">
        <f t="shared" si="273"/>
        <v>22.83</v>
      </c>
      <c r="AT179" s="359">
        <f t="shared" si="274"/>
        <v>22.83</v>
      </c>
      <c r="AU179" s="359">
        <f t="shared" si="275"/>
        <v>22.83</v>
      </c>
      <c r="AV179" s="359">
        <f t="shared" si="276"/>
        <v>22.83</v>
      </c>
      <c r="AW179" s="359">
        <f t="shared" si="277"/>
        <v>22.83</v>
      </c>
    </row>
    <row r="180" spans="2:49" ht="12.75">
      <c r="B180" s="61"/>
      <c r="C180" s="85"/>
      <c r="D180" s="85" t="s">
        <v>477</v>
      </c>
      <c r="E180" s="85"/>
      <c r="F180" s="85" t="s">
        <v>661</v>
      </c>
      <c r="G180" s="108">
        <f t="shared" si="253"/>
        <v>1</v>
      </c>
      <c r="H180" s="107"/>
      <c r="I180" s="68">
        <v>1</v>
      </c>
      <c r="J180" s="5">
        <f aca="true" t="shared" si="284" ref="J180:T180">+I180</f>
        <v>1</v>
      </c>
      <c r="K180" s="5">
        <f t="shared" si="284"/>
        <v>1</v>
      </c>
      <c r="L180" s="5">
        <f t="shared" si="284"/>
        <v>1</v>
      </c>
      <c r="M180" s="5">
        <f t="shared" si="284"/>
        <v>1</v>
      </c>
      <c r="N180" s="5">
        <f t="shared" si="284"/>
        <v>1</v>
      </c>
      <c r="O180" s="5">
        <f t="shared" si="284"/>
        <v>1</v>
      </c>
      <c r="P180" s="5">
        <f t="shared" si="284"/>
        <v>1</v>
      </c>
      <c r="Q180" s="5">
        <f t="shared" si="284"/>
        <v>1</v>
      </c>
      <c r="R180" s="5">
        <f t="shared" si="284"/>
        <v>1</v>
      </c>
      <c r="S180" s="5">
        <f t="shared" si="284"/>
        <v>1</v>
      </c>
      <c r="T180" s="5">
        <f t="shared" si="284"/>
        <v>1</v>
      </c>
      <c r="U180" s="1"/>
      <c r="V180" s="352"/>
      <c r="Y180" s="56">
        <f t="shared" si="279"/>
        <v>272.93</v>
      </c>
      <c r="Z180" s="56">
        <f t="shared" si="255"/>
        <v>272.93</v>
      </c>
      <c r="AA180" s="56">
        <f t="shared" si="256"/>
        <v>272.93</v>
      </c>
      <c r="AB180" s="56">
        <f t="shared" si="257"/>
        <v>272.93</v>
      </c>
      <c r="AC180" s="56">
        <f t="shared" si="258"/>
        <v>272.93</v>
      </c>
      <c r="AD180" s="56">
        <f t="shared" si="259"/>
        <v>272.93</v>
      </c>
      <c r="AE180" s="56">
        <f t="shared" si="260"/>
        <v>272.93</v>
      </c>
      <c r="AF180" s="56">
        <f t="shared" si="261"/>
        <v>272.93</v>
      </c>
      <c r="AG180" s="56">
        <f t="shared" si="262"/>
        <v>272.93</v>
      </c>
      <c r="AH180" s="56">
        <f t="shared" si="263"/>
        <v>272.93</v>
      </c>
      <c r="AI180" s="56">
        <f t="shared" si="264"/>
        <v>272.93</v>
      </c>
      <c r="AJ180" s="56">
        <f t="shared" si="265"/>
        <v>272.93</v>
      </c>
      <c r="AL180" s="359">
        <f t="shared" si="266"/>
        <v>12.42</v>
      </c>
      <c r="AM180" s="359">
        <f t="shared" si="267"/>
        <v>12.42</v>
      </c>
      <c r="AN180" s="359">
        <f t="shared" si="268"/>
        <v>12.42</v>
      </c>
      <c r="AO180" s="359">
        <f t="shared" si="269"/>
        <v>12.42</v>
      </c>
      <c r="AP180" s="359">
        <f t="shared" si="270"/>
        <v>12.42</v>
      </c>
      <c r="AQ180" s="359">
        <f t="shared" si="271"/>
        <v>12.42</v>
      </c>
      <c r="AR180" s="359">
        <f t="shared" si="272"/>
        <v>12.42</v>
      </c>
      <c r="AS180" s="359">
        <f t="shared" si="273"/>
        <v>12.42</v>
      </c>
      <c r="AT180" s="359">
        <f t="shared" si="274"/>
        <v>12.42</v>
      </c>
      <c r="AU180" s="359">
        <f t="shared" si="275"/>
        <v>12.42</v>
      </c>
      <c r="AV180" s="359">
        <f t="shared" si="276"/>
        <v>12.42</v>
      </c>
      <c r="AW180" s="359">
        <f t="shared" si="277"/>
        <v>12.42</v>
      </c>
    </row>
    <row r="181" spans="2:49" ht="12.75">
      <c r="B181" s="61"/>
      <c r="C181" s="85"/>
      <c r="D181" s="85" t="s">
        <v>480</v>
      </c>
      <c r="E181" s="85"/>
      <c r="F181" s="85" t="s">
        <v>661</v>
      </c>
      <c r="G181" s="108">
        <f t="shared" si="253"/>
        <v>1</v>
      </c>
      <c r="H181" s="107"/>
      <c r="I181" s="68">
        <v>1</v>
      </c>
      <c r="J181" s="5">
        <f aca="true" t="shared" si="285" ref="J181:T181">+I181</f>
        <v>1</v>
      </c>
      <c r="K181" s="5">
        <f t="shared" si="285"/>
        <v>1</v>
      </c>
      <c r="L181" s="5">
        <f t="shared" si="285"/>
        <v>1</v>
      </c>
      <c r="M181" s="5">
        <f t="shared" si="285"/>
        <v>1</v>
      </c>
      <c r="N181" s="5">
        <f t="shared" si="285"/>
        <v>1</v>
      </c>
      <c r="O181" s="5">
        <f t="shared" si="285"/>
        <v>1</v>
      </c>
      <c r="P181" s="5">
        <f t="shared" si="285"/>
        <v>1</v>
      </c>
      <c r="Q181" s="5">
        <f t="shared" si="285"/>
        <v>1</v>
      </c>
      <c r="R181" s="5">
        <f t="shared" si="285"/>
        <v>1</v>
      </c>
      <c r="S181" s="5">
        <f t="shared" si="285"/>
        <v>1</v>
      </c>
      <c r="T181" s="5">
        <f t="shared" si="285"/>
        <v>1</v>
      </c>
      <c r="U181" s="1"/>
      <c r="V181" s="352"/>
      <c r="Y181" s="56">
        <f t="shared" si="279"/>
        <v>272.93</v>
      </c>
      <c r="Z181" s="56">
        <f t="shared" si="255"/>
        <v>272.93</v>
      </c>
      <c r="AA181" s="56">
        <f t="shared" si="256"/>
        <v>272.93</v>
      </c>
      <c r="AB181" s="56">
        <f t="shared" si="257"/>
        <v>272.93</v>
      </c>
      <c r="AC181" s="56">
        <f t="shared" si="258"/>
        <v>272.93</v>
      </c>
      <c r="AD181" s="56">
        <f t="shared" si="259"/>
        <v>272.93</v>
      </c>
      <c r="AE181" s="56">
        <f t="shared" si="260"/>
        <v>272.93</v>
      </c>
      <c r="AF181" s="56">
        <f t="shared" si="261"/>
        <v>272.93</v>
      </c>
      <c r="AG181" s="56">
        <f t="shared" si="262"/>
        <v>272.93</v>
      </c>
      <c r="AH181" s="56">
        <f t="shared" si="263"/>
        <v>272.93</v>
      </c>
      <c r="AI181" s="56">
        <f t="shared" si="264"/>
        <v>272.93</v>
      </c>
      <c r="AJ181" s="56">
        <f t="shared" si="265"/>
        <v>272.93</v>
      </c>
      <c r="AL181" s="359">
        <f t="shared" si="266"/>
        <v>22.83</v>
      </c>
      <c r="AM181" s="359">
        <f t="shared" si="267"/>
        <v>22.83</v>
      </c>
      <c r="AN181" s="359">
        <f t="shared" si="268"/>
        <v>22.83</v>
      </c>
      <c r="AO181" s="359">
        <f t="shared" si="269"/>
        <v>22.83</v>
      </c>
      <c r="AP181" s="359">
        <f t="shared" si="270"/>
        <v>22.83</v>
      </c>
      <c r="AQ181" s="359">
        <f t="shared" si="271"/>
        <v>22.83</v>
      </c>
      <c r="AR181" s="359">
        <f t="shared" si="272"/>
        <v>22.83</v>
      </c>
      <c r="AS181" s="359">
        <f t="shared" si="273"/>
        <v>22.83</v>
      </c>
      <c r="AT181" s="359">
        <f t="shared" si="274"/>
        <v>22.83</v>
      </c>
      <c r="AU181" s="359">
        <f t="shared" si="275"/>
        <v>22.83</v>
      </c>
      <c r="AV181" s="359">
        <f t="shared" si="276"/>
        <v>22.83</v>
      </c>
      <c r="AW181" s="359">
        <f t="shared" si="277"/>
        <v>22.83</v>
      </c>
    </row>
    <row r="182" spans="2:49" ht="12.75">
      <c r="B182" s="61"/>
      <c r="C182" s="85"/>
      <c r="D182" s="85" t="s">
        <v>481</v>
      </c>
      <c r="E182" s="85"/>
      <c r="F182" s="85" t="s">
        <v>661</v>
      </c>
      <c r="G182" s="108">
        <f t="shared" si="253"/>
        <v>1</v>
      </c>
      <c r="H182" s="107"/>
      <c r="I182" s="68">
        <v>1</v>
      </c>
      <c r="J182" s="5">
        <f aca="true" t="shared" si="286" ref="J182:T182">+I182</f>
        <v>1</v>
      </c>
      <c r="K182" s="5">
        <f t="shared" si="286"/>
        <v>1</v>
      </c>
      <c r="L182" s="5">
        <f t="shared" si="286"/>
        <v>1</v>
      </c>
      <c r="M182" s="5">
        <f t="shared" si="286"/>
        <v>1</v>
      </c>
      <c r="N182" s="5">
        <f t="shared" si="286"/>
        <v>1</v>
      </c>
      <c r="O182" s="5">
        <f t="shared" si="286"/>
        <v>1</v>
      </c>
      <c r="P182" s="5">
        <f t="shared" si="286"/>
        <v>1</v>
      </c>
      <c r="Q182" s="5">
        <f t="shared" si="286"/>
        <v>1</v>
      </c>
      <c r="R182" s="5">
        <f t="shared" si="286"/>
        <v>1</v>
      </c>
      <c r="S182" s="5">
        <f t="shared" si="286"/>
        <v>1</v>
      </c>
      <c r="T182" s="5">
        <f t="shared" si="286"/>
        <v>1</v>
      </c>
      <c r="U182" s="1"/>
      <c r="V182" s="352"/>
      <c r="Y182" s="56">
        <f t="shared" si="279"/>
        <v>272.93</v>
      </c>
      <c r="Z182" s="56">
        <f t="shared" si="255"/>
        <v>272.93</v>
      </c>
      <c r="AA182" s="56">
        <f t="shared" si="256"/>
        <v>272.93</v>
      </c>
      <c r="AB182" s="56">
        <f t="shared" si="257"/>
        <v>272.93</v>
      </c>
      <c r="AC182" s="56">
        <f t="shared" si="258"/>
        <v>272.93</v>
      </c>
      <c r="AD182" s="56">
        <f t="shared" si="259"/>
        <v>272.93</v>
      </c>
      <c r="AE182" s="56">
        <f t="shared" si="260"/>
        <v>272.93</v>
      </c>
      <c r="AF182" s="56">
        <f t="shared" si="261"/>
        <v>272.93</v>
      </c>
      <c r="AG182" s="56">
        <f t="shared" si="262"/>
        <v>272.93</v>
      </c>
      <c r="AH182" s="56">
        <f t="shared" si="263"/>
        <v>272.93</v>
      </c>
      <c r="AI182" s="56">
        <f t="shared" si="264"/>
        <v>272.93</v>
      </c>
      <c r="AJ182" s="56">
        <f t="shared" si="265"/>
        <v>272.93</v>
      </c>
      <c r="AL182" s="359">
        <f t="shared" si="266"/>
        <v>22.83</v>
      </c>
      <c r="AM182" s="359">
        <f t="shared" si="267"/>
        <v>22.83</v>
      </c>
      <c r="AN182" s="359">
        <f t="shared" si="268"/>
        <v>22.83</v>
      </c>
      <c r="AO182" s="359">
        <f t="shared" si="269"/>
        <v>22.83</v>
      </c>
      <c r="AP182" s="359">
        <f t="shared" si="270"/>
        <v>22.83</v>
      </c>
      <c r="AQ182" s="359">
        <f t="shared" si="271"/>
        <v>22.83</v>
      </c>
      <c r="AR182" s="359">
        <f t="shared" si="272"/>
        <v>22.83</v>
      </c>
      <c r="AS182" s="359">
        <f t="shared" si="273"/>
        <v>22.83</v>
      </c>
      <c r="AT182" s="359">
        <f t="shared" si="274"/>
        <v>22.83</v>
      </c>
      <c r="AU182" s="359">
        <f t="shared" si="275"/>
        <v>22.83</v>
      </c>
      <c r="AV182" s="359">
        <f t="shared" si="276"/>
        <v>22.83</v>
      </c>
      <c r="AW182" s="359">
        <f t="shared" si="277"/>
        <v>22.83</v>
      </c>
    </row>
    <row r="183" spans="2:49" ht="12.75">
      <c r="B183" s="61"/>
      <c r="C183" s="85"/>
      <c r="D183" s="85" t="s">
        <v>483</v>
      </c>
      <c r="E183" s="85"/>
      <c r="F183" s="85" t="s">
        <v>661</v>
      </c>
      <c r="G183" s="108">
        <f t="shared" si="253"/>
        <v>1</v>
      </c>
      <c r="H183" s="107"/>
      <c r="I183" s="68">
        <v>1</v>
      </c>
      <c r="J183" s="5">
        <f aca="true" t="shared" si="287" ref="J183:T183">+I183</f>
        <v>1</v>
      </c>
      <c r="K183" s="5">
        <f t="shared" si="287"/>
        <v>1</v>
      </c>
      <c r="L183" s="5">
        <f t="shared" si="287"/>
        <v>1</v>
      </c>
      <c r="M183" s="5">
        <f t="shared" si="287"/>
        <v>1</v>
      </c>
      <c r="N183" s="5">
        <f t="shared" si="287"/>
        <v>1</v>
      </c>
      <c r="O183" s="5">
        <f t="shared" si="287"/>
        <v>1</v>
      </c>
      <c r="P183" s="5">
        <f t="shared" si="287"/>
        <v>1</v>
      </c>
      <c r="Q183" s="5">
        <f t="shared" si="287"/>
        <v>1</v>
      </c>
      <c r="R183" s="5">
        <f t="shared" si="287"/>
        <v>1</v>
      </c>
      <c r="S183" s="5">
        <f t="shared" si="287"/>
        <v>1</v>
      </c>
      <c r="T183" s="5">
        <f t="shared" si="287"/>
        <v>1</v>
      </c>
      <c r="U183" s="1"/>
      <c r="V183" s="352"/>
      <c r="Y183" s="56">
        <f t="shared" si="279"/>
        <v>272.93</v>
      </c>
      <c r="Z183" s="56">
        <f t="shared" si="255"/>
        <v>272.93</v>
      </c>
      <c r="AA183" s="56">
        <f t="shared" si="256"/>
        <v>272.93</v>
      </c>
      <c r="AB183" s="56">
        <f t="shared" si="257"/>
        <v>272.93</v>
      </c>
      <c r="AC183" s="56">
        <f t="shared" si="258"/>
        <v>272.93</v>
      </c>
      <c r="AD183" s="56">
        <f t="shared" si="259"/>
        <v>272.93</v>
      </c>
      <c r="AE183" s="56">
        <f t="shared" si="260"/>
        <v>272.93</v>
      </c>
      <c r="AF183" s="56">
        <f t="shared" si="261"/>
        <v>272.93</v>
      </c>
      <c r="AG183" s="56">
        <f t="shared" si="262"/>
        <v>272.93</v>
      </c>
      <c r="AH183" s="56">
        <f t="shared" si="263"/>
        <v>272.93</v>
      </c>
      <c r="AI183" s="56">
        <f t="shared" si="264"/>
        <v>272.93</v>
      </c>
      <c r="AJ183" s="56">
        <f t="shared" si="265"/>
        <v>272.93</v>
      </c>
      <c r="AL183" s="359">
        <f t="shared" si="266"/>
        <v>22.83</v>
      </c>
      <c r="AM183" s="359">
        <f t="shared" si="267"/>
        <v>22.83</v>
      </c>
      <c r="AN183" s="359">
        <f t="shared" si="268"/>
        <v>22.83</v>
      </c>
      <c r="AO183" s="359">
        <f t="shared" si="269"/>
        <v>22.83</v>
      </c>
      <c r="AP183" s="359">
        <f t="shared" si="270"/>
        <v>22.83</v>
      </c>
      <c r="AQ183" s="359">
        <f t="shared" si="271"/>
        <v>22.83</v>
      </c>
      <c r="AR183" s="359">
        <f t="shared" si="272"/>
        <v>22.83</v>
      </c>
      <c r="AS183" s="359">
        <f t="shared" si="273"/>
        <v>22.83</v>
      </c>
      <c r="AT183" s="359">
        <f t="shared" si="274"/>
        <v>22.83</v>
      </c>
      <c r="AU183" s="359">
        <f t="shared" si="275"/>
        <v>22.83</v>
      </c>
      <c r="AV183" s="359">
        <f t="shared" si="276"/>
        <v>22.83</v>
      </c>
      <c r="AW183" s="359">
        <f t="shared" si="277"/>
        <v>22.83</v>
      </c>
    </row>
    <row r="184" spans="2:49" ht="12.75">
      <c r="B184" s="61"/>
      <c r="C184" s="85"/>
      <c r="D184" s="85" t="s">
        <v>484</v>
      </c>
      <c r="E184" s="85"/>
      <c r="F184" s="85" t="s">
        <v>661</v>
      </c>
      <c r="G184" s="108">
        <f t="shared" si="253"/>
        <v>1</v>
      </c>
      <c r="H184" s="107"/>
      <c r="I184" s="68">
        <v>1</v>
      </c>
      <c r="J184" s="5">
        <f aca="true" t="shared" si="288" ref="J184:T184">+I184</f>
        <v>1</v>
      </c>
      <c r="K184" s="5">
        <f t="shared" si="288"/>
        <v>1</v>
      </c>
      <c r="L184" s="5">
        <f t="shared" si="288"/>
        <v>1</v>
      </c>
      <c r="M184" s="5">
        <f t="shared" si="288"/>
        <v>1</v>
      </c>
      <c r="N184" s="5">
        <f t="shared" si="288"/>
        <v>1</v>
      </c>
      <c r="O184" s="5">
        <f t="shared" si="288"/>
        <v>1</v>
      </c>
      <c r="P184" s="5">
        <f t="shared" si="288"/>
        <v>1</v>
      </c>
      <c r="Q184" s="5">
        <f t="shared" si="288"/>
        <v>1</v>
      </c>
      <c r="R184" s="5">
        <f t="shared" si="288"/>
        <v>1</v>
      </c>
      <c r="S184" s="5">
        <f t="shared" si="288"/>
        <v>1</v>
      </c>
      <c r="T184" s="5">
        <f t="shared" si="288"/>
        <v>1</v>
      </c>
      <c r="U184" s="1"/>
      <c r="V184" s="352"/>
      <c r="Y184" s="56">
        <f t="shared" si="279"/>
        <v>272.93</v>
      </c>
      <c r="Z184" s="56">
        <f t="shared" si="255"/>
        <v>272.93</v>
      </c>
      <c r="AA184" s="56">
        <f t="shared" si="256"/>
        <v>272.93</v>
      </c>
      <c r="AB184" s="56">
        <f t="shared" si="257"/>
        <v>272.93</v>
      </c>
      <c r="AC184" s="56">
        <f t="shared" si="258"/>
        <v>272.93</v>
      </c>
      <c r="AD184" s="56">
        <f t="shared" si="259"/>
        <v>272.93</v>
      </c>
      <c r="AE184" s="56">
        <f t="shared" si="260"/>
        <v>272.93</v>
      </c>
      <c r="AF184" s="56">
        <f t="shared" si="261"/>
        <v>272.93</v>
      </c>
      <c r="AG184" s="56">
        <f t="shared" si="262"/>
        <v>272.93</v>
      </c>
      <c r="AH184" s="56">
        <f t="shared" si="263"/>
        <v>272.93</v>
      </c>
      <c r="AI184" s="56">
        <f t="shared" si="264"/>
        <v>272.93</v>
      </c>
      <c r="AJ184" s="56">
        <f t="shared" si="265"/>
        <v>272.93</v>
      </c>
      <c r="AL184" s="359">
        <f t="shared" si="266"/>
        <v>22.83</v>
      </c>
      <c r="AM184" s="359">
        <f t="shared" si="267"/>
        <v>22.83</v>
      </c>
      <c r="AN184" s="359">
        <f t="shared" si="268"/>
        <v>22.83</v>
      </c>
      <c r="AO184" s="359">
        <f t="shared" si="269"/>
        <v>22.83</v>
      </c>
      <c r="AP184" s="359">
        <f t="shared" si="270"/>
        <v>22.83</v>
      </c>
      <c r="AQ184" s="359">
        <f t="shared" si="271"/>
        <v>22.83</v>
      </c>
      <c r="AR184" s="359">
        <f t="shared" si="272"/>
        <v>22.83</v>
      </c>
      <c r="AS184" s="359">
        <f t="shared" si="273"/>
        <v>22.83</v>
      </c>
      <c r="AT184" s="359">
        <f t="shared" si="274"/>
        <v>22.83</v>
      </c>
      <c r="AU184" s="359">
        <f t="shared" si="275"/>
        <v>22.83</v>
      </c>
      <c r="AV184" s="359">
        <f t="shared" si="276"/>
        <v>22.83</v>
      </c>
      <c r="AW184" s="359">
        <f t="shared" si="277"/>
        <v>22.83</v>
      </c>
    </row>
    <row r="185" spans="2:49" ht="12.75">
      <c r="B185" s="61"/>
      <c r="C185" s="85"/>
      <c r="D185" s="85" t="s">
        <v>482</v>
      </c>
      <c r="E185" s="85"/>
      <c r="F185" s="85" t="s">
        <v>661</v>
      </c>
      <c r="G185" s="108">
        <f t="shared" si="253"/>
        <v>1</v>
      </c>
      <c r="H185" s="107"/>
      <c r="I185" s="68">
        <v>1</v>
      </c>
      <c r="J185" s="5">
        <f aca="true" t="shared" si="289" ref="J185:T185">+I185</f>
        <v>1</v>
      </c>
      <c r="K185" s="5">
        <f t="shared" si="289"/>
        <v>1</v>
      </c>
      <c r="L185" s="5">
        <f t="shared" si="289"/>
        <v>1</v>
      </c>
      <c r="M185" s="5">
        <f t="shared" si="289"/>
        <v>1</v>
      </c>
      <c r="N185" s="5">
        <f t="shared" si="289"/>
        <v>1</v>
      </c>
      <c r="O185" s="5">
        <f t="shared" si="289"/>
        <v>1</v>
      </c>
      <c r="P185" s="5">
        <f t="shared" si="289"/>
        <v>1</v>
      </c>
      <c r="Q185" s="5">
        <f t="shared" si="289"/>
        <v>1</v>
      </c>
      <c r="R185" s="5">
        <f t="shared" si="289"/>
        <v>1</v>
      </c>
      <c r="S185" s="5">
        <f t="shared" si="289"/>
        <v>1</v>
      </c>
      <c r="T185" s="5">
        <f t="shared" si="289"/>
        <v>1</v>
      </c>
      <c r="U185" s="1"/>
      <c r="V185" s="352"/>
      <c r="Y185" s="56">
        <f t="shared" si="279"/>
        <v>272.93</v>
      </c>
      <c r="Z185" s="56">
        <f t="shared" si="255"/>
        <v>272.93</v>
      </c>
      <c r="AA185" s="56">
        <f t="shared" si="256"/>
        <v>272.93</v>
      </c>
      <c r="AB185" s="56">
        <f t="shared" si="257"/>
        <v>272.93</v>
      </c>
      <c r="AC185" s="56">
        <f t="shared" si="258"/>
        <v>272.93</v>
      </c>
      <c r="AD185" s="56">
        <f t="shared" si="259"/>
        <v>272.93</v>
      </c>
      <c r="AE185" s="56">
        <f t="shared" si="260"/>
        <v>272.93</v>
      </c>
      <c r="AF185" s="56">
        <f t="shared" si="261"/>
        <v>272.93</v>
      </c>
      <c r="AG185" s="56">
        <f t="shared" si="262"/>
        <v>272.93</v>
      </c>
      <c r="AH185" s="56">
        <f t="shared" si="263"/>
        <v>272.93</v>
      </c>
      <c r="AI185" s="56">
        <f t="shared" si="264"/>
        <v>272.93</v>
      </c>
      <c r="AJ185" s="56">
        <f t="shared" si="265"/>
        <v>272.93</v>
      </c>
      <c r="AL185" s="359">
        <f t="shared" si="266"/>
        <v>22.83</v>
      </c>
      <c r="AM185" s="359">
        <f t="shared" si="267"/>
        <v>22.83</v>
      </c>
      <c r="AN185" s="359">
        <f t="shared" si="268"/>
        <v>22.83</v>
      </c>
      <c r="AO185" s="359">
        <f t="shared" si="269"/>
        <v>22.83</v>
      </c>
      <c r="AP185" s="359">
        <f t="shared" si="270"/>
        <v>22.83</v>
      </c>
      <c r="AQ185" s="359">
        <f t="shared" si="271"/>
        <v>22.83</v>
      </c>
      <c r="AR185" s="359">
        <f t="shared" si="272"/>
        <v>22.83</v>
      </c>
      <c r="AS185" s="359">
        <f t="shared" si="273"/>
        <v>22.83</v>
      </c>
      <c r="AT185" s="359">
        <f t="shared" si="274"/>
        <v>22.83</v>
      </c>
      <c r="AU185" s="359">
        <f t="shared" si="275"/>
        <v>22.83</v>
      </c>
      <c r="AV185" s="359">
        <f t="shared" si="276"/>
        <v>22.83</v>
      </c>
      <c r="AW185" s="359">
        <f t="shared" si="277"/>
        <v>22.83</v>
      </c>
    </row>
    <row r="186" spans="2:49" ht="12.75">
      <c r="B186" s="61"/>
      <c r="C186" s="85"/>
      <c r="D186" s="85" t="s">
        <v>485</v>
      </c>
      <c r="E186" s="85"/>
      <c r="F186" s="85" t="s">
        <v>661</v>
      </c>
      <c r="G186" s="108">
        <f t="shared" si="253"/>
        <v>1</v>
      </c>
      <c r="H186" s="107"/>
      <c r="I186" s="68">
        <v>1</v>
      </c>
      <c r="J186" s="5">
        <f aca="true" t="shared" si="290" ref="J186:T186">+I186</f>
        <v>1</v>
      </c>
      <c r="K186" s="5">
        <f t="shared" si="290"/>
        <v>1</v>
      </c>
      <c r="L186" s="5">
        <f t="shared" si="290"/>
        <v>1</v>
      </c>
      <c r="M186" s="5">
        <f t="shared" si="290"/>
        <v>1</v>
      </c>
      <c r="N186" s="5">
        <f t="shared" si="290"/>
        <v>1</v>
      </c>
      <c r="O186" s="5">
        <f t="shared" si="290"/>
        <v>1</v>
      </c>
      <c r="P186" s="5">
        <f t="shared" si="290"/>
        <v>1</v>
      </c>
      <c r="Q186" s="5">
        <f t="shared" si="290"/>
        <v>1</v>
      </c>
      <c r="R186" s="5">
        <f t="shared" si="290"/>
        <v>1</v>
      </c>
      <c r="S186" s="5">
        <f t="shared" si="290"/>
        <v>1</v>
      </c>
      <c r="T186" s="5">
        <f t="shared" si="290"/>
        <v>1</v>
      </c>
      <c r="U186" s="1"/>
      <c r="V186" s="352"/>
      <c r="Y186" s="56">
        <f t="shared" si="279"/>
        <v>272.93</v>
      </c>
      <c r="Z186" s="56">
        <f t="shared" si="255"/>
        <v>272.93</v>
      </c>
      <c r="AA186" s="56">
        <f t="shared" si="256"/>
        <v>272.93</v>
      </c>
      <c r="AB186" s="56">
        <f t="shared" si="257"/>
        <v>272.93</v>
      </c>
      <c r="AC186" s="56">
        <f t="shared" si="258"/>
        <v>272.93</v>
      </c>
      <c r="AD186" s="56">
        <f t="shared" si="259"/>
        <v>272.93</v>
      </c>
      <c r="AE186" s="56">
        <f t="shared" si="260"/>
        <v>272.93</v>
      </c>
      <c r="AF186" s="56">
        <f t="shared" si="261"/>
        <v>272.93</v>
      </c>
      <c r="AG186" s="56">
        <f t="shared" si="262"/>
        <v>272.93</v>
      </c>
      <c r="AH186" s="56">
        <f t="shared" si="263"/>
        <v>272.93</v>
      </c>
      <c r="AI186" s="56">
        <f t="shared" si="264"/>
        <v>272.93</v>
      </c>
      <c r="AJ186" s="56">
        <f t="shared" si="265"/>
        <v>272.93</v>
      </c>
      <c r="AL186" s="359">
        <f t="shared" si="266"/>
        <v>22.83</v>
      </c>
      <c r="AM186" s="359">
        <f t="shared" si="267"/>
        <v>22.83</v>
      </c>
      <c r="AN186" s="359">
        <f t="shared" si="268"/>
        <v>22.83</v>
      </c>
      <c r="AO186" s="359">
        <f t="shared" si="269"/>
        <v>22.83</v>
      </c>
      <c r="AP186" s="359">
        <f t="shared" si="270"/>
        <v>22.83</v>
      </c>
      <c r="AQ186" s="359">
        <f t="shared" si="271"/>
        <v>22.83</v>
      </c>
      <c r="AR186" s="359">
        <f t="shared" si="272"/>
        <v>22.83</v>
      </c>
      <c r="AS186" s="359">
        <f t="shared" si="273"/>
        <v>22.83</v>
      </c>
      <c r="AT186" s="359">
        <f t="shared" si="274"/>
        <v>22.83</v>
      </c>
      <c r="AU186" s="359">
        <f t="shared" si="275"/>
        <v>22.83</v>
      </c>
      <c r="AV186" s="359">
        <f t="shared" si="276"/>
        <v>22.83</v>
      </c>
      <c r="AW186" s="359">
        <f t="shared" si="277"/>
        <v>22.83</v>
      </c>
    </row>
    <row r="187" spans="2:49" ht="12.75">
      <c r="B187" s="61"/>
      <c r="C187" s="85"/>
      <c r="D187" s="3" t="s">
        <v>649</v>
      </c>
      <c r="E187" s="85"/>
      <c r="F187" s="85"/>
      <c r="G187" s="357">
        <f>SUM(I187:T187)</f>
        <v>46154.039999999986</v>
      </c>
      <c r="H187" s="160"/>
      <c r="I187" s="43">
        <f>+Y187</f>
        <v>3846.169999999999</v>
      </c>
      <c r="J187" s="43">
        <f aca="true" t="shared" si="291" ref="J187:T187">+Z187</f>
        <v>3846.169999999999</v>
      </c>
      <c r="K187" s="43">
        <f t="shared" si="291"/>
        <v>3846.169999999999</v>
      </c>
      <c r="L187" s="43">
        <f t="shared" si="291"/>
        <v>3846.169999999999</v>
      </c>
      <c r="M187" s="43">
        <f t="shared" si="291"/>
        <v>3846.169999999999</v>
      </c>
      <c r="N187" s="43">
        <f t="shared" si="291"/>
        <v>3846.169999999999</v>
      </c>
      <c r="O187" s="43">
        <f t="shared" si="291"/>
        <v>3846.169999999999</v>
      </c>
      <c r="P187" s="43">
        <f t="shared" si="291"/>
        <v>3846.169999999999</v>
      </c>
      <c r="Q187" s="43">
        <f t="shared" si="291"/>
        <v>3846.169999999999</v>
      </c>
      <c r="R187" s="43">
        <f t="shared" si="291"/>
        <v>3846.169999999999</v>
      </c>
      <c r="S187" s="43">
        <f t="shared" si="291"/>
        <v>3846.169999999999</v>
      </c>
      <c r="T187" s="43">
        <f t="shared" si="291"/>
        <v>3846.169999999999</v>
      </c>
      <c r="U187" s="85"/>
      <c r="V187" s="352"/>
      <c r="Y187" s="56">
        <f aca="true" t="shared" si="292" ref="Y187:AJ187">SUM(Y174:Y186)</f>
        <v>3846.169999999999</v>
      </c>
      <c r="Z187" s="56">
        <f t="shared" si="292"/>
        <v>3846.169999999999</v>
      </c>
      <c r="AA187" s="56">
        <f t="shared" si="292"/>
        <v>3846.169999999999</v>
      </c>
      <c r="AB187" s="56">
        <f t="shared" si="292"/>
        <v>3846.169999999999</v>
      </c>
      <c r="AC187" s="56">
        <f t="shared" si="292"/>
        <v>3846.169999999999</v>
      </c>
      <c r="AD187" s="56">
        <f t="shared" si="292"/>
        <v>3846.169999999999</v>
      </c>
      <c r="AE187" s="56">
        <f t="shared" si="292"/>
        <v>3846.169999999999</v>
      </c>
      <c r="AF187" s="56">
        <f t="shared" si="292"/>
        <v>3846.169999999999</v>
      </c>
      <c r="AG187" s="56">
        <f t="shared" si="292"/>
        <v>3846.169999999999</v>
      </c>
      <c r="AH187" s="56">
        <f t="shared" si="292"/>
        <v>3846.169999999999</v>
      </c>
      <c r="AI187" s="56">
        <f t="shared" si="292"/>
        <v>3846.169999999999</v>
      </c>
      <c r="AJ187" s="56">
        <f t="shared" si="292"/>
        <v>3846.169999999999</v>
      </c>
      <c r="AL187" s="359"/>
      <c r="AM187" s="359"/>
      <c r="AN187" s="359"/>
      <c r="AO187" s="359"/>
      <c r="AP187" s="359"/>
      <c r="AQ187" s="359"/>
      <c r="AR187" s="359"/>
      <c r="AS187" s="359"/>
      <c r="AT187" s="359"/>
      <c r="AU187" s="359"/>
      <c r="AV187" s="359"/>
      <c r="AW187" s="359"/>
    </row>
    <row r="188" spans="2:49" ht="12.75">
      <c r="B188" s="61"/>
      <c r="C188" s="85"/>
      <c r="D188" s="3" t="s">
        <v>650</v>
      </c>
      <c r="E188" s="85"/>
      <c r="F188" s="85"/>
      <c r="G188" s="357">
        <f>SUM(I188:T188)</f>
        <v>3858.599999999998</v>
      </c>
      <c r="H188" s="160"/>
      <c r="I188" s="43">
        <f>AL188</f>
        <v>321.5499999999999</v>
      </c>
      <c r="J188" s="43">
        <f aca="true" t="shared" si="293" ref="J188:T188">AM188</f>
        <v>321.5499999999999</v>
      </c>
      <c r="K188" s="43">
        <f t="shared" si="293"/>
        <v>321.5499999999999</v>
      </c>
      <c r="L188" s="43">
        <f t="shared" si="293"/>
        <v>321.5499999999999</v>
      </c>
      <c r="M188" s="43">
        <f t="shared" si="293"/>
        <v>321.5499999999999</v>
      </c>
      <c r="N188" s="43">
        <f t="shared" si="293"/>
        <v>321.5499999999999</v>
      </c>
      <c r="O188" s="43">
        <f t="shared" si="293"/>
        <v>321.5499999999999</v>
      </c>
      <c r="P188" s="43">
        <f t="shared" si="293"/>
        <v>321.5499999999999</v>
      </c>
      <c r="Q188" s="43">
        <f t="shared" si="293"/>
        <v>321.5499999999999</v>
      </c>
      <c r="R188" s="43">
        <f t="shared" si="293"/>
        <v>321.5499999999999</v>
      </c>
      <c r="S188" s="43">
        <f t="shared" si="293"/>
        <v>321.5499999999999</v>
      </c>
      <c r="T188" s="43">
        <f t="shared" si="293"/>
        <v>321.5499999999999</v>
      </c>
      <c r="U188" s="85"/>
      <c r="V188" s="352"/>
      <c r="AL188" s="359">
        <f>SUM(AL174:AL186)</f>
        <v>321.5499999999999</v>
      </c>
      <c r="AM188" s="359">
        <f aca="true" t="shared" si="294" ref="AM188:AW188">SUM(AM174:AM186)</f>
        <v>321.5499999999999</v>
      </c>
      <c r="AN188" s="359">
        <f t="shared" si="294"/>
        <v>321.5499999999999</v>
      </c>
      <c r="AO188" s="359">
        <f t="shared" si="294"/>
        <v>321.5499999999999</v>
      </c>
      <c r="AP188" s="359">
        <f t="shared" si="294"/>
        <v>321.5499999999999</v>
      </c>
      <c r="AQ188" s="359">
        <f t="shared" si="294"/>
        <v>321.5499999999999</v>
      </c>
      <c r="AR188" s="359">
        <f t="shared" si="294"/>
        <v>321.5499999999999</v>
      </c>
      <c r="AS188" s="359">
        <f t="shared" si="294"/>
        <v>321.5499999999999</v>
      </c>
      <c r="AT188" s="359">
        <f t="shared" si="294"/>
        <v>321.5499999999999</v>
      </c>
      <c r="AU188" s="359">
        <f t="shared" si="294"/>
        <v>321.5499999999999</v>
      </c>
      <c r="AV188" s="359">
        <f t="shared" si="294"/>
        <v>321.5499999999999</v>
      </c>
      <c r="AW188" s="359">
        <f t="shared" si="294"/>
        <v>321.5499999999999</v>
      </c>
    </row>
    <row r="189" spans="2:22" ht="12.75">
      <c r="B189" s="61"/>
      <c r="C189" s="85"/>
      <c r="D189" s="85"/>
      <c r="E189" s="85"/>
      <c r="F189" s="3" t="s">
        <v>577</v>
      </c>
      <c r="G189" s="363">
        <f>SUM(G187:G188)</f>
        <v>50012.639999999985</v>
      </c>
      <c r="H189" s="85"/>
      <c r="I189" s="83"/>
      <c r="J189" s="83"/>
      <c r="K189" s="23">
        <f>SUM(K174:K186)</f>
        <v>13</v>
      </c>
      <c r="L189" s="83"/>
      <c r="M189" s="83"/>
      <c r="N189" s="83"/>
      <c r="O189" s="83"/>
      <c r="P189" s="83"/>
      <c r="Q189" s="83"/>
      <c r="R189" s="83"/>
      <c r="S189" s="83"/>
      <c r="T189" s="83"/>
      <c r="U189" s="85"/>
      <c r="V189" s="352"/>
    </row>
    <row r="190" spans="2:22" ht="12.75">
      <c r="B190" s="61"/>
      <c r="C190" s="85"/>
      <c r="D190" s="85"/>
      <c r="E190" s="85"/>
      <c r="F190" s="85"/>
      <c r="G190" s="83"/>
      <c r="H190" s="85"/>
      <c r="I190" s="83"/>
      <c r="J190" s="83"/>
      <c r="K190" s="83"/>
      <c r="L190" s="83"/>
      <c r="M190" s="83"/>
      <c r="N190" s="83"/>
      <c r="O190" s="83"/>
      <c r="P190" s="83"/>
      <c r="Q190" s="83"/>
      <c r="R190" s="83"/>
      <c r="S190" s="83"/>
      <c r="T190" s="83"/>
      <c r="U190" s="85"/>
      <c r="V190" s="352"/>
    </row>
    <row r="191" spans="2:22" ht="12.75">
      <c r="B191" s="61"/>
      <c r="C191" s="62"/>
      <c r="D191" s="62"/>
      <c r="E191" s="62"/>
      <c r="F191" s="62"/>
      <c r="G191" s="55"/>
      <c r="H191" s="62"/>
      <c r="U191" s="62"/>
      <c r="V191" s="352"/>
    </row>
    <row r="192" spans="2:22" ht="12.75">
      <c r="B192" s="61"/>
      <c r="C192" s="85"/>
      <c r="D192" s="85"/>
      <c r="E192" s="85"/>
      <c r="F192" s="85"/>
      <c r="G192" s="83"/>
      <c r="H192" s="85"/>
      <c r="I192" s="83"/>
      <c r="J192" s="83"/>
      <c r="K192" s="83"/>
      <c r="L192" s="83"/>
      <c r="M192" s="83"/>
      <c r="N192" s="83"/>
      <c r="O192" s="83"/>
      <c r="P192" s="83"/>
      <c r="Q192" s="83"/>
      <c r="R192" s="83"/>
      <c r="S192" s="83"/>
      <c r="T192" s="83"/>
      <c r="U192" s="85"/>
      <c r="V192" s="352"/>
    </row>
    <row r="193" spans="2:49" ht="12.75">
      <c r="B193" s="61"/>
      <c r="C193" s="85"/>
      <c r="D193" s="2" t="s">
        <v>518</v>
      </c>
      <c r="E193" s="84"/>
      <c r="F193" s="2" t="s">
        <v>19</v>
      </c>
      <c r="G193" s="333" t="str">
        <f>tabel!D2</f>
        <v>2010/11</v>
      </c>
      <c r="H193" s="3"/>
      <c r="I193" s="162" t="s">
        <v>590</v>
      </c>
      <c r="J193" s="162" t="s">
        <v>591</v>
      </c>
      <c r="K193" s="162" t="s">
        <v>592</v>
      </c>
      <c r="L193" s="162" t="s">
        <v>593</v>
      </c>
      <c r="M193" s="162" t="s">
        <v>594</v>
      </c>
      <c r="N193" s="162" t="s">
        <v>588</v>
      </c>
      <c r="O193" s="162" t="s">
        <v>589</v>
      </c>
      <c r="P193" s="162" t="s">
        <v>595</v>
      </c>
      <c r="Q193" s="162" t="s">
        <v>596</v>
      </c>
      <c r="R193" s="162" t="s">
        <v>597</v>
      </c>
      <c r="S193" s="162" t="s">
        <v>598</v>
      </c>
      <c r="T193" s="162" t="s">
        <v>599</v>
      </c>
      <c r="U193" s="1"/>
      <c r="V193" s="352"/>
      <c r="Y193" s="56" t="s">
        <v>590</v>
      </c>
      <c r="Z193" s="56" t="s">
        <v>591</v>
      </c>
      <c r="AA193" s="56" t="s">
        <v>592</v>
      </c>
      <c r="AB193" s="56" t="s">
        <v>593</v>
      </c>
      <c r="AC193" s="105" t="s">
        <v>594</v>
      </c>
      <c r="AD193" s="105" t="s">
        <v>588</v>
      </c>
      <c r="AE193" s="105" t="s">
        <v>589</v>
      </c>
      <c r="AF193" s="105" t="s">
        <v>595</v>
      </c>
      <c r="AG193" s="105" t="s">
        <v>596</v>
      </c>
      <c r="AH193" s="105" t="s">
        <v>597</v>
      </c>
      <c r="AI193" s="105" t="s">
        <v>598</v>
      </c>
      <c r="AJ193" s="105" t="s">
        <v>599</v>
      </c>
      <c r="AL193" s="56" t="s">
        <v>590</v>
      </c>
      <c r="AM193" s="56" t="s">
        <v>591</v>
      </c>
      <c r="AN193" s="56" t="s">
        <v>592</v>
      </c>
      <c r="AO193" s="56" t="s">
        <v>593</v>
      </c>
      <c r="AP193" s="105" t="s">
        <v>594</v>
      </c>
      <c r="AQ193" s="105" t="s">
        <v>588</v>
      </c>
      <c r="AR193" s="105" t="s">
        <v>589</v>
      </c>
      <c r="AS193" s="105" t="s">
        <v>595</v>
      </c>
      <c r="AT193" s="105" t="s">
        <v>596</v>
      </c>
      <c r="AU193" s="105" t="s">
        <v>597</v>
      </c>
      <c r="AV193" s="105" t="s">
        <v>598</v>
      </c>
      <c r="AW193" s="105" t="s">
        <v>599</v>
      </c>
    </row>
    <row r="194" spans="2:49" ht="12.75">
      <c r="B194" s="61"/>
      <c r="C194" s="85"/>
      <c r="D194" s="85"/>
      <c r="E194" s="84"/>
      <c r="F194" s="3"/>
      <c r="G194" s="4"/>
      <c r="H194" s="3"/>
      <c r="I194" s="83"/>
      <c r="J194" s="83"/>
      <c r="K194" s="83"/>
      <c r="L194" s="83"/>
      <c r="M194" s="106"/>
      <c r="N194" s="106"/>
      <c r="O194" s="106"/>
      <c r="P194" s="106"/>
      <c r="Q194" s="106"/>
      <c r="R194" s="106"/>
      <c r="S194" s="106"/>
      <c r="T194" s="106"/>
      <c r="U194" s="1"/>
      <c r="V194" s="352"/>
      <c r="AC194" s="105"/>
      <c r="AD194" s="105"/>
      <c r="AE194" s="105"/>
      <c r="AF194" s="105"/>
      <c r="AG194" s="105"/>
      <c r="AH194" s="105"/>
      <c r="AI194" s="105"/>
      <c r="AJ194" s="105"/>
      <c r="AP194" s="105"/>
      <c r="AQ194" s="105"/>
      <c r="AR194" s="105"/>
      <c r="AS194" s="105"/>
      <c r="AT194" s="105"/>
      <c r="AU194" s="105"/>
      <c r="AV194" s="105"/>
      <c r="AW194" s="105"/>
    </row>
    <row r="195" spans="2:49" ht="12.75">
      <c r="B195" s="61"/>
      <c r="C195" s="85"/>
      <c r="D195" s="85" t="s">
        <v>473</v>
      </c>
      <c r="E195" s="85"/>
      <c r="F195" s="85" t="s">
        <v>661</v>
      </c>
      <c r="G195" s="108">
        <f aca="true" t="shared" si="295" ref="G195:G207">ROUND(SUM(I195:T195)/12,2)</f>
        <v>1</v>
      </c>
      <c r="H195" s="107"/>
      <c r="I195" s="68">
        <v>1</v>
      </c>
      <c r="J195" s="5">
        <f>+I195</f>
        <v>1</v>
      </c>
      <c r="K195" s="5">
        <f aca="true" t="shared" si="296" ref="K195:T195">+J195</f>
        <v>1</v>
      </c>
      <c r="L195" s="5">
        <f t="shared" si="296"/>
        <v>1</v>
      </c>
      <c r="M195" s="5">
        <f t="shared" si="296"/>
        <v>1</v>
      </c>
      <c r="N195" s="5">
        <f t="shared" si="296"/>
        <v>1</v>
      </c>
      <c r="O195" s="5">
        <f t="shared" si="296"/>
        <v>1</v>
      </c>
      <c r="P195" s="5">
        <f t="shared" si="296"/>
        <v>1</v>
      </c>
      <c r="Q195" s="5">
        <f t="shared" si="296"/>
        <v>1</v>
      </c>
      <c r="R195" s="5">
        <f t="shared" si="296"/>
        <v>1</v>
      </c>
      <c r="S195" s="5">
        <f t="shared" si="296"/>
        <v>1</v>
      </c>
      <c r="T195" s="5">
        <f t="shared" si="296"/>
        <v>1</v>
      </c>
      <c r="U195" s="1"/>
      <c r="V195" s="352"/>
      <c r="Y195" s="56">
        <f>ROUND(+I195*1/12*VLOOKUP($D195,LGFMBO,3,FALSE),2)</f>
        <v>281.32</v>
      </c>
      <c r="Z195" s="56">
        <f aca="true" t="shared" si="297" ref="Z195:Z207">ROUND(+J195*1/12*VLOOKUP($D195,LGFMBO,3,FALSE),2)</f>
        <v>281.32</v>
      </c>
      <c r="AA195" s="56">
        <f aca="true" t="shared" si="298" ref="AA195:AA207">ROUND(+K195*1/12*VLOOKUP($D195,LGFMBO,3,FALSE),2)</f>
        <v>281.32</v>
      </c>
      <c r="AB195" s="56">
        <f aca="true" t="shared" si="299" ref="AB195:AB207">ROUND(+L195*1/12*VLOOKUP($D195,LGFMBO,3,FALSE),2)</f>
        <v>281.32</v>
      </c>
      <c r="AC195" s="56">
        <f aca="true" t="shared" si="300" ref="AC195:AC207">ROUND(+M195*1/12*VLOOKUP($D195,LGFMBO,3,FALSE),2)</f>
        <v>281.32</v>
      </c>
      <c r="AD195" s="56">
        <f aca="true" t="shared" si="301" ref="AD195:AD207">ROUND(+N195*1/12*VLOOKUP($D195,LGFMBO,3,FALSE),2)</f>
        <v>281.32</v>
      </c>
      <c r="AE195" s="56">
        <f aca="true" t="shared" si="302" ref="AE195:AE207">ROUND(+O195*1/12*VLOOKUP($D195,LGFMBO,3,FALSE),2)</f>
        <v>281.32</v>
      </c>
      <c r="AF195" s="56">
        <f aca="true" t="shared" si="303" ref="AF195:AF207">ROUND(+P195*1/12*VLOOKUP($D195,LGFMBO,3,FALSE),2)</f>
        <v>281.32</v>
      </c>
      <c r="AG195" s="56">
        <f aca="true" t="shared" si="304" ref="AG195:AG207">ROUND(+Q195*1/12*VLOOKUP($D195,LGFMBO,3,FALSE),2)</f>
        <v>281.32</v>
      </c>
      <c r="AH195" s="56">
        <f aca="true" t="shared" si="305" ref="AH195:AH207">ROUND(+R195*1/12*VLOOKUP($D195,LGFMBO,3,FALSE),2)</f>
        <v>281.32</v>
      </c>
      <c r="AI195" s="56">
        <f aca="true" t="shared" si="306" ref="AI195:AI207">ROUND(+S195*1/12*VLOOKUP($D195,LGFMBO,3,FALSE),2)</f>
        <v>281.32</v>
      </c>
      <c r="AJ195" s="56">
        <f aca="true" t="shared" si="307" ref="AJ195:AJ207">ROUND(+T195*1/12*VLOOKUP($D195,LGFMBO,3,FALSE),2)</f>
        <v>281.32</v>
      </c>
      <c r="AL195" s="359">
        <f aca="true" t="shared" si="308" ref="AL195:AL207">ROUND(+I195*1/12*VLOOKUP($D195,LGFMBO,5,FALSE),2)</f>
        <v>31.08</v>
      </c>
      <c r="AM195" s="359">
        <f aca="true" t="shared" si="309" ref="AM195:AM207">ROUND(+J195*1/12*VLOOKUP($D195,LGFMBO,5,FALSE),2)</f>
        <v>31.08</v>
      </c>
      <c r="AN195" s="359">
        <f aca="true" t="shared" si="310" ref="AN195:AN207">ROUND(+K195*1/12*VLOOKUP($D195,LGFMBO,5,FALSE),2)</f>
        <v>31.08</v>
      </c>
      <c r="AO195" s="359">
        <f aca="true" t="shared" si="311" ref="AO195:AO207">ROUND(+L195*1/12*VLOOKUP($D195,LGFMBO,5,FALSE),2)</f>
        <v>31.08</v>
      </c>
      <c r="AP195" s="359">
        <f aca="true" t="shared" si="312" ref="AP195:AP207">ROUND(+M195*1/12*VLOOKUP($D195,LGFMBO,5,FALSE),2)</f>
        <v>31.08</v>
      </c>
      <c r="AQ195" s="359">
        <f aca="true" t="shared" si="313" ref="AQ195:AQ207">ROUND(+N195*1/12*VLOOKUP($D195,LGFMBO,5,FALSE),2)</f>
        <v>31.08</v>
      </c>
      <c r="AR195" s="359">
        <f aca="true" t="shared" si="314" ref="AR195:AR207">ROUND(+O195*1/12*VLOOKUP($D195,LGFMBO,5,FALSE),2)</f>
        <v>31.08</v>
      </c>
      <c r="AS195" s="359">
        <f aca="true" t="shared" si="315" ref="AS195:AS207">ROUND(+P195*1/12*VLOOKUP($D195,LGFMBO,5,FALSE),2)</f>
        <v>31.08</v>
      </c>
      <c r="AT195" s="359">
        <f aca="true" t="shared" si="316" ref="AT195:AT207">ROUND(+Q195*1/12*VLOOKUP($D195,LGFMBO,5,FALSE),2)</f>
        <v>31.08</v>
      </c>
      <c r="AU195" s="359">
        <f aca="true" t="shared" si="317" ref="AU195:AU207">ROUND(+R195*1/12*VLOOKUP($D195,LGFMBO,5,FALSE),2)</f>
        <v>31.08</v>
      </c>
      <c r="AV195" s="359">
        <f aca="true" t="shared" si="318" ref="AV195:AV207">ROUND(+S195*1/12*VLOOKUP($D195,LGFMBO,5,FALSE),2)</f>
        <v>31.08</v>
      </c>
      <c r="AW195" s="359">
        <f aca="true" t="shared" si="319" ref="AW195:AW207">ROUND(+T195*1/12*VLOOKUP($D195,LGFMBO,5,FALSE),2)</f>
        <v>31.08</v>
      </c>
    </row>
    <row r="196" spans="2:49" ht="12.75">
      <c r="B196" s="61"/>
      <c r="C196" s="85"/>
      <c r="D196" s="85" t="s">
        <v>474</v>
      </c>
      <c r="E196" s="85"/>
      <c r="F196" s="85" t="s">
        <v>661</v>
      </c>
      <c r="G196" s="108">
        <f t="shared" si="295"/>
        <v>1</v>
      </c>
      <c r="H196" s="107"/>
      <c r="I196" s="68">
        <v>1</v>
      </c>
      <c r="J196" s="5">
        <f aca="true" t="shared" si="320" ref="J196:T196">+I196</f>
        <v>1</v>
      </c>
      <c r="K196" s="5">
        <f t="shared" si="320"/>
        <v>1</v>
      </c>
      <c r="L196" s="5">
        <f t="shared" si="320"/>
        <v>1</v>
      </c>
      <c r="M196" s="5">
        <f t="shared" si="320"/>
        <v>1</v>
      </c>
      <c r="N196" s="5">
        <f t="shared" si="320"/>
        <v>1</v>
      </c>
      <c r="O196" s="5">
        <f t="shared" si="320"/>
        <v>1</v>
      </c>
      <c r="P196" s="5">
        <f t="shared" si="320"/>
        <v>1</v>
      </c>
      <c r="Q196" s="5">
        <f t="shared" si="320"/>
        <v>1</v>
      </c>
      <c r="R196" s="5">
        <f t="shared" si="320"/>
        <v>1</v>
      </c>
      <c r="S196" s="5">
        <f t="shared" si="320"/>
        <v>1</v>
      </c>
      <c r="T196" s="5">
        <f t="shared" si="320"/>
        <v>1</v>
      </c>
      <c r="U196" s="1"/>
      <c r="V196" s="352"/>
      <c r="Y196" s="56">
        <f aca="true" t="shared" si="321" ref="Y196:Y207">ROUND(+I196*1/12*VLOOKUP($D196,LGFMBO,3,FALSE),2)</f>
        <v>181.95</v>
      </c>
      <c r="Z196" s="56">
        <f t="shared" si="297"/>
        <v>181.95</v>
      </c>
      <c r="AA196" s="56">
        <f t="shared" si="298"/>
        <v>181.95</v>
      </c>
      <c r="AB196" s="56">
        <f t="shared" si="299"/>
        <v>181.95</v>
      </c>
      <c r="AC196" s="56">
        <f t="shared" si="300"/>
        <v>181.95</v>
      </c>
      <c r="AD196" s="56">
        <f t="shared" si="301"/>
        <v>181.95</v>
      </c>
      <c r="AE196" s="56">
        <f t="shared" si="302"/>
        <v>181.95</v>
      </c>
      <c r="AF196" s="56">
        <f t="shared" si="303"/>
        <v>181.95</v>
      </c>
      <c r="AG196" s="56">
        <f t="shared" si="304"/>
        <v>181.95</v>
      </c>
      <c r="AH196" s="56">
        <f t="shared" si="305"/>
        <v>181.95</v>
      </c>
      <c r="AI196" s="56">
        <f t="shared" si="306"/>
        <v>181.95</v>
      </c>
      <c r="AJ196" s="56">
        <f t="shared" si="307"/>
        <v>181.95</v>
      </c>
      <c r="AL196" s="359">
        <f t="shared" si="308"/>
        <v>12</v>
      </c>
      <c r="AM196" s="359">
        <f t="shared" si="309"/>
        <v>12</v>
      </c>
      <c r="AN196" s="359">
        <f t="shared" si="310"/>
        <v>12</v>
      </c>
      <c r="AO196" s="359">
        <f t="shared" si="311"/>
        <v>12</v>
      </c>
      <c r="AP196" s="359">
        <f t="shared" si="312"/>
        <v>12</v>
      </c>
      <c r="AQ196" s="359">
        <f t="shared" si="313"/>
        <v>12</v>
      </c>
      <c r="AR196" s="359">
        <f t="shared" si="314"/>
        <v>12</v>
      </c>
      <c r="AS196" s="359">
        <f t="shared" si="315"/>
        <v>12</v>
      </c>
      <c r="AT196" s="359">
        <f t="shared" si="316"/>
        <v>12</v>
      </c>
      <c r="AU196" s="359">
        <f t="shared" si="317"/>
        <v>12</v>
      </c>
      <c r="AV196" s="359">
        <f t="shared" si="318"/>
        <v>12</v>
      </c>
      <c r="AW196" s="359">
        <f t="shared" si="319"/>
        <v>12</v>
      </c>
    </row>
    <row r="197" spans="2:49" ht="12.75">
      <c r="B197" s="61"/>
      <c r="C197" s="85"/>
      <c r="D197" s="85" t="s">
        <v>475</v>
      </c>
      <c r="E197" s="85"/>
      <c r="F197" s="85" t="s">
        <v>661</v>
      </c>
      <c r="G197" s="108">
        <f t="shared" si="295"/>
        <v>1</v>
      </c>
      <c r="H197" s="107"/>
      <c r="I197" s="68">
        <v>1</v>
      </c>
      <c r="J197" s="5">
        <f aca="true" t="shared" si="322" ref="J197:T197">+I197</f>
        <v>1</v>
      </c>
      <c r="K197" s="5">
        <f t="shared" si="322"/>
        <v>1</v>
      </c>
      <c r="L197" s="5">
        <f t="shared" si="322"/>
        <v>1</v>
      </c>
      <c r="M197" s="5">
        <f t="shared" si="322"/>
        <v>1</v>
      </c>
      <c r="N197" s="5">
        <f t="shared" si="322"/>
        <v>1</v>
      </c>
      <c r="O197" s="5">
        <f t="shared" si="322"/>
        <v>1</v>
      </c>
      <c r="P197" s="5">
        <f t="shared" si="322"/>
        <v>1</v>
      </c>
      <c r="Q197" s="5">
        <f t="shared" si="322"/>
        <v>1</v>
      </c>
      <c r="R197" s="5">
        <f t="shared" si="322"/>
        <v>1</v>
      </c>
      <c r="S197" s="5">
        <f t="shared" si="322"/>
        <v>1</v>
      </c>
      <c r="T197" s="5">
        <f t="shared" si="322"/>
        <v>1</v>
      </c>
      <c r="U197" s="1"/>
      <c r="V197" s="352"/>
      <c r="Y197" s="56">
        <f t="shared" si="321"/>
        <v>181.95</v>
      </c>
      <c r="Z197" s="56">
        <f t="shared" si="297"/>
        <v>181.95</v>
      </c>
      <c r="AA197" s="56">
        <f t="shared" si="298"/>
        <v>181.95</v>
      </c>
      <c r="AB197" s="56">
        <f t="shared" si="299"/>
        <v>181.95</v>
      </c>
      <c r="AC197" s="56">
        <f t="shared" si="300"/>
        <v>181.95</v>
      </c>
      <c r="AD197" s="56">
        <f t="shared" si="301"/>
        <v>181.95</v>
      </c>
      <c r="AE197" s="56">
        <f t="shared" si="302"/>
        <v>181.95</v>
      </c>
      <c r="AF197" s="56">
        <f t="shared" si="303"/>
        <v>181.95</v>
      </c>
      <c r="AG197" s="56">
        <f t="shared" si="304"/>
        <v>181.95</v>
      </c>
      <c r="AH197" s="56">
        <f t="shared" si="305"/>
        <v>181.95</v>
      </c>
      <c r="AI197" s="56">
        <f t="shared" si="306"/>
        <v>181.95</v>
      </c>
      <c r="AJ197" s="56">
        <f t="shared" si="307"/>
        <v>181.95</v>
      </c>
      <c r="AL197" s="359">
        <f t="shared" si="308"/>
        <v>15.25</v>
      </c>
      <c r="AM197" s="359">
        <f t="shared" si="309"/>
        <v>15.25</v>
      </c>
      <c r="AN197" s="359">
        <f t="shared" si="310"/>
        <v>15.25</v>
      </c>
      <c r="AO197" s="359">
        <f t="shared" si="311"/>
        <v>15.25</v>
      </c>
      <c r="AP197" s="359">
        <f t="shared" si="312"/>
        <v>15.25</v>
      </c>
      <c r="AQ197" s="359">
        <f t="shared" si="313"/>
        <v>15.25</v>
      </c>
      <c r="AR197" s="359">
        <f t="shared" si="314"/>
        <v>15.25</v>
      </c>
      <c r="AS197" s="359">
        <f t="shared" si="315"/>
        <v>15.25</v>
      </c>
      <c r="AT197" s="359">
        <f t="shared" si="316"/>
        <v>15.25</v>
      </c>
      <c r="AU197" s="359">
        <f t="shared" si="317"/>
        <v>15.25</v>
      </c>
      <c r="AV197" s="359">
        <f t="shared" si="318"/>
        <v>15.25</v>
      </c>
      <c r="AW197" s="359">
        <f t="shared" si="319"/>
        <v>15.25</v>
      </c>
    </row>
    <row r="198" spans="2:49" ht="12.75">
      <c r="B198" s="61"/>
      <c r="C198" s="85"/>
      <c r="D198" s="85" t="s">
        <v>476</v>
      </c>
      <c r="E198" s="85"/>
      <c r="F198" s="85" t="s">
        <v>661</v>
      </c>
      <c r="G198" s="108">
        <f t="shared" si="295"/>
        <v>1</v>
      </c>
      <c r="H198" s="107"/>
      <c r="I198" s="68">
        <v>1</v>
      </c>
      <c r="J198" s="5">
        <f aca="true" t="shared" si="323" ref="J198:T198">+I198</f>
        <v>1</v>
      </c>
      <c r="K198" s="5">
        <f t="shared" si="323"/>
        <v>1</v>
      </c>
      <c r="L198" s="5">
        <f t="shared" si="323"/>
        <v>1</v>
      </c>
      <c r="M198" s="5">
        <f t="shared" si="323"/>
        <v>1</v>
      </c>
      <c r="N198" s="5">
        <f t="shared" si="323"/>
        <v>1</v>
      </c>
      <c r="O198" s="5">
        <f t="shared" si="323"/>
        <v>1</v>
      </c>
      <c r="P198" s="5">
        <f t="shared" si="323"/>
        <v>1</v>
      </c>
      <c r="Q198" s="5">
        <f t="shared" si="323"/>
        <v>1</v>
      </c>
      <c r="R198" s="5">
        <f t="shared" si="323"/>
        <v>1</v>
      </c>
      <c r="S198" s="5">
        <f t="shared" si="323"/>
        <v>1</v>
      </c>
      <c r="T198" s="5">
        <f t="shared" si="323"/>
        <v>1</v>
      </c>
      <c r="U198" s="1"/>
      <c r="V198" s="352"/>
      <c r="Y198" s="56">
        <f t="shared" si="321"/>
        <v>281.32</v>
      </c>
      <c r="Z198" s="56">
        <f t="shared" si="297"/>
        <v>281.32</v>
      </c>
      <c r="AA198" s="56">
        <f t="shared" si="298"/>
        <v>281.32</v>
      </c>
      <c r="AB198" s="56">
        <f t="shared" si="299"/>
        <v>281.32</v>
      </c>
      <c r="AC198" s="56">
        <f t="shared" si="300"/>
        <v>281.32</v>
      </c>
      <c r="AD198" s="56">
        <f t="shared" si="301"/>
        <v>281.32</v>
      </c>
      <c r="AE198" s="56">
        <f t="shared" si="302"/>
        <v>281.32</v>
      </c>
      <c r="AF198" s="56">
        <f t="shared" si="303"/>
        <v>281.32</v>
      </c>
      <c r="AG198" s="56">
        <f t="shared" si="304"/>
        <v>281.32</v>
      </c>
      <c r="AH198" s="56">
        <f t="shared" si="305"/>
        <v>281.32</v>
      </c>
      <c r="AI198" s="56">
        <f t="shared" si="306"/>
        <v>281.32</v>
      </c>
      <c r="AJ198" s="56">
        <f t="shared" si="307"/>
        <v>281.32</v>
      </c>
      <c r="AL198" s="359">
        <f t="shared" si="308"/>
        <v>26.08</v>
      </c>
      <c r="AM198" s="359">
        <f t="shared" si="309"/>
        <v>26.08</v>
      </c>
      <c r="AN198" s="359">
        <f t="shared" si="310"/>
        <v>26.08</v>
      </c>
      <c r="AO198" s="359">
        <f t="shared" si="311"/>
        <v>26.08</v>
      </c>
      <c r="AP198" s="359">
        <f t="shared" si="312"/>
        <v>26.08</v>
      </c>
      <c r="AQ198" s="359">
        <f t="shared" si="313"/>
        <v>26.08</v>
      </c>
      <c r="AR198" s="359">
        <f t="shared" si="314"/>
        <v>26.08</v>
      </c>
      <c r="AS198" s="359">
        <f t="shared" si="315"/>
        <v>26.08</v>
      </c>
      <c r="AT198" s="359">
        <f t="shared" si="316"/>
        <v>26.08</v>
      </c>
      <c r="AU198" s="359">
        <f t="shared" si="317"/>
        <v>26.08</v>
      </c>
      <c r="AV198" s="359">
        <f t="shared" si="318"/>
        <v>26.08</v>
      </c>
      <c r="AW198" s="359">
        <f t="shared" si="319"/>
        <v>26.08</v>
      </c>
    </row>
    <row r="199" spans="2:49" ht="12.75">
      <c r="B199" s="61"/>
      <c r="C199" s="85"/>
      <c r="D199" s="85" t="s">
        <v>478</v>
      </c>
      <c r="E199" s="85"/>
      <c r="F199" s="85" t="s">
        <v>661</v>
      </c>
      <c r="G199" s="108">
        <f t="shared" si="295"/>
        <v>1</v>
      </c>
      <c r="H199" s="107"/>
      <c r="I199" s="68">
        <v>1</v>
      </c>
      <c r="J199" s="5">
        <f aca="true" t="shared" si="324" ref="J199:T199">+I199</f>
        <v>1</v>
      </c>
      <c r="K199" s="5">
        <f t="shared" si="324"/>
        <v>1</v>
      </c>
      <c r="L199" s="5">
        <f t="shared" si="324"/>
        <v>1</v>
      </c>
      <c r="M199" s="5">
        <f t="shared" si="324"/>
        <v>1</v>
      </c>
      <c r="N199" s="5">
        <f t="shared" si="324"/>
        <v>1</v>
      </c>
      <c r="O199" s="5">
        <f t="shared" si="324"/>
        <v>1</v>
      </c>
      <c r="P199" s="5">
        <f t="shared" si="324"/>
        <v>1</v>
      </c>
      <c r="Q199" s="5">
        <f t="shared" si="324"/>
        <v>1</v>
      </c>
      <c r="R199" s="5">
        <f t="shared" si="324"/>
        <v>1</v>
      </c>
      <c r="S199" s="5">
        <f t="shared" si="324"/>
        <v>1</v>
      </c>
      <c r="T199" s="5">
        <f t="shared" si="324"/>
        <v>1</v>
      </c>
      <c r="U199" s="1"/>
      <c r="V199" s="352"/>
      <c r="Y199" s="56">
        <f t="shared" si="321"/>
        <v>181.95</v>
      </c>
      <c r="Z199" s="56">
        <f t="shared" si="297"/>
        <v>181.95</v>
      </c>
      <c r="AA199" s="56">
        <f t="shared" si="298"/>
        <v>181.95</v>
      </c>
      <c r="AB199" s="56">
        <f t="shared" si="299"/>
        <v>181.95</v>
      </c>
      <c r="AC199" s="56">
        <f t="shared" si="300"/>
        <v>181.95</v>
      </c>
      <c r="AD199" s="56">
        <f t="shared" si="301"/>
        <v>181.95</v>
      </c>
      <c r="AE199" s="56">
        <f t="shared" si="302"/>
        <v>181.95</v>
      </c>
      <c r="AF199" s="56">
        <f t="shared" si="303"/>
        <v>181.95</v>
      </c>
      <c r="AG199" s="56">
        <f t="shared" si="304"/>
        <v>181.95</v>
      </c>
      <c r="AH199" s="56">
        <f t="shared" si="305"/>
        <v>181.95</v>
      </c>
      <c r="AI199" s="56">
        <f t="shared" si="306"/>
        <v>181.95</v>
      </c>
      <c r="AJ199" s="56">
        <f t="shared" si="307"/>
        <v>181.95</v>
      </c>
      <c r="AL199" s="359">
        <f t="shared" si="308"/>
        <v>15.25</v>
      </c>
      <c r="AM199" s="359">
        <f t="shared" si="309"/>
        <v>15.25</v>
      </c>
      <c r="AN199" s="359">
        <f t="shared" si="310"/>
        <v>15.25</v>
      </c>
      <c r="AO199" s="359">
        <f t="shared" si="311"/>
        <v>15.25</v>
      </c>
      <c r="AP199" s="359">
        <f t="shared" si="312"/>
        <v>15.25</v>
      </c>
      <c r="AQ199" s="359">
        <f t="shared" si="313"/>
        <v>15.25</v>
      </c>
      <c r="AR199" s="359">
        <f t="shared" si="314"/>
        <v>15.25</v>
      </c>
      <c r="AS199" s="359">
        <f t="shared" si="315"/>
        <v>15.25</v>
      </c>
      <c r="AT199" s="359">
        <f t="shared" si="316"/>
        <v>15.25</v>
      </c>
      <c r="AU199" s="359">
        <f t="shared" si="317"/>
        <v>15.25</v>
      </c>
      <c r="AV199" s="359">
        <f t="shared" si="318"/>
        <v>15.25</v>
      </c>
      <c r="AW199" s="359">
        <f t="shared" si="319"/>
        <v>15.25</v>
      </c>
    </row>
    <row r="200" spans="2:49" ht="12.75">
      <c r="B200" s="61"/>
      <c r="C200" s="85"/>
      <c r="D200" s="85" t="s">
        <v>479</v>
      </c>
      <c r="E200" s="85"/>
      <c r="F200" s="85" t="s">
        <v>661</v>
      </c>
      <c r="G200" s="108">
        <f t="shared" si="295"/>
        <v>1</v>
      </c>
      <c r="H200" s="107"/>
      <c r="I200" s="68">
        <v>1</v>
      </c>
      <c r="J200" s="5">
        <f aca="true" t="shared" si="325" ref="J200:T200">+I200</f>
        <v>1</v>
      </c>
      <c r="K200" s="5">
        <f t="shared" si="325"/>
        <v>1</v>
      </c>
      <c r="L200" s="5">
        <f t="shared" si="325"/>
        <v>1</v>
      </c>
      <c r="M200" s="5">
        <f t="shared" si="325"/>
        <v>1</v>
      </c>
      <c r="N200" s="5">
        <f t="shared" si="325"/>
        <v>1</v>
      </c>
      <c r="O200" s="5">
        <f t="shared" si="325"/>
        <v>1</v>
      </c>
      <c r="P200" s="5">
        <f t="shared" si="325"/>
        <v>1</v>
      </c>
      <c r="Q200" s="5">
        <f t="shared" si="325"/>
        <v>1</v>
      </c>
      <c r="R200" s="5">
        <f t="shared" si="325"/>
        <v>1</v>
      </c>
      <c r="S200" s="5">
        <f t="shared" si="325"/>
        <v>1</v>
      </c>
      <c r="T200" s="5">
        <f t="shared" si="325"/>
        <v>1</v>
      </c>
      <c r="U200" s="1"/>
      <c r="V200" s="352"/>
      <c r="Y200" s="56">
        <f t="shared" si="321"/>
        <v>181.95</v>
      </c>
      <c r="Z200" s="56">
        <f t="shared" si="297"/>
        <v>181.95</v>
      </c>
      <c r="AA200" s="56">
        <f t="shared" si="298"/>
        <v>181.95</v>
      </c>
      <c r="AB200" s="56">
        <f t="shared" si="299"/>
        <v>181.95</v>
      </c>
      <c r="AC200" s="56">
        <f t="shared" si="300"/>
        <v>181.95</v>
      </c>
      <c r="AD200" s="56">
        <f t="shared" si="301"/>
        <v>181.95</v>
      </c>
      <c r="AE200" s="56">
        <f t="shared" si="302"/>
        <v>181.95</v>
      </c>
      <c r="AF200" s="56">
        <f t="shared" si="303"/>
        <v>181.95</v>
      </c>
      <c r="AG200" s="56">
        <f t="shared" si="304"/>
        <v>181.95</v>
      </c>
      <c r="AH200" s="56">
        <f t="shared" si="305"/>
        <v>181.95</v>
      </c>
      <c r="AI200" s="56">
        <f t="shared" si="306"/>
        <v>181.95</v>
      </c>
      <c r="AJ200" s="56">
        <f t="shared" si="307"/>
        <v>181.95</v>
      </c>
      <c r="AL200" s="359">
        <f t="shared" si="308"/>
        <v>15.25</v>
      </c>
      <c r="AM200" s="359">
        <f t="shared" si="309"/>
        <v>15.25</v>
      </c>
      <c r="AN200" s="359">
        <f t="shared" si="310"/>
        <v>15.25</v>
      </c>
      <c r="AO200" s="359">
        <f t="shared" si="311"/>
        <v>15.25</v>
      </c>
      <c r="AP200" s="359">
        <f t="shared" si="312"/>
        <v>15.25</v>
      </c>
      <c r="AQ200" s="359">
        <f t="shared" si="313"/>
        <v>15.25</v>
      </c>
      <c r="AR200" s="359">
        <f t="shared" si="314"/>
        <v>15.25</v>
      </c>
      <c r="AS200" s="359">
        <f t="shared" si="315"/>
        <v>15.25</v>
      </c>
      <c r="AT200" s="359">
        <f t="shared" si="316"/>
        <v>15.25</v>
      </c>
      <c r="AU200" s="359">
        <f t="shared" si="317"/>
        <v>15.25</v>
      </c>
      <c r="AV200" s="359">
        <f t="shared" si="318"/>
        <v>15.25</v>
      </c>
      <c r="AW200" s="359">
        <f t="shared" si="319"/>
        <v>15.25</v>
      </c>
    </row>
    <row r="201" spans="2:49" ht="12.75">
      <c r="B201" s="61"/>
      <c r="C201" s="85"/>
      <c r="D201" s="85" t="s">
        <v>477</v>
      </c>
      <c r="E201" s="85"/>
      <c r="F201" s="85" t="s">
        <v>661</v>
      </c>
      <c r="G201" s="108">
        <f t="shared" si="295"/>
        <v>1</v>
      </c>
      <c r="H201" s="107"/>
      <c r="I201" s="68">
        <v>1</v>
      </c>
      <c r="J201" s="5">
        <f aca="true" t="shared" si="326" ref="J201:T201">+I201</f>
        <v>1</v>
      </c>
      <c r="K201" s="5">
        <f t="shared" si="326"/>
        <v>1</v>
      </c>
      <c r="L201" s="5">
        <f t="shared" si="326"/>
        <v>1</v>
      </c>
      <c r="M201" s="5">
        <f t="shared" si="326"/>
        <v>1</v>
      </c>
      <c r="N201" s="5">
        <f t="shared" si="326"/>
        <v>1</v>
      </c>
      <c r="O201" s="5">
        <f t="shared" si="326"/>
        <v>1</v>
      </c>
      <c r="P201" s="5">
        <f t="shared" si="326"/>
        <v>1</v>
      </c>
      <c r="Q201" s="5">
        <f t="shared" si="326"/>
        <v>1</v>
      </c>
      <c r="R201" s="5">
        <f t="shared" si="326"/>
        <v>1</v>
      </c>
      <c r="S201" s="5">
        <f t="shared" si="326"/>
        <v>1</v>
      </c>
      <c r="T201" s="5">
        <f t="shared" si="326"/>
        <v>1</v>
      </c>
      <c r="U201" s="1"/>
      <c r="V201" s="352"/>
      <c r="Y201" s="56">
        <f t="shared" si="321"/>
        <v>181.95</v>
      </c>
      <c r="Z201" s="56">
        <f t="shared" si="297"/>
        <v>181.95</v>
      </c>
      <c r="AA201" s="56">
        <f t="shared" si="298"/>
        <v>181.95</v>
      </c>
      <c r="AB201" s="56">
        <f t="shared" si="299"/>
        <v>181.95</v>
      </c>
      <c r="AC201" s="56">
        <f t="shared" si="300"/>
        <v>181.95</v>
      </c>
      <c r="AD201" s="56">
        <f t="shared" si="301"/>
        <v>181.95</v>
      </c>
      <c r="AE201" s="56">
        <f t="shared" si="302"/>
        <v>181.95</v>
      </c>
      <c r="AF201" s="56">
        <f t="shared" si="303"/>
        <v>181.95</v>
      </c>
      <c r="AG201" s="56">
        <f t="shared" si="304"/>
        <v>181.95</v>
      </c>
      <c r="AH201" s="56">
        <f t="shared" si="305"/>
        <v>181.95</v>
      </c>
      <c r="AI201" s="56">
        <f t="shared" si="306"/>
        <v>181.95</v>
      </c>
      <c r="AJ201" s="56">
        <f t="shared" si="307"/>
        <v>181.95</v>
      </c>
      <c r="AL201" s="359">
        <f t="shared" si="308"/>
        <v>8.25</v>
      </c>
      <c r="AM201" s="359">
        <f t="shared" si="309"/>
        <v>8.25</v>
      </c>
      <c r="AN201" s="359">
        <f t="shared" si="310"/>
        <v>8.25</v>
      </c>
      <c r="AO201" s="359">
        <f t="shared" si="311"/>
        <v>8.25</v>
      </c>
      <c r="AP201" s="359">
        <f t="shared" si="312"/>
        <v>8.25</v>
      </c>
      <c r="AQ201" s="359">
        <f t="shared" si="313"/>
        <v>8.25</v>
      </c>
      <c r="AR201" s="359">
        <f t="shared" si="314"/>
        <v>8.25</v>
      </c>
      <c r="AS201" s="359">
        <f t="shared" si="315"/>
        <v>8.25</v>
      </c>
      <c r="AT201" s="359">
        <f t="shared" si="316"/>
        <v>8.25</v>
      </c>
      <c r="AU201" s="359">
        <f t="shared" si="317"/>
        <v>8.25</v>
      </c>
      <c r="AV201" s="359">
        <f t="shared" si="318"/>
        <v>8.25</v>
      </c>
      <c r="AW201" s="359">
        <f t="shared" si="319"/>
        <v>8.25</v>
      </c>
    </row>
    <row r="202" spans="2:49" ht="12.75">
      <c r="B202" s="61"/>
      <c r="C202" s="85"/>
      <c r="D202" s="85" t="s">
        <v>480</v>
      </c>
      <c r="E202" s="85"/>
      <c r="F202" s="85" t="s">
        <v>661</v>
      </c>
      <c r="G202" s="108">
        <f t="shared" si="295"/>
        <v>1</v>
      </c>
      <c r="H202" s="107"/>
      <c r="I202" s="68">
        <v>1</v>
      </c>
      <c r="J202" s="5">
        <f aca="true" t="shared" si="327" ref="J202:T202">+I202</f>
        <v>1</v>
      </c>
      <c r="K202" s="5">
        <f t="shared" si="327"/>
        <v>1</v>
      </c>
      <c r="L202" s="5">
        <f t="shared" si="327"/>
        <v>1</v>
      </c>
      <c r="M202" s="5">
        <f t="shared" si="327"/>
        <v>1</v>
      </c>
      <c r="N202" s="5">
        <f t="shared" si="327"/>
        <v>1</v>
      </c>
      <c r="O202" s="5">
        <f t="shared" si="327"/>
        <v>1</v>
      </c>
      <c r="P202" s="5">
        <f t="shared" si="327"/>
        <v>1</v>
      </c>
      <c r="Q202" s="5">
        <f t="shared" si="327"/>
        <v>1</v>
      </c>
      <c r="R202" s="5">
        <f t="shared" si="327"/>
        <v>1</v>
      </c>
      <c r="S202" s="5">
        <f t="shared" si="327"/>
        <v>1</v>
      </c>
      <c r="T202" s="5">
        <f t="shared" si="327"/>
        <v>1</v>
      </c>
      <c r="U202" s="1"/>
      <c r="V202" s="352"/>
      <c r="Y202" s="56">
        <f t="shared" si="321"/>
        <v>181.95</v>
      </c>
      <c r="Z202" s="56">
        <f t="shared" si="297"/>
        <v>181.95</v>
      </c>
      <c r="AA202" s="56">
        <f t="shared" si="298"/>
        <v>181.95</v>
      </c>
      <c r="AB202" s="56">
        <f t="shared" si="299"/>
        <v>181.95</v>
      </c>
      <c r="AC202" s="56">
        <f t="shared" si="300"/>
        <v>181.95</v>
      </c>
      <c r="AD202" s="56">
        <f t="shared" si="301"/>
        <v>181.95</v>
      </c>
      <c r="AE202" s="56">
        <f t="shared" si="302"/>
        <v>181.95</v>
      </c>
      <c r="AF202" s="56">
        <f t="shared" si="303"/>
        <v>181.95</v>
      </c>
      <c r="AG202" s="56">
        <f t="shared" si="304"/>
        <v>181.95</v>
      </c>
      <c r="AH202" s="56">
        <f t="shared" si="305"/>
        <v>181.95</v>
      </c>
      <c r="AI202" s="56">
        <f t="shared" si="306"/>
        <v>181.95</v>
      </c>
      <c r="AJ202" s="56">
        <f t="shared" si="307"/>
        <v>181.95</v>
      </c>
      <c r="AL202" s="359">
        <f t="shared" si="308"/>
        <v>15.25</v>
      </c>
      <c r="AM202" s="359">
        <f t="shared" si="309"/>
        <v>15.25</v>
      </c>
      <c r="AN202" s="359">
        <f t="shared" si="310"/>
        <v>15.25</v>
      </c>
      <c r="AO202" s="359">
        <f t="shared" si="311"/>
        <v>15.25</v>
      </c>
      <c r="AP202" s="359">
        <f t="shared" si="312"/>
        <v>15.25</v>
      </c>
      <c r="AQ202" s="359">
        <f t="shared" si="313"/>
        <v>15.25</v>
      </c>
      <c r="AR202" s="359">
        <f t="shared" si="314"/>
        <v>15.25</v>
      </c>
      <c r="AS202" s="359">
        <f t="shared" si="315"/>
        <v>15.25</v>
      </c>
      <c r="AT202" s="359">
        <f t="shared" si="316"/>
        <v>15.25</v>
      </c>
      <c r="AU202" s="359">
        <f t="shared" si="317"/>
        <v>15.25</v>
      </c>
      <c r="AV202" s="359">
        <f t="shared" si="318"/>
        <v>15.25</v>
      </c>
      <c r="AW202" s="359">
        <f t="shared" si="319"/>
        <v>15.25</v>
      </c>
    </row>
    <row r="203" spans="2:49" ht="12.75">
      <c r="B203" s="61"/>
      <c r="C203" s="85"/>
      <c r="D203" s="85" t="s">
        <v>481</v>
      </c>
      <c r="E203" s="85"/>
      <c r="F203" s="85" t="s">
        <v>661</v>
      </c>
      <c r="G203" s="108">
        <f t="shared" si="295"/>
        <v>1</v>
      </c>
      <c r="H203" s="107"/>
      <c r="I203" s="68">
        <v>1</v>
      </c>
      <c r="J203" s="5">
        <f aca="true" t="shared" si="328" ref="J203:T203">+I203</f>
        <v>1</v>
      </c>
      <c r="K203" s="5">
        <f t="shared" si="328"/>
        <v>1</v>
      </c>
      <c r="L203" s="5">
        <f t="shared" si="328"/>
        <v>1</v>
      </c>
      <c r="M203" s="5">
        <f t="shared" si="328"/>
        <v>1</v>
      </c>
      <c r="N203" s="5">
        <f t="shared" si="328"/>
        <v>1</v>
      </c>
      <c r="O203" s="5">
        <f t="shared" si="328"/>
        <v>1</v>
      </c>
      <c r="P203" s="5">
        <f t="shared" si="328"/>
        <v>1</v>
      </c>
      <c r="Q203" s="5">
        <f t="shared" si="328"/>
        <v>1</v>
      </c>
      <c r="R203" s="5">
        <f t="shared" si="328"/>
        <v>1</v>
      </c>
      <c r="S203" s="5">
        <f t="shared" si="328"/>
        <v>1</v>
      </c>
      <c r="T203" s="5">
        <f t="shared" si="328"/>
        <v>1</v>
      </c>
      <c r="U203" s="1"/>
      <c r="V203" s="352"/>
      <c r="Y203" s="56">
        <f t="shared" si="321"/>
        <v>181.95</v>
      </c>
      <c r="Z203" s="56">
        <f t="shared" si="297"/>
        <v>181.95</v>
      </c>
      <c r="AA203" s="56">
        <f t="shared" si="298"/>
        <v>181.95</v>
      </c>
      <c r="AB203" s="56">
        <f t="shared" si="299"/>
        <v>181.95</v>
      </c>
      <c r="AC203" s="56">
        <f t="shared" si="300"/>
        <v>181.95</v>
      </c>
      <c r="AD203" s="56">
        <f t="shared" si="301"/>
        <v>181.95</v>
      </c>
      <c r="AE203" s="56">
        <f t="shared" si="302"/>
        <v>181.95</v>
      </c>
      <c r="AF203" s="56">
        <f t="shared" si="303"/>
        <v>181.95</v>
      </c>
      <c r="AG203" s="56">
        <f t="shared" si="304"/>
        <v>181.95</v>
      </c>
      <c r="AH203" s="56">
        <f t="shared" si="305"/>
        <v>181.95</v>
      </c>
      <c r="AI203" s="56">
        <f t="shared" si="306"/>
        <v>181.95</v>
      </c>
      <c r="AJ203" s="56">
        <f t="shared" si="307"/>
        <v>181.95</v>
      </c>
      <c r="AL203" s="359">
        <f t="shared" si="308"/>
        <v>15.25</v>
      </c>
      <c r="AM203" s="359">
        <f t="shared" si="309"/>
        <v>15.25</v>
      </c>
      <c r="AN203" s="359">
        <f t="shared" si="310"/>
        <v>15.25</v>
      </c>
      <c r="AO203" s="359">
        <f t="shared" si="311"/>
        <v>15.25</v>
      </c>
      <c r="AP203" s="359">
        <f t="shared" si="312"/>
        <v>15.25</v>
      </c>
      <c r="AQ203" s="359">
        <f t="shared" si="313"/>
        <v>15.25</v>
      </c>
      <c r="AR203" s="359">
        <f t="shared" si="314"/>
        <v>15.25</v>
      </c>
      <c r="AS203" s="359">
        <f t="shared" si="315"/>
        <v>15.25</v>
      </c>
      <c r="AT203" s="359">
        <f t="shared" si="316"/>
        <v>15.25</v>
      </c>
      <c r="AU203" s="359">
        <f t="shared" si="317"/>
        <v>15.25</v>
      </c>
      <c r="AV203" s="359">
        <f t="shared" si="318"/>
        <v>15.25</v>
      </c>
      <c r="AW203" s="359">
        <f t="shared" si="319"/>
        <v>15.25</v>
      </c>
    </row>
    <row r="204" spans="2:49" ht="12.75">
      <c r="B204" s="61"/>
      <c r="C204" s="85"/>
      <c r="D204" s="85" t="s">
        <v>483</v>
      </c>
      <c r="E204" s="85"/>
      <c r="F204" s="85" t="s">
        <v>661</v>
      </c>
      <c r="G204" s="108">
        <f t="shared" si="295"/>
        <v>1</v>
      </c>
      <c r="H204" s="107"/>
      <c r="I204" s="68">
        <v>1</v>
      </c>
      <c r="J204" s="5">
        <f aca="true" t="shared" si="329" ref="J204:T204">+I204</f>
        <v>1</v>
      </c>
      <c r="K204" s="5">
        <f t="shared" si="329"/>
        <v>1</v>
      </c>
      <c r="L204" s="5">
        <f t="shared" si="329"/>
        <v>1</v>
      </c>
      <c r="M204" s="5">
        <f t="shared" si="329"/>
        <v>1</v>
      </c>
      <c r="N204" s="5">
        <f t="shared" si="329"/>
        <v>1</v>
      </c>
      <c r="O204" s="5">
        <f t="shared" si="329"/>
        <v>1</v>
      </c>
      <c r="P204" s="5">
        <f t="shared" si="329"/>
        <v>1</v>
      </c>
      <c r="Q204" s="5">
        <f t="shared" si="329"/>
        <v>1</v>
      </c>
      <c r="R204" s="5">
        <f t="shared" si="329"/>
        <v>1</v>
      </c>
      <c r="S204" s="5">
        <f t="shared" si="329"/>
        <v>1</v>
      </c>
      <c r="T204" s="5">
        <f t="shared" si="329"/>
        <v>1</v>
      </c>
      <c r="U204" s="1"/>
      <c r="V204" s="352"/>
      <c r="Y204" s="56">
        <f t="shared" si="321"/>
        <v>181.95</v>
      </c>
      <c r="Z204" s="56">
        <f t="shared" si="297"/>
        <v>181.95</v>
      </c>
      <c r="AA204" s="56">
        <f t="shared" si="298"/>
        <v>181.95</v>
      </c>
      <c r="AB204" s="56">
        <f t="shared" si="299"/>
        <v>181.95</v>
      </c>
      <c r="AC204" s="56">
        <f t="shared" si="300"/>
        <v>181.95</v>
      </c>
      <c r="AD204" s="56">
        <f t="shared" si="301"/>
        <v>181.95</v>
      </c>
      <c r="AE204" s="56">
        <f t="shared" si="302"/>
        <v>181.95</v>
      </c>
      <c r="AF204" s="56">
        <f t="shared" si="303"/>
        <v>181.95</v>
      </c>
      <c r="AG204" s="56">
        <f t="shared" si="304"/>
        <v>181.95</v>
      </c>
      <c r="AH204" s="56">
        <f t="shared" si="305"/>
        <v>181.95</v>
      </c>
      <c r="AI204" s="56">
        <f t="shared" si="306"/>
        <v>181.95</v>
      </c>
      <c r="AJ204" s="56">
        <f t="shared" si="307"/>
        <v>181.95</v>
      </c>
      <c r="AL204" s="359">
        <f t="shared" si="308"/>
        <v>15.25</v>
      </c>
      <c r="AM204" s="359">
        <f t="shared" si="309"/>
        <v>15.25</v>
      </c>
      <c r="AN204" s="359">
        <f t="shared" si="310"/>
        <v>15.25</v>
      </c>
      <c r="AO204" s="359">
        <f t="shared" si="311"/>
        <v>15.25</v>
      </c>
      <c r="AP204" s="359">
        <f t="shared" si="312"/>
        <v>15.25</v>
      </c>
      <c r="AQ204" s="359">
        <f t="shared" si="313"/>
        <v>15.25</v>
      </c>
      <c r="AR204" s="359">
        <f t="shared" si="314"/>
        <v>15.25</v>
      </c>
      <c r="AS204" s="359">
        <f t="shared" si="315"/>
        <v>15.25</v>
      </c>
      <c r="AT204" s="359">
        <f t="shared" si="316"/>
        <v>15.25</v>
      </c>
      <c r="AU204" s="359">
        <f t="shared" si="317"/>
        <v>15.25</v>
      </c>
      <c r="AV204" s="359">
        <f t="shared" si="318"/>
        <v>15.25</v>
      </c>
      <c r="AW204" s="359">
        <f t="shared" si="319"/>
        <v>15.25</v>
      </c>
    </row>
    <row r="205" spans="2:49" ht="12.75">
      <c r="B205" s="61"/>
      <c r="C205" s="85"/>
      <c r="D205" s="85" t="s">
        <v>484</v>
      </c>
      <c r="E205" s="85"/>
      <c r="F205" s="85" t="s">
        <v>661</v>
      </c>
      <c r="G205" s="108">
        <f t="shared" si="295"/>
        <v>1</v>
      </c>
      <c r="H205" s="107"/>
      <c r="I205" s="68">
        <v>1</v>
      </c>
      <c r="J205" s="5">
        <f aca="true" t="shared" si="330" ref="J205:T205">+I205</f>
        <v>1</v>
      </c>
      <c r="K205" s="5">
        <f t="shared" si="330"/>
        <v>1</v>
      </c>
      <c r="L205" s="5">
        <f t="shared" si="330"/>
        <v>1</v>
      </c>
      <c r="M205" s="5">
        <f t="shared" si="330"/>
        <v>1</v>
      </c>
      <c r="N205" s="5">
        <f t="shared" si="330"/>
        <v>1</v>
      </c>
      <c r="O205" s="5">
        <f t="shared" si="330"/>
        <v>1</v>
      </c>
      <c r="P205" s="5">
        <f t="shared" si="330"/>
        <v>1</v>
      </c>
      <c r="Q205" s="5">
        <f t="shared" si="330"/>
        <v>1</v>
      </c>
      <c r="R205" s="5">
        <f t="shared" si="330"/>
        <v>1</v>
      </c>
      <c r="S205" s="5">
        <f t="shared" si="330"/>
        <v>1</v>
      </c>
      <c r="T205" s="5">
        <f t="shared" si="330"/>
        <v>1</v>
      </c>
      <c r="U205" s="1"/>
      <c r="V205" s="352"/>
      <c r="Y205" s="56">
        <f t="shared" si="321"/>
        <v>181.95</v>
      </c>
      <c r="Z205" s="56">
        <f t="shared" si="297"/>
        <v>181.95</v>
      </c>
      <c r="AA205" s="56">
        <f t="shared" si="298"/>
        <v>181.95</v>
      </c>
      <c r="AB205" s="56">
        <f t="shared" si="299"/>
        <v>181.95</v>
      </c>
      <c r="AC205" s="56">
        <f t="shared" si="300"/>
        <v>181.95</v>
      </c>
      <c r="AD205" s="56">
        <f t="shared" si="301"/>
        <v>181.95</v>
      </c>
      <c r="AE205" s="56">
        <f t="shared" si="302"/>
        <v>181.95</v>
      </c>
      <c r="AF205" s="56">
        <f t="shared" si="303"/>
        <v>181.95</v>
      </c>
      <c r="AG205" s="56">
        <f t="shared" si="304"/>
        <v>181.95</v>
      </c>
      <c r="AH205" s="56">
        <f t="shared" si="305"/>
        <v>181.95</v>
      </c>
      <c r="AI205" s="56">
        <f t="shared" si="306"/>
        <v>181.95</v>
      </c>
      <c r="AJ205" s="56">
        <f t="shared" si="307"/>
        <v>181.95</v>
      </c>
      <c r="AL205" s="359">
        <f t="shared" si="308"/>
        <v>15.25</v>
      </c>
      <c r="AM205" s="359">
        <f t="shared" si="309"/>
        <v>15.25</v>
      </c>
      <c r="AN205" s="359">
        <f t="shared" si="310"/>
        <v>15.25</v>
      </c>
      <c r="AO205" s="359">
        <f t="shared" si="311"/>
        <v>15.25</v>
      </c>
      <c r="AP205" s="359">
        <f t="shared" si="312"/>
        <v>15.25</v>
      </c>
      <c r="AQ205" s="359">
        <f t="shared" si="313"/>
        <v>15.25</v>
      </c>
      <c r="AR205" s="359">
        <f t="shared" si="314"/>
        <v>15.25</v>
      </c>
      <c r="AS205" s="359">
        <f t="shared" si="315"/>
        <v>15.25</v>
      </c>
      <c r="AT205" s="359">
        <f t="shared" si="316"/>
        <v>15.25</v>
      </c>
      <c r="AU205" s="359">
        <f t="shared" si="317"/>
        <v>15.25</v>
      </c>
      <c r="AV205" s="359">
        <f t="shared" si="318"/>
        <v>15.25</v>
      </c>
      <c r="AW205" s="359">
        <f t="shared" si="319"/>
        <v>15.25</v>
      </c>
    </row>
    <row r="206" spans="2:49" ht="12.75">
      <c r="B206" s="61"/>
      <c r="C206" s="85"/>
      <c r="D206" s="85" t="s">
        <v>482</v>
      </c>
      <c r="E206" s="85"/>
      <c r="F206" s="85" t="s">
        <v>661</v>
      </c>
      <c r="G206" s="108">
        <f t="shared" si="295"/>
        <v>1</v>
      </c>
      <c r="H206" s="107"/>
      <c r="I206" s="68">
        <v>1</v>
      </c>
      <c r="J206" s="5">
        <f aca="true" t="shared" si="331" ref="J206:T206">+I206</f>
        <v>1</v>
      </c>
      <c r="K206" s="5">
        <f t="shared" si="331"/>
        <v>1</v>
      </c>
      <c r="L206" s="5">
        <f t="shared" si="331"/>
        <v>1</v>
      </c>
      <c r="M206" s="5">
        <f t="shared" si="331"/>
        <v>1</v>
      </c>
      <c r="N206" s="5">
        <f t="shared" si="331"/>
        <v>1</v>
      </c>
      <c r="O206" s="5">
        <f t="shared" si="331"/>
        <v>1</v>
      </c>
      <c r="P206" s="5">
        <f t="shared" si="331"/>
        <v>1</v>
      </c>
      <c r="Q206" s="5">
        <f t="shared" si="331"/>
        <v>1</v>
      </c>
      <c r="R206" s="5">
        <f t="shared" si="331"/>
        <v>1</v>
      </c>
      <c r="S206" s="5">
        <f t="shared" si="331"/>
        <v>1</v>
      </c>
      <c r="T206" s="5">
        <f t="shared" si="331"/>
        <v>1</v>
      </c>
      <c r="U206" s="1"/>
      <c r="V206" s="352"/>
      <c r="Y206" s="56">
        <f t="shared" si="321"/>
        <v>181.95</v>
      </c>
      <c r="Z206" s="56">
        <f t="shared" si="297"/>
        <v>181.95</v>
      </c>
      <c r="AA206" s="56">
        <f t="shared" si="298"/>
        <v>181.95</v>
      </c>
      <c r="AB206" s="56">
        <f t="shared" si="299"/>
        <v>181.95</v>
      </c>
      <c r="AC206" s="56">
        <f t="shared" si="300"/>
        <v>181.95</v>
      </c>
      <c r="AD206" s="56">
        <f t="shared" si="301"/>
        <v>181.95</v>
      </c>
      <c r="AE206" s="56">
        <f t="shared" si="302"/>
        <v>181.95</v>
      </c>
      <c r="AF206" s="56">
        <f t="shared" si="303"/>
        <v>181.95</v>
      </c>
      <c r="AG206" s="56">
        <f t="shared" si="304"/>
        <v>181.95</v>
      </c>
      <c r="AH206" s="56">
        <f t="shared" si="305"/>
        <v>181.95</v>
      </c>
      <c r="AI206" s="56">
        <f t="shared" si="306"/>
        <v>181.95</v>
      </c>
      <c r="AJ206" s="56">
        <f t="shared" si="307"/>
        <v>181.95</v>
      </c>
      <c r="AL206" s="359">
        <f t="shared" si="308"/>
        <v>15.25</v>
      </c>
      <c r="AM206" s="359">
        <f t="shared" si="309"/>
        <v>15.25</v>
      </c>
      <c r="AN206" s="359">
        <f t="shared" si="310"/>
        <v>15.25</v>
      </c>
      <c r="AO206" s="359">
        <f t="shared" si="311"/>
        <v>15.25</v>
      </c>
      <c r="AP206" s="359">
        <f t="shared" si="312"/>
        <v>15.25</v>
      </c>
      <c r="AQ206" s="359">
        <f t="shared" si="313"/>
        <v>15.25</v>
      </c>
      <c r="AR206" s="359">
        <f t="shared" si="314"/>
        <v>15.25</v>
      </c>
      <c r="AS206" s="359">
        <f t="shared" si="315"/>
        <v>15.25</v>
      </c>
      <c r="AT206" s="359">
        <f t="shared" si="316"/>
        <v>15.25</v>
      </c>
      <c r="AU206" s="359">
        <f t="shared" si="317"/>
        <v>15.25</v>
      </c>
      <c r="AV206" s="359">
        <f t="shared" si="318"/>
        <v>15.25</v>
      </c>
      <c r="AW206" s="359">
        <f t="shared" si="319"/>
        <v>15.25</v>
      </c>
    </row>
    <row r="207" spans="2:49" ht="12.75">
      <c r="B207" s="61"/>
      <c r="C207" s="85"/>
      <c r="D207" s="85" t="s">
        <v>485</v>
      </c>
      <c r="E207" s="85"/>
      <c r="F207" s="85" t="s">
        <v>661</v>
      </c>
      <c r="G207" s="108">
        <f t="shared" si="295"/>
        <v>1</v>
      </c>
      <c r="H207" s="107"/>
      <c r="I207" s="68">
        <v>1</v>
      </c>
      <c r="J207" s="5">
        <f aca="true" t="shared" si="332" ref="J207:T207">+I207</f>
        <v>1</v>
      </c>
      <c r="K207" s="5">
        <f t="shared" si="332"/>
        <v>1</v>
      </c>
      <c r="L207" s="5">
        <f t="shared" si="332"/>
        <v>1</v>
      </c>
      <c r="M207" s="5">
        <f t="shared" si="332"/>
        <v>1</v>
      </c>
      <c r="N207" s="5">
        <f t="shared" si="332"/>
        <v>1</v>
      </c>
      <c r="O207" s="5">
        <f t="shared" si="332"/>
        <v>1</v>
      </c>
      <c r="P207" s="5">
        <f t="shared" si="332"/>
        <v>1</v>
      </c>
      <c r="Q207" s="5">
        <f t="shared" si="332"/>
        <v>1</v>
      </c>
      <c r="R207" s="5">
        <f t="shared" si="332"/>
        <v>1</v>
      </c>
      <c r="S207" s="5">
        <f t="shared" si="332"/>
        <v>1</v>
      </c>
      <c r="T207" s="5">
        <f t="shared" si="332"/>
        <v>1</v>
      </c>
      <c r="U207" s="1"/>
      <c r="V207" s="352"/>
      <c r="Y207" s="56">
        <f t="shared" si="321"/>
        <v>181.95</v>
      </c>
      <c r="Z207" s="56">
        <f t="shared" si="297"/>
        <v>181.95</v>
      </c>
      <c r="AA207" s="56">
        <f t="shared" si="298"/>
        <v>181.95</v>
      </c>
      <c r="AB207" s="56">
        <f t="shared" si="299"/>
        <v>181.95</v>
      </c>
      <c r="AC207" s="56">
        <f t="shared" si="300"/>
        <v>181.95</v>
      </c>
      <c r="AD207" s="56">
        <f t="shared" si="301"/>
        <v>181.95</v>
      </c>
      <c r="AE207" s="56">
        <f t="shared" si="302"/>
        <v>181.95</v>
      </c>
      <c r="AF207" s="56">
        <f t="shared" si="303"/>
        <v>181.95</v>
      </c>
      <c r="AG207" s="56">
        <f t="shared" si="304"/>
        <v>181.95</v>
      </c>
      <c r="AH207" s="56">
        <f t="shared" si="305"/>
        <v>181.95</v>
      </c>
      <c r="AI207" s="56">
        <f t="shared" si="306"/>
        <v>181.95</v>
      </c>
      <c r="AJ207" s="56">
        <f t="shared" si="307"/>
        <v>181.95</v>
      </c>
      <c r="AL207" s="359">
        <f t="shared" si="308"/>
        <v>15.25</v>
      </c>
      <c r="AM207" s="359">
        <f t="shared" si="309"/>
        <v>15.25</v>
      </c>
      <c r="AN207" s="359">
        <f t="shared" si="310"/>
        <v>15.25</v>
      </c>
      <c r="AO207" s="359">
        <f t="shared" si="311"/>
        <v>15.25</v>
      </c>
      <c r="AP207" s="359">
        <f t="shared" si="312"/>
        <v>15.25</v>
      </c>
      <c r="AQ207" s="359">
        <f t="shared" si="313"/>
        <v>15.25</v>
      </c>
      <c r="AR207" s="359">
        <f t="shared" si="314"/>
        <v>15.25</v>
      </c>
      <c r="AS207" s="359">
        <f t="shared" si="315"/>
        <v>15.25</v>
      </c>
      <c r="AT207" s="359">
        <f t="shared" si="316"/>
        <v>15.25</v>
      </c>
      <c r="AU207" s="359">
        <f t="shared" si="317"/>
        <v>15.25</v>
      </c>
      <c r="AV207" s="359">
        <f t="shared" si="318"/>
        <v>15.25</v>
      </c>
      <c r="AW207" s="359">
        <f t="shared" si="319"/>
        <v>15.25</v>
      </c>
    </row>
    <row r="208" spans="2:49" ht="12.75">
      <c r="B208" s="61"/>
      <c r="C208" s="85"/>
      <c r="D208" s="3" t="s">
        <v>649</v>
      </c>
      <c r="E208" s="85"/>
      <c r="F208" s="85"/>
      <c r="G208" s="357">
        <f>SUM(I208:T208)</f>
        <v>30769.079999999998</v>
      </c>
      <c r="H208" s="160"/>
      <c r="I208" s="43">
        <f aca="true" t="shared" si="333" ref="I208:T208">+Y208</f>
        <v>2564.0899999999997</v>
      </c>
      <c r="J208" s="43">
        <f t="shared" si="333"/>
        <v>2564.0899999999997</v>
      </c>
      <c r="K208" s="43">
        <f t="shared" si="333"/>
        <v>2564.0899999999997</v>
      </c>
      <c r="L208" s="43">
        <f t="shared" si="333"/>
        <v>2564.0899999999997</v>
      </c>
      <c r="M208" s="43">
        <f t="shared" si="333"/>
        <v>2564.0899999999997</v>
      </c>
      <c r="N208" s="43">
        <f t="shared" si="333"/>
        <v>2564.0899999999997</v>
      </c>
      <c r="O208" s="43">
        <f t="shared" si="333"/>
        <v>2564.0899999999997</v>
      </c>
      <c r="P208" s="43">
        <f t="shared" si="333"/>
        <v>2564.0899999999997</v>
      </c>
      <c r="Q208" s="43">
        <f t="shared" si="333"/>
        <v>2564.0899999999997</v>
      </c>
      <c r="R208" s="43">
        <f t="shared" si="333"/>
        <v>2564.0899999999997</v>
      </c>
      <c r="S208" s="43">
        <f t="shared" si="333"/>
        <v>2564.0899999999997</v>
      </c>
      <c r="T208" s="43">
        <f t="shared" si="333"/>
        <v>2564.0899999999997</v>
      </c>
      <c r="U208" s="85"/>
      <c r="V208" s="352"/>
      <c r="Y208" s="56">
        <f aca="true" t="shared" si="334" ref="Y208:AJ208">SUM(Y195:Y207)</f>
        <v>2564.0899999999997</v>
      </c>
      <c r="Z208" s="56">
        <f t="shared" si="334"/>
        <v>2564.0899999999997</v>
      </c>
      <c r="AA208" s="56">
        <f t="shared" si="334"/>
        <v>2564.0899999999997</v>
      </c>
      <c r="AB208" s="56">
        <f t="shared" si="334"/>
        <v>2564.0899999999997</v>
      </c>
      <c r="AC208" s="56">
        <f t="shared" si="334"/>
        <v>2564.0899999999997</v>
      </c>
      <c r="AD208" s="56">
        <f t="shared" si="334"/>
        <v>2564.0899999999997</v>
      </c>
      <c r="AE208" s="56">
        <f t="shared" si="334"/>
        <v>2564.0899999999997</v>
      </c>
      <c r="AF208" s="56">
        <f t="shared" si="334"/>
        <v>2564.0899999999997</v>
      </c>
      <c r="AG208" s="56">
        <f t="shared" si="334"/>
        <v>2564.0899999999997</v>
      </c>
      <c r="AH208" s="56">
        <f t="shared" si="334"/>
        <v>2564.0899999999997</v>
      </c>
      <c r="AI208" s="56">
        <f t="shared" si="334"/>
        <v>2564.0899999999997</v>
      </c>
      <c r="AJ208" s="56">
        <f t="shared" si="334"/>
        <v>2564.0899999999997</v>
      </c>
      <c r="AL208" s="359"/>
      <c r="AM208" s="359"/>
      <c r="AN208" s="359"/>
      <c r="AO208" s="359"/>
      <c r="AP208" s="359"/>
      <c r="AQ208" s="359"/>
      <c r="AR208" s="359"/>
      <c r="AS208" s="359"/>
      <c r="AT208" s="359"/>
      <c r="AU208" s="359"/>
      <c r="AV208" s="359"/>
      <c r="AW208" s="359"/>
    </row>
    <row r="209" spans="2:49" ht="12.75">
      <c r="B209" s="61"/>
      <c r="C209" s="85"/>
      <c r="D209" s="3" t="s">
        <v>650</v>
      </c>
      <c r="E209" s="85"/>
      <c r="F209" s="85"/>
      <c r="G209" s="357">
        <f>SUM(I209:T209)</f>
        <v>2575.92</v>
      </c>
      <c r="H209" s="160"/>
      <c r="I209" s="43">
        <f>AL209</f>
        <v>214.66</v>
      </c>
      <c r="J209" s="43">
        <f aca="true" t="shared" si="335" ref="J209:T209">AM209</f>
        <v>214.66</v>
      </c>
      <c r="K209" s="43">
        <f t="shared" si="335"/>
        <v>214.66</v>
      </c>
      <c r="L209" s="43">
        <f t="shared" si="335"/>
        <v>214.66</v>
      </c>
      <c r="M209" s="43">
        <f t="shared" si="335"/>
        <v>214.66</v>
      </c>
      <c r="N209" s="43">
        <f t="shared" si="335"/>
        <v>214.66</v>
      </c>
      <c r="O209" s="43">
        <f t="shared" si="335"/>
        <v>214.66</v>
      </c>
      <c r="P209" s="43">
        <f t="shared" si="335"/>
        <v>214.66</v>
      </c>
      <c r="Q209" s="43">
        <f t="shared" si="335"/>
        <v>214.66</v>
      </c>
      <c r="R209" s="43">
        <f t="shared" si="335"/>
        <v>214.66</v>
      </c>
      <c r="S209" s="43">
        <f t="shared" si="335"/>
        <v>214.66</v>
      </c>
      <c r="T209" s="43">
        <f t="shared" si="335"/>
        <v>214.66</v>
      </c>
      <c r="U209" s="85"/>
      <c r="V209" s="352"/>
      <c r="AL209" s="359">
        <f>SUM(AL195:AL207)</f>
        <v>214.66</v>
      </c>
      <c r="AM209" s="359">
        <f aca="true" t="shared" si="336" ref="AM209:AW209">SUM(AM195:AM207)</f>
        <v>214.66</v>
      </c>
      <c r="AN209" s="359">
        <f t="shared" si="336"/>
        <v>214.66</v>
      </c>
      <c r="AO209" s="359">
        <f t="shared" si="336"/>
        <v>214.66</v>
      </c>
      <c r="AP209" s="359">
        <f t="shared" si="336"/>
        <v>214.66</v>
      </c>
      <c r="AQ209" s="359">
        <f t="shared" si="336"/>
        <v>214.66</v>
      </c>
      <c r="AR209" s="359">
        <f t="shared" si="336"/>
        <v>214.66</v>
      </c>
      <c r="AS209" s="359">
        <f t="shared" si="336"/>
        <v>214.66</v>
      </c>
      <c r="AT209" s="359">
        <f t="shared" si="336"/>
        <v>214.66</v>
      </c>
      <c r="AU209" s="359">
        <f t="shared" si="336"/>
        <v>214.66</v>
      </c>
      <c r="AV209" s="359">
        <f t="shared" si="336"/>
        <v>214.66</v>
      </c>
      <c r="AW209" s="359">
        <f t="shared" si="336"/>
        <v>214.66</v>
      </c>
    </row>
    <row r="210" spans="2:22" ht="12.75">
      <c r="B210" s="61"/>
      <c r="C210" s="85"/>
      <c r="D210" s="85"/>
      <c r="E210" s="85"/>
      <c r="F210" s="3" t="s">
        <v>577</v>
      </c>
      <c r="G210" s="83"/>
      <c r="H210" s="85"/>
      <c r="I210" s="83"/>
      <c r="J210" s="83"/>
      <c r="K210" s="23">
        <f>SUM(K195:K207)</f>
        <v>13</v>
      </c>
      <c r="L210" s="83"/>
      <c r="M210" s="83"/>
      <c r="N210" s="83"/>
      <c r="O210" s="83"/>
      <c r="P210" s="83"/>
      <c r="Q210" s="83"/>
      <c r="R210" s="83"/>
      <c r="S210" s="83"/>
      <c r="T210" s="83"/>
      <c r="U210" s="85"/>
      <c r="V210" s="352"/>
    </row>
    <row r="211" spans="2:22" ht="12.75">
      <c r="B211" s="61"/>
      <c r="C211" s="85"/>
      <c r="D211" s="85"/>
      <c r="E211" s="85"/>
      <c r="F211" s="85"/>
      <c r="G211" s="83"/>
      <c r="H211" s="85"/>
      <c r="I211" s="83"/>
      <c r="J211" s="83"/>
      <c r="K211" s="83"/>
      <c r="L211" s="83"/>
      <c r="M211" s="83"/>
      <c r="N211" s="83"/>
      <c r="O211" s="83"/>
      <c r="P211" s="83"/>
      <c r="Q211" s="83"/>
      <c r="R211" s="83"/>
      <c r="S211" s="83"/>
      <c r="T211" s="83"/>
      <c r="U211" s="85"/>
      <c r="V211" s="352"/>
    </row>
    <row r="212" spans="2:22" ht="12.75">
      <c r="B212" s="61"/>
      <c r="C212" s="85"/>
      <c r="D212" s="3" t="s">
        <v>659</v>
      </c>
      <c r="E212" s="3"/>
      <c r="F212" s="3"/>
      <c r="G212" s="357">
        <f>+G187+G208</f>
        <v>76923.11999999998</v>
      </c>
      <c r="H212" s="160"/>
      <c r="I212" s="83"/>
      <c r="J212" s="83"/>
      <c r="K212" s="83"/>
      <c r="L212" s="83"/>
      <c r="M212" s="83"/>
      <c r="N212" s="83"/>
      <c r="O212" s="83"/>
      <c r="P212" s="83"/>
      <c r="Q212" s="83"/>
      <c r="R212" s="83"/>
      <c r="S212" s="83"/>
      <c r="T212" s="83"/>
      <c r="U212" s="85"/>
      <c r="V212" s="352"/>
    </row>
    <row r="213" spans="2:22" ht="12.75">
      <c r="B213" s="61"/>
      <c r="C213" s="85"/>
      <c r="D213" s="3" t="s">
        <v>660</v>
      </c>
      <c r="E213" s="3"/>
      <c r="F213" s="3"/>
      <c r="G213" s="357">
        <f>+G188+G209</f>
        <v>6434.519999999999</v>
      </c>
      <c r="H213" s="160"/>
      <c r="I213" s="83"/>
      <c r="J213" s="83"/>
      <c r="K213" s="83"/>
      <c r="L213" s="83"/>
      <c r="M213" s="83"/>
      <c r="N213" s="83"/>
      <c r="O213" s="83"/>
      <c r="P213" s="83"/>
      <c r="Q213" s="83"/>
      <c r="R213" s="83"/>
      <c r="S213" s="83"/>
      <c r="T213" s="83"/>
      <c r="U213" s="85"/>
      <c r="V213" s="352"/>
    </row>
    <row r="214" spans="2:22" ht="12.75">
      <c r="B214" s="61"/>
      <c r="C214" s="85"/>
      <c r="D214" s="3"/>
      <c r="E214" s="3"/>
      <c r="F214" s="3" t="s">
        <v>577</v>
      </c>
      <c r="G214" s="357">
        <f>SUM(G212:G213)</f>
        <v>83357.63999999998</v>
      </c>
      <c r="H214" s="160"/>
      <c r="I214" s="83"/>
      <c r="J214" s="83"/>
      <c r="K214" s="83"/>
      <c r="L214" s="83"/>
      <c r="M214" s="83"/>
      <c r="N214" s="83"/>
      <c r="O214" s="83"/>
      <c r="P214" s="83"/>
      <c r="Q214" s="83"/>
      <c r="R214" s="83"/>
      <c r="S214" s="83"/>
      <c r="T214" s="83"/>
      <c r="U214" s="85"/>
      <c r="V214" s="352"/>
    </row>
    <row r="215" spans="2:22" ht="12.75">
      <c r="B215" s="61"/>
      <c r="C215" s="85"/>
      <c r="D215" s="85"/>
      <c r="E215" s="85"/>
      <c r="F215" s="85"/>
      <c r="G215" s="83"/>
      <c r="H215" s="85"/>
      <c r="I215" s="83"/>
      <c r="J215" s="83"/>
      <c r="K215" s="83"/>
      <c r="L215" s="83"/>
      <c r="M215" s="83"/>
      <c r="N215" s="83"/>
      <c r="O215" s="83"/>
      <c r="P215" s="83"/>
      <c r="Q215" s="83"/>
      <c r="R215" s="83"/>
      <c r="S215" s="83"/>
      <c r="T215" s="83"/>
      <c r="U215" s="85"/>
      <c r="V215" s="352"/>
    </row>
    <row r="216" spans="2:22" ht="12.75">
      <c r="B216" s="61"/>
      <c r="C216" s="62"/>
      <c r="D216" s="62"/>
      <c r="E216" s="62"/>
      <c r="F216" s="62"/>
      <c r="G216" s="55"/>
      <c r="H216" s="62"/>
      <c r="U216" s="62"/>
      <c r="V216" s="352"/>
    </row>
    <row r="217" spans="2:22" ht="13.5" thickBot="1">
      <c r="B217" s="70"/>
      <c r="C217" s="71"/>
      <c r="D217" s="71"/>
      <c r="E217" s="71"/>
      <c r="F217" s="71"/>
      <c r="G217" s="75"/>
      <c r="H217" s="71"/>
      <c r="I217" s="75"/>
      <c r="J217" s="75"/>
      <c r="K217" s="75"/>
      <c r="L217" s="75"/>
      <c r="M217" s="75"/>
      <c r="N217" s="75"/>
      <c r="O217" s="75"/>
      <c r="P217" s="75"/>
      <c r="Q217" s="75"/>
      <c r="R217" s="75"/>
      <c r="S217" s="75"/>
      <c r="T217" s="75"/>
      <c r="U217" s="71"/>
      <c r="V217" s="360"/>
    </row>
    <row r="222" spans="4:10" ht="12.75">
      <c r="D222" s="36" t="s">
        <v>319</v>
      </c>
      <c r="J222" s="47">
        <f>+tabel!D4</f>
        <v>2010</v>
      </c>
    </row>
    <row r="223" ht="12.75">
      <c r="D223" s="7"/>
    </row>
    <row r="224" spans="4:10" ht="12.75">
      <c r="D224" s="7" t="s">
        <v>262</v>
      </c>
      <c r="J224" s="529">
        <f>+SUM(N25:T25)+SUM(N47:T47)+SUM(I134:M134)+SUM(I155:M155)</f>
        <v>112913.28000000003</v>
      </c>
    </row>
    <row r="225" spans="4:10" ht="12.75">
      <c r="D225" s="7" t="s">
        <v>263</v>
      </c>
      <c r="J225" s="529">
        <f>SUM(N80:T80)+SUM(N102:T102)+SUM(I187:M187)+SUM(I208:M208)</f>
        <v>76923.11999999998</v>
      </c>
    </row>
    <row r="226" spans="4:10" ht="12.75">
      <c r="D226" s="7" t="s">
        <v>260</v>
      </c>
      <c r="J226" s="529">
        <f>+SUM(N26:T26)+SUM(N48:T48)+SUM(I135:M135)+SUM(I156:M156)</f>
        <v>11007.119999999999</v>
      </c>
    </row>
    <row r="227" spans="4:10" ht="12.75">
      <c r="D227" s="7" t="s">
        <v>261</v>
      </c>
      <c r="J227" s="529">
        <f>+SUM(N81:T81)+SUM(N103:T103)+SUM(I188:M188)+SUM(I209:M209)</f>
        <v>6434.5199999999995</v>
      </c>
    </row>
    <row r="228" spans="4:10" ht="12.75">
      <c r="D228" s="338" t="s">
        <v>577</v>
      </c>
      <c r="J228" s="531">
        <f>SUM(J224:J227)</f>
        <v>207278.04</v>
      </c>
    </row>
    <row r="229" ht="12.75">
      <c r="J229" s="530"/>
    </row>
    <row r="230" ht="12.75">
      <c r="D230" s="7"/>
    </row>
  </sheetData>
  <sheetProtection password="DE55" sheet="1" objects="1" scenarios="1"/>
  <printOptions/>
  <pageMargins left="0.75" right="0.75" top="1" bottom="1" header="0.5" footer="0.5"/>
  <pageSetup horizontalDpi="600" verticalDpi="600" orientation="landscape" paperSize="9" scale="60" r:id="rId4"/>
  <headerFooter alignWithMargins="0">
    <oddHeader>&amp;L&amp;"Arial,Vet"&amp;F&amp;R&amp;"Arial,Vet"&amp;A</oddHeader>
    <oddFooter>&amp;L&amp;"Arial,Vet"keizer / goedhart&amp;C&amp;"Arial,Vet"&amp;D&amp;R&amp;"Arial,Vet"pagina &amp;P</oddFooter>
  </headerFooter>
  <rowBreaks count="3" manualBreakCount="3">
    <brk id="56" min="1" max="21" man="1"/>
    <brk id="111" min="1" max="21" man="1"/>
    <brk id="164" min="1" max="21" man="1"/>
  </rowBreaks>
  <drawing r:id="rId3"/>
  <legacyDrawing r:id="rId2"/>
</worksheet>
</file>

<file path=xl/worksheets/sheet4.xml><?xml version="1.0" encoding="utf-8"?>
<worksheet xmlns="http://schemas.openxmlformats.org/spreadsheetml/2006/main" xmlns:r="http://schemas.openxmlformats.org/officeDocument/2006/relationships">
  <dimension ref="A2:AL240"/>
  <sheetViews>
    <sheetView zoomScale="85" zoomScaleNormal="85" workbookViewId="0" topLeftCell="A1">
      <pane ySplit="9" topLeftCell="BM10" activePane="bottomLeft" state="frozen"/>
      <selection pane="topLeft" activeCell="B2" sqref="B2"/>
      <selection pane="bottomLeft" activeCell="J224" sqref="J224"/>
    </sheetView>
  </sheetViews>
  <sheetFormatPr defaultColWidth="9.140625" defaultRowHeight="12.75"/>
  <cols>
    <col min="1" max="1" width="5.7109375" style="7" customWidth="1"/>
    <col min="2" max="3" width="2.7109375" style="7" customWidth="1"/>
    <col min="4" max="4" width="2.7109375" style="122" customWidth="1"/>
    <col min="5" max="6" width="20.7109375" style="7" customWidth="1"/>
    <col min="7" max="7" width="10.7109375" style="7" customWidth="1"/>
    <col min="8" max="8" width="3.28125" style="7" customWidth="1"/>
    <col min="9" max="13" width="16.8515625" style="7" customWidth="1"/>
    <col min="14" max="16" width="2.7109375" style="7" customWidth="1"/>
    <col min="17" max="21" width="16.8515625" style="8" customWidth="1"/>
    <col min="22" max="22" width="3.57421875" style="7" customWidth="1"/>
    <col min="23" max="23" width="3.421875" style="7" customWidth="1"/>
    <col min="24" max="16384" width="9.140625" style="7" customWidth="1"/>
  </cols>
  <sheetData>
    <row r="1" ht="12.75" customHeight="1" thickBot="1"/>
    <row r="2" spans="2:37" ht="12.75">
      <c r="B2" s="9"/>
      <c r="C2" s="10"/>
      <c r="D2" s="166"/>
      <c r="E2" s="10"/>
      <c r="F2" s="10"/>
      <c r="G2" s="10"/>
      <c r="H2" s="10"/>
      <c r="I2" s="10"/>
      <c r="J2" s="10"/>
      <c r="K2" s="10"/>
      <c r="L2" s="10"/>
      <c r="M2" s="10"/>
      <c r="N2" s="10"/>
      <c r="O2" s="10"/>
      <c r="P2" s="10"/>
      <c r="Q2" s="11"/>
      <c r="R2" s="11"/>
      <c r="S2" s="11"/>
      <c r="T2" s="11"/>
      <c r="U2" s="11"/>
      <c r="V2" s="10"/>
      <c r="W2" s="12"/>
      <c r="Y2" s="62"/>
      <c r="Z2" s="62"/>
      <c r="AA2" s="62"/>
      <c r="AB2" s="62"/>
      <c r="AC2" s="62"/>
      <c r="AD2" s="62"/>
      <c r="AE2" s="62"/>
      <c r="AF2" s="62"/>
      <c r="AG2" s="62"/>
      <c r="AH2" s="62"/>
      <c r="AI2" s="62"/>
      <c r="AJ2" s="62"/>
      <c r="AK2" s="62"/>
    </row>
    <row r="3" spans="2:37" ht="12.75">
      <c r="B3" s="13"/>
      <c r="W3" s="14"/>
      <c r="Y3" s="62"/>
      <c r="Z3" s="62"/>
      <c r="AA3" s="62"/>
      <c r="AB3" s="62"/>
      <c r="AC3" s="62"/>
      <c r="AD3" s="62"/>
      <c r="AE3" s="62"/>
      <c r="AF3" s="62"/>
      <c r="AG3" s="62"/>
      <c r="AH3" s="62"/>
      <c r="AI3" s="62"/>
      <c r="AJ3" s="62"/>
      <c r="AK3" s="62"/>
    </row>
    <row r="4" spans="2:37" ht="18">
      <c r="B4" s="13"/>
      <c r="C4" s="123" t="s">
        <v>243</v>
      </c>
      <c r="D4" s="7"/>
      <c r="P4" s="123"/>
      <c r="W4" s="14"/>
      <c r="Y4" s="62"/>
      <c r="Z4" s="62"/>
      <c r="AA4" s="62"/>
      <c r="AB4" s="62"/>
      <c r="AC4" s="62"/>
      <c r="AD4" s="62"/>
      <c r="AE4" s="62"/>
      <c r="AF4" s="62"/>
      <c r="AG4" s="62"/>
      <c r="AH4" s="62"/>
      <c r="AI4" s="62"/>
      <c r="AJ4" s="62"/>
      <c r="AK4" s="62"/>
    </row>
    <row r="5" spans="2:37" ht="12" customHeight="1">
      <c r="B5" s="13"/>
      <c r="C5" s="123"/>
      <c r="D5" s="7"/>
      <c r="P5" s="123"/>
      <c r="W5" s="14"/>
      <c r="Y5" s="62"/>
      <c r="Z5" s="62"/>
      <c r="AA5" s="62"/>
      <c r="AB5" s="62"/>
      <c r="AC5" s="62"/>
      <c r="AD5" s="62"/>
      <c r="AE5" s="62"/>
      <c r="AF5" s="62"/>
      <c r="AG5" s="62"/>
      <c r="AH5" s="62"/>
      <c r="AI5" s="62"/>
      <c r="AJ5" s="62"/>
      <c r="AK5" s="62"/>
    </row>
    <row r="6" spans="2:37" ht="12" customHeight="1">
      <c r="B6" s="13"/>
      <c r="K6" s="47"/>
      <c r="L6" s="47"/>
      <c r="M6" s="47"/>
      <c r="S6" s="47"/>
      <c r="T6" s="47"/>
      <c r="U6" s="47"/>
      <c r="W6" s="14"/>
      <c r="Y6" s="62"/>
      <c r="Z6" s="62"/>
      <c r="AA6" s="62"/>
      <c r="AB6" s="62"/>
      <c r="AC6" s="62"/>
      <c r="AD6" s="62"/>
      <c r="AE6" s="62"/>
      <c r="AF6" s="62"/>
      <c r="AG6" s="62"/>
      <c r="AH6" s="62"/>
      <c r="AI6" s="62"/>
      <c r="AJ6" s="62"/>
      <c r="AK6" s="62"/>
    </row>
    <row r="7" spans="2:37" ht="12" customHeight="1">
      <c r="B7" s="13"/>
      <c r="I7" s="540" t="s">
        <v>739</v>
      </c>
      <c r="J7" s="540"/>
      <c r="K7" s="540"/>
      <c r="L7" s="540"/>
      <c r="M7" s="21"/>
      <c r="Q7" s="539" t="s">
        <v>124</v>
      </c>
      <c r="R7" s="539"/>
      <c r="S7" s="539"/>
      <c r="T7" s="539"/>
      <c r="U7" s="89"/>
      <c r="W7" s="14"/>
      <c r="Y7" s="62"/>
      <c r="Z7" s="62"/>
      <c r="AA7" s="62"/>
      <c r="AB7" s="62"/>
      <c r="AC7" s="62"/>
      <c r="AD7" s="62"/>
      <c r="AE7" s="62"/>
      <c r="AF7" s="62"/>
      <c r="AG7" s="62"/>
      <c r="AH7" s="62"/>
      <c r="AI7" s="62"/>
      <c r="AJ7" s="62"/>
      <c r="AK7" s="62"/>
    </row>
    <row r="8" spans="2:37" ht="12" customHeight="1">
      <c r="B8" s="13"/>
      <c r="D8" s="67"/>
      <c r="I8" s="329" t="str">
        <f>tabel!C2</f>
        <v>2009/10</v>
      </c>
      <c r="J8" s="329" t="str">
        <f>tabel!D2</f>
        <v>2010/11</v>
      </c>
      <c r="K8" s="329" t="str">
        <f>tabel!E2</f>
        <v>2011/12</v>
      </c>
      <c r="L8" s="329" t="str">
        <f>tabel!F2</f>
        <v>2012/13</v>
      </c>
      <c r="M8" s="329" t="str">
        <f>tabel!G2</f>
        <v>2013/14</v>
      </c>
      <c r="Q8" s="329" t="str">
        <f>I8</f>
        <v>2009/10</v>
      </c>
      <c r="R8" s="329" t="str">
        <f>J8</f>
        <v>2010/11</v>
      </c>
      <c r="S8" s="329" t="str">
        <f>K8</f>
        <v>2011/12</v>
      </c>
      <c r="T8" s="329" t="str">
        <f>L8</f>
        <v>2012/13</v>
      </c>
      <c r="U8" s="329" t="str">
        <f>M8</f>
        <v>2013/14</v>
      </c>
      <c r="W8" s="14"/>
      <c r="Y8" s="62"/>
      <c r="Z8" s="62"/>
      <c r="AA8" s="62"/>
      <c r="AB8" s="62"/>
      <c r="AC8" s="62"/>
      <c r="AD8" s="62"/>
      <c r="AE8" s="62"/>
      <c r="AF8" s="62"/>
      <c r="AG8" s="62"/>
      <c r="AH8" s="62"/>
      <c r="AI8" s="62"/>
      <c r="AJ8" s="62"/>
      <c r="AK8" s="62"/>
    </row>
    <row r="9" spans="2:37" ht="12" customHeight="1">
      <c r="B9" s="13"/>
      <c r="W9" s="14"/>
      <c r="Y9" s="62"/>
      <c r="Z9" s="62"/>
      <c r="AA9" s="62"/>
      <c r="AB9" s="62"/>
      <c r="AC9" s="62"/>
      <c r="AD9" s="62"/>
      <c r="AE9" s="62"/>
      <c r="AF9" s="62"/>
      <c r="AG9" s="62"/>
      <c r="AH9" s="62"/>
      <c r="AI9" s="62"/>
      <c r="AJ9" s="62"/>
      <c r="AK9" s="62"/>
    </row>
    <row r="10" spans="2:37" ht="12" customHeight="1">
      <c r="B10" s="13"/>
      <c r="C10" s="1"/>
      <c r="D10" s="84"/>
      <c r="E10" s="1"/>
      <c r="F10" s="1"/>
      <c r="G10" s="1"/>
      <c r="H10" s="1"/>
      <c r="I10" s="1"/>
      <c r="J10" s="1"/>
      <c r="K10" s="1"/>
      <c r="L10" s="1"/>
      <c r="M10" s="1"/>
      <c r="N10" s="1"/>
      <c r="P10" s="1"/>
      <c r="Q10" s="149"/>
      <c r="R10" s="149"/>
      <c r="S10" s="149"/>
      <c r="T10" s="149"/>
      <c r="U10" s="149"/>
      <c r="V10" s="1"/>
      <c r="W10" s="14"/>
      <c r="Y10" s="62"/>
      <c r="Z10" s="62"/>
      <c r="AA10" s="62"/>
      <c r="AB10" s="62"/>
      <c r="AC10" s="62"/>
      <c r="AD10" s="62"/>
      <c r="AE10" s="62"/>
      <c r="AF10" s="62"/>
      <c r="AG10" s="62"/>
      <c r="AH10" s="62"/>
      <c r="AI10" s="62"/>
      <c r="AJ10" s="62"/>
      <c r="AK10" s="62"/>
    </row>
    <row r="11" spans="2:37" ht="12" customHeight="1">
      <c r="B11" s="13"/>
      <c r="C11" s="1"/>
      <c r="D11" s="2" t="s">
        <v>282</v>
      </c>
      <c r="E11" s="1"/>
      <c r="F11" s="1"/>
      <c r="G11" s="1"/>
      <c r="H11" s="1"/>
      <c r="I11" s="1"/>
      <c r="J11" s="1"/>
      <c r="K11" s="1"/>
      <c r="L11" s="1"/>
      <c r="M11" s="1"/>
      <c r="N11" s="1"/>
      <c r="P11" s="1"/>
      <c r="Q11" s="149"/>
      <c r="R11" s="149"/>
      <c r="S11" s="149"/>
      <c r="T11" s="149"/>
      <c r="U11" s="149"/>
      <c r="V11" s="1"/>
      <c r="W11" s="14"/>
      <c r="Y11" s="62"/>
      <c r="Z11" s="62"/>
      <c r="AA11" s="62"/>
      <c r="AB11" s="62"/>
      <c r="AC11" s="62"/>
      <c r="AD11" s="62"/>
      <c r="AE11" s="62"/>
      <c r="AF11" s="62"/>
      <c r="AG11" s="62"/>
      <c r="AH11" s="62"/>
      <c r="AI11" s="62"/>
      <c r="AJ11" s="62"/>
      <c r="AK11" s="62"/>
    </row>
    <row r="12" spans="2:37" ht="12" customHeight="1">
      <c r="B12" s="13"/>
      <c r="C12" s="1"/>
      <c r="D12" s="84"/>
      <c r="E12" s="1"/>
      <c r="F12" s="1"/>
      <c r="G12" s="1"/>
      <c r="H12" s="1"/>
      <c r="I12" s="1"/>
      <c r="J12" s="1"/>
      <c r="K12" s="1"/>
      <c r="L12" s="1"/>
      <c r="M12" s="1"/>
      <c r="N12" s="1"/>
      <c r="P12" s="1"/>
      <c r="Q12" s="149"/>
      <c r="R12" s="149"/>
      <c r="S12" s="149"/>
      <c r="T12" s="149"/>
      <c r="U12" s="149"/>
      <c r="V12" s="1"/>
      <c r="W12" s="14"/>
      <c r="Y12" s="62"/>
      <c r="Z12" s="62"/>
      <c r="AA12" s="62"/>
      <c r="AB12" s="62"/>
      <c r="AC12" s="62"/>
      <c r="AD12" s="62"/>
      <c r="AE12" s="62"/>
      <c r="AF12" s="62"/>
      <c r="AG12" s="62"/>
      <c r="AH12" s="62"/>
      <c r="AI12" s="62"/>
      <c r="AJ12" s="62"/>
      <c r="AK12" s="62"/>
    </row>
    <row r="13" spans="2:37" ht="12" customHeight="1">
      <c r="B13" s="13"/>
      <c r="C13" s="1"/>
      <c r="D13" s="150" t="s">
        <v>712</v>
      </c>
      <c r="E13" s="1"/>
      <c r="F13" s="1"/>
      <c r="G13" s="1"/>
      <c r="H13" s="1"/>
      <c r="I13" s="1"/>
      <c r="J13" s="1"/>
      <c r="K13" s="1"/>
      <c r="L13" s="1"/>
      <c r="M13" s="1"/>
      <c r="N13" s="1"/>
      <c r="P13" s="1"/>
      <c r="Q13" s="149"/>
      <c r="R13" s="149"/>
      <c r="S13" s="149"/>
      <c r="T13" s="149"/>
      <c r="U13" s="149"/>
      <c r="V13" s="1"/>
      <c r="W13" s="14"/>
      <c r="Y13" s="62"/>
      <c r="Z13" s="62"/>
      <c r="AA13" s="62"/>
      <c r="AB13" s="62"/>
      <c r="AC13" s="62"/>
      <c r="AD13" s="62"/>
      <c r="AE13" s="62"/>
      <c r="AF13" s="62"/>
      <c r="AG13" s="62"/>
      <c r="AH13" s="62"/>
      <c r="AI13" s="62"/>
      <c r="AJ13" s="62"/>
      <c r="AK13" s="62"/>
    </row>
    <row r="14" spans="2:37" ht="12" customHeight="1">
      <c r="B14" s="13"/>
      <c r="C14" s="1"/>
      <c r="D14" s="150"/>
      <c r="E14" s="1"/>
      <c r="F14" s="1"/>
      <c r="G14" s="1"/>
      <c r="H14" s="1"/>
      <c r="I14" s="1"/>
      <c r="J14" s="1"/>
      <c r="K14" s="1"/>
      <c r="L14" s="1"/>
      <c r="M14" s="1"/>
      <c r="N14" s="1"/>
      <c r="P14" s="1"/>
      <c r="Q14" s="45"/>
      <c r="R14" s="149"/>
      <c r="S14" s="149"/>
      <c r="T14" s="149"/>
      <c r="U14" s="149"/>
      <c r="V14" s="1"/>
      <c r="W14" s="14"/>
      <c r="Y14" s="62"/>
      <c r="Z14" s="62"/>
      <c r="AA14" s="62"/>
      <c r="AB14" s="62"/>
      <c r="AC14" s="62"/>
      <c r="AD14" s="62"/>
      <c r="AE14" s="62"/>
      <c r="AF14" s="62"/>
      <c r="AG14" s="62"/>
      <c r="AH14" s="62"/>
      <c r="AI14" s="62"/>
      <c r="AJ14" s="62"/>
      <c r="AK14" s="62"/>
    </row>
    <row r="15" spans="2:37" ht="12" customHeight="1">
      <c r="B15" s="13"/>
      <c r="C15" s="1"/>
      <c r="D15" s="334" t="s">
        <v>583</v>
      </c>
      <c r="E15" s="335" t="str">
        <f>+geg!D35</f>
        <v>SO</v>
      </c>
      <c r="F15" s="335" t="str">
        <f>+geg!E35</f>
        <v>ZMLK</v>
      </c>
      <c r="G15" s="1"/>
      <c r="H15" s="1"/>
      <c r="I15" s="1"/>
      <c r="J15" s="1"/>
      <c r="K15" s="1"/>
      <c r="L15" s="1"/>
      <c r="M15" s="1"/>
      <c r="N15" s="1"/>
      <c r="P15" s="1"/>
      <c r="Q15" s="149"/>
      <c r="R15" s="149"/>
      <c r="S15" s="149"/>
      <c r="T15" s="149"/>
      <c r="U15" s="149"/>
      <c r="V15" s="1"/>
      <c r="W15" s="14"/>
      <c r="Y15" s="62"/>
      <c r="Z15" s="62"/>
      <c r="AA15" s="62"/>
      <c r="AB15" s="62"/>
      <c r="AC15" s="62"/>
      <c r="AD15" s="62"/>
      <c r="AE15" s="62"/>
      <c r="AF15" s="62"/>
      <c r="AG15" s="62"/>
      <c r="AH15" s="62"/>
      <c r="AI15" s="62"/>
      <c r="AJ15" s="62"/>
      <c r="AK15" s="62"/>
    </row>
    <row r="16" spans="2:37" ht="12" customHeight="1">
      <c r="B16" s="13"/>
      <c r="C16" s="151"/>
      <c r="D16" s="91" t="s">
        <v>618</v>
      </c>
      <c r="E16" s="1"/>
      <c r="F16" s="1"/>
      <c r="G16" s="91"/>
      <c r="H16" s="84"/>
      <c r="I16" s="34">
        <f>ROUND(+Q16*geg!$I$26,2)</f>
        <v>346494.07</v>
      </c>
      <c r="J16" s="34">
        <f>ROUND(+R16*geg!$L$26,2)</f>
        <v>346494.07</v>
      </c>
      <c r="K16" s="34">
        <f>ROUND(+S16*geg!$L$26,2)</f>
        <v>346494.07</v>
      </c>
      <c r="L16" s="34">
        <f>ROUND(+T16*geg!$L$26,2)</f>
        <v>346494.07</v>
      </c>
      <c r="M16" s="34">
        <f>ROUND(+U16*geg!$L$26,2)</f>
        <v>346494.07</v>
      </c>
      <c r="N16" s="1"/>
      <c r="P16" s="151"/>
      <c r="Q16" s="33">
        <f>ROUND(IF($E15=0,0,IF((geg!J160-geg!I160)&gt;geg!$I$16/2,(geg!J36+geg!J41),(geg!I36+geg!I41))*((VLOOKUP(geg!$E$35,FPE,2,FALSE)+VLOOKUP(geg!$E$35,FPE,5,FALSE)*tabel!$E$206))),2)</f>
        <v>5.63</v>
      </c>
      <c r="R16" s="33">
        <f>ROUND(IF($E15=0,0,IF((geg!M160-geg!L160)&gt;geg!$I$16/2,(geg!M36+geg!M41),(geg!L36+geg!L41))*((VLOOKUP(geg!$E$35,FPE,2,FALSE)+VLOOKUP(geg!$E$35,FPE,5,FALSE)*tabel!$E$206))),2)</f>
        <v>5.63</v>
      </c>
      <c r="S16" s="33">
        <f>ROUND(IF($E15=0,0,IF((geg!P160-geg!O160)&gt;geg!$I$16/2,(geg!P36+geg!P41),(geg!O36+geg!O41))*((VLOOKUP(geg!$E$35,FPE,2,FALSE)+VLOOKUP(geg!$E$35,FPE,5,FALSE)*tabel!$E$206))),2)</f>
        <v>5.63</v>
      </c>
      <c r="T16" s="33">
        <f>ROUND(IF($E15=0,0,IF((geg!S160-geg!R160)&gt;geg!$I$16/2,(geg!S36+geg!S41),(geg!R36+geg!R41))*((VLOOKUP(geg!$E$35,FPE,2,FALSE)+VLOOKUP(geg!$E$35,FPE,5,FALSE)*tabel!$E$206))),2)</f>
        <v>5.63</v>
      </c>
      <c r="U16" s="33">
        <f>ROUND(IF($E15=0,0,IF((geg!V160-geg!U160)&gt;geg!$I$16/2,(geg!V36+geg!V41),(geg!U36+geg!U41))*((VLOOKUP(geg!$E$35,FPE,2,FALSE)+VLOOKUP(geg!$E$35,FPE,5,FALSE)*tabel!$E$206))),2)</f>
        <v>5.63</v>
      </c>
      <c r="V16" s="1"/>
      <c r="W16" s="14"/>
      <c r="Y16" s="62"/>
      <c r="Z16" s="62"/>
      <c r="AA16" s="62"/>
      <c r="AB16" s="62"/>
      <c r="AC16" s="62"/>
      <c r="AD16" s="62"/>
      <c r="AE16" s="62"/>
      <c r="AF16" s="62"/>
      <c r="AG16" s="62"/>
      <c r="AH16" s="62"/>
      <c r="AI16" s="62"/>
      <c r="AJ16" s="62"/>
      <c r="AK16" s="62"/>
    </row>
    <row r="17" spans="2:37" ht="12" customHeight="1">
      <c r="B17" s="13"/>
      <c r="C17" s="151"/>
      <c r="D17" s="91" t="s">
        <v>619</v>
      </c>
      <c r="E17" s="1"/>
      <c r="F17" s="1"/>
      <c r="G17" s="91"/>
      <c r="H17" s="84"/>
      <c r="I17" s="34">
        <f>ROUND(+Q17*geg!$I$26,2)</f>
        <v>444964.86</v>
      </c>
      <c r="J17" s="34">
        <f>ROUND(+R17*geg!$L$26,2)</f>
        <v>444964.86</v>
      </c>
      <c r="K17" s="34">
        <f>ROUND(+S17*geg!$L$26,2)</f>
        <v>444964.86</v>
      </c>
      <c r="L17" s="34">
        <f>ROUND(+T17*geg!$L$26,2)</f>
        <v>444964.86</v>
      </c>
      <c r="M17" s="34">
        <f>ROUND(+U17*geg!$L$26,2)</f>
        <v>444964.86</v>
      </c>
      <c r="N17" s="1"/>
      <c r="P17" s="151"/>
      <c r="Q17" s="33">
        <f>ROUND(IF($E15=0,0,IF((geg!J160-geg!I160)&gt;geg!$I$16/2,(geg!J37+geg!J40-geg!J41),(geg!I37+geg!I40-geg!I41))*(VLOOKUP($F15,FPE,IF($E15="SO",3,4),FALSE)+VLOOKUP($F15,FPE,IF($E15="SO",6,7),FALSE)*tabel!$E$206)),2)</f>
        <v>7.23</v>
      </c>
      <c r="R17" s="33">
        <f>ROUND(IF($E15=0,0,IF((geg!M160-geg!L160)&gt;geg!$I$16/2,(geg!M37+geg!M40-geg!M41),(geg!L37+geg!L40-geg!L41))*(VLOOKUP($F15,FPE,IF($E15="SO",3,4),FALSE)+VLOOKUP($F15,FPE,IF($E15="SO",6,7),FALSE)*tabel!$E$206)),2)</f>
        <v>7.23</v>
      </c>
      <c r="S17" s="33">
        <f>ROUND(IF($E15=0,0,IF((geg!P160-geg!O160)&gt;geg!$I$16/2,(geg!P37+geg!P40-geg!P41),(geg!O37+geg!O40-geg!O41))*(VLOOKUP($F15,FPE,IF($E15="SO",3,4),FALSE)+VLOOKUP($F15,FPE,IF($E15="SO",6,7),FALSE)*tabel!$E$206)),2)</f>
        <v>7.23</v>
      </c>
      <c r="T17" s="33">
        <f>ROUND(IF($E15=0,0,IF((geg!S160-geg!R160)&gt;geg!$I$16/2,(geg!S37+geg!S40-geg!S41),(geg!R37+geg!R40-geg!R41))*(VLOOKUP($F15,FPE,IF($E15="SO",3,4),FALSE)+VLOOKUP($F15,FPE,IF($E15="SO",6,7),FALSE)*tabel!$E$206)),2)</f>
        <v>7.23</v>
      </c>
      <c r="U17" s="33">
        <f>ROUND(IF($E15=0,0,IF((geg!V160-geg!U160)&gt;geg!$I$16/2,(geg!V37+geg!V40-geg!V41),(geg!U37+geg!U40-geg!U41))*(VLOOKUP($F15,FPE,IF($E15="SO",3,4),FALSE)+VLOOKUP($F15,FPE,IF($E15="SO",6,7),FALSE)*tabel!$E$206)),2)</f>
        <v>7.23</v>
      </c>
      <c r="V17" s="1"/>
      <c r="W17" s="14"/>
      <c r="Y17" s="62"/>
      <c r="Z17" s="62"/>
      <c r="AA17" s="62"/>
      <c r="AB17" s="62"/>
      <c r="AC17" s="62"/>
      <c r="AD17" s="62"/>
      <c r="AE17" s="62"/>
      <c r="AF17" s="62"/>
      <c r="AG17" s="62"/>
      <c r="AH17" s="62"/>
      <c r="AI17" s="62"/>
      <c r="AJ17" s="62"/>
      <c r="AK17" s="62"/>
    </row>
    <row r="18" spans="2:37" ht="12" customHeight="1">
      <c r="B18" s="13"/>
      <c r="C18" s="151"/>
      <c r="D18" s="94" t="s">
        <v>643</v>
      </c>
      <c r="E18" s="87"/>
      <c r="F18" s="92" t="s">
        <v>642</v>
      </c>
      <c r="G18" s="92"/>
      <c r="H18" s="87"/>
      <c r="I18" s="34">
        <f>ROUND(+Q18*geg!$I$26,2)</f>
        <v>0</v>
      </c>
      <c r="J18" s="34">
        <f>ROUND(+R18*geg!$L$26,2)</f>
        <v>0</v>
      </c>
      <c r="K18" s="34">
        <f>ROUND(+S18*geg!$L$26,2)</f>
        <v>0</v>
      </c>
      <c r="L18" s="34">
        <f>ROUND(+T18*geg!$L$26,2)</f>
        <v>0</v>
      </c>
      <c r="M18" s="34">
        <f>ROUND(+U18*geg!$L$26,2)</f>
        <v>0</v>
      </c>
      <c r="N18" s="1"/>
      <c r="P18" s="151"/>
      <c r="Q18" s="33">
        <f>ROUND(IF($E15=0,0,(geg!I43*(VLOOKUP(geg!$E$35,TABFPE,2,FALSE)))),2)</f>
        <v>0</v>
      </c>
      <c r="R18" s="33">
        <f>ROUND(IF($E15=0,0,(geg!L43*(VLOOKUP(geg!$E$35,TABFPE,2,FALSE)))),2)</f>
        <v>0</v>
      </c>
      <c r="S18" s="33">
        <f>ROUND(IF($E15=0,0,(geg!O43*(VLOOKUP(geg!$E$35,TABFPE,2,FALSE)))),2)</f>
        <v>0</v>
      </c>
      <c r="T18" s="33">
        <f>ROUND(IF($E15=0,0,(geg!R43*(VLOOKUP(geg!$E$35,TABFPE,2,FALSE)))),2)</f>
        <v>0</v>
      </c>
      <c r="U18" s="33">
        <f>ROUND(IF($E15=0,0,(geg!U43*(VLOOKUP(geg!$E$35,TABFPE,2,FALSE)))),2)</f>
        <v>0</v>
      </c>
      <c r="V18" s="1"/>
      <c r="W18" s="14"/>
      <c r="Y18" s="62"/>
      <c r="Z18" s="62"/>
      <c r="AA18" s="62"/>
      <c r="AB18" s="62"/>
      <c r="AC18" s="62"/>
      <c r="AD18" s="62"/>
      <c r="AE18" s="62"/>
      <c r="AF18" s="62"/>
      <c r="AG18" s="62"/>
      <c r="AH18" s="62"/>
      <c r="AI18" s="62"/>
      <c r="AJ18" s="62"/>
      <c r="AK18" s="62"/>
    </row>
    <row r="19" spans="2:37" ht="12" customHeight="1">
      <c r="B19" s="13"/>
      <c r="C19" s="151"/>
      <c r="D19" s="1"/>
      <c r="E19" s="1"/>
      <c r="F19" s="92" t="s">
        <v>644</v>
      </c>
      <c r="G19" s="92"/>
      <c r="H19" s="87"/>
      <c r="I19" s="34">
        <f>ROUND(+Q19*geg!$I$26,2)</f>
        <v>0</v>
      </c>
      <c r="J19" s="34">
        <f>ROUND(+R19*geg!$L$26,2)</f>
        <v>0</v>
      </c>
      <c r="K19" s="34">
        <f>ROUND(+S19*geg!$L$26,2)</f>
        <v>0</v>
      </c>
      <c r="L19" s="34">
        <f>ROUND(+T19*geg!$L$26,2)</f>
        <v>0</v>
      </c>
      <c r="M19" s="34">
        <f>ROUND(+U19*geg!$L$26,2)</f>
        <v>0</v>
      </c>
      <c r="N19" s="1"/>
      <c r="P19" s="151"/>
      <c r="Q19" s="33">
        <f>ROUND(IF($E15=0,0,(geg!I44*(VLOOKUP(geg!$E$35,TABFPE,3,FALSE)))),2)</f>
        <v>0</v>
      </c>
      <c r="R19" s="33">
        <f>ROUND(IF($E15=0,0,(geg!L44*(VLOOKUP(geg!$E$35,TABFPE,3,FALSE)))),2)</f>
        <v>0</v>
      </c>
      <c r="S19" s="33">
        <f>ROUND(IF($E15=0,0,(geg!O44*(VLOOKUP(geg!$E$35,TABFPE,3,FALSE)))),2)</f>
        <v>0</v>
      </c>
      <c r="T19" s="33">
        <f>ROUND(IF($E15=0,0,(geg!R44*(VLOOKUP(geg!$E$35,TABFPE,3,FALSE)))),2)</f>
        <v>0</v>
      </c>
      <c r="U19" s="33">
        <f>ROUND(IF($E15=0,0,(geg!U44*(VLOOKUP(geg!$E$35,TABFPE,3,FALSE)))),2)</f>
        <v>0</v>
      </c>
      <c r="V19" s="1"/>
      <c r="W19" s="14"/>
      <c r="Y19" s="62"/>
      <c r="Z19" s="62"/>
      <c r="AA19" s="62"/>
      <c r="AB19" s="62"/>
      <c r="AC19" s="62"/>
      <c r="AD19" s="62"/>
      <c r="AE19" s="62"/>
      <c r="AF19" s="62"/>
      <c r="AG19" s="62"/>
      <c r="AH19" s="62"/>
      <c r="AI19" s="62"/>
      <c r="AJ19" s="62"/>
      <c r="AK19" s="62"/>
    </row>
    <row r="20" spans="2:37" ht="12" customHeight="1">
      <c r="B20" s="13"/>
      <c r="C20" s="151"/>
      <c r="D20" s="1"/>
      <c r="E20" s="1"/>
      <c r="F20" s="92" t="s">
        <v>512</v>
      </c>
      <c r="G20" s="92"/>
      <c r="H20" s="87"/>
      <c r="I20" s="34">
        <f>ROUND(+Q20*geg!$I$26,2)</f>
        <v>6154.42</v>
      </c>
      <c r="J20" s="34">
        <f>ROUND(+R20*geg!$L$26,2)</f>
        <v>6154.42</v>
      </c>
      <c r="K20" s="34">
        <f>ROUND(+S20*geg!$L$26,2)</f>
        <v>6154.42</v>
      </c>
      <c r="L20" s="34">
        <f>ROUND(+T20*geg!$L$26,2)</f>
        <v>6154.42</v>
      </c>
      <c r="M20" s="34">
        <f>ROUND(+U20*geg!$L$26,2)</f>
        <v>6154.42</v>
      </c>
      <c r="N20" s="1"/>
      <c r="P20" s="151"/>
      <c r="Q20" s="33">
        <f>ROUND(IF($E15=0,0,IF((geg!J160-geg!I160)&gt;geg!$I$16/2,geg!J45,geg!I45)*(VLOOKUP($F15,PABFPE,IF($E15="SO",2,3),FALSE))),2)</f>
        <v>0.1</v>
      </c>
      <c r="R20" s="33">
        <f>ROUND(IF($E15=0,0,IF((geg!M160-geg!L160)&gt;geg!$I$16/2,geg!M45,geg!L45)*(VLOOKUP($F15,PABFPE,IF($E15="SO",2,3),FALSE))),2)</f>
        <v>0.1</v>
      </c>
      <c r="S20" s="33">
        <f>ROUND(IF($E15=0,0,IF((geg!P160-geg!O160)&gt;geg!$I$16/2,geg!P45,geg!O45)*(VLOOKUP($F15,PABFPE,IF($E15="SO",2,3),FALSE))),2)</f>
        <v>0.1</v>
      </c>
      <c r="T20" s="33">
        <f>ROUND(IF($E15=0,0,IF((geg!S160-geg!R160)&gt;geg!$I$16/2,geg!S45,geg!R45)*(VLOOKUP($F15,PABFPE,IF($E15="SO",2,3),FALSE))),2)</f>
        <v>0.1</v>
      </c>
      <c r="U20" s="33">
        <f>ROUND(IF($E15=0,0,IF((geg!V160-geg!U160)&gt;geg!$I$16/2,geg!V45,geg!U45)*(VLOOKUP($F15,PABFPE,IF($E15="SO",2,3),FALSE))),2)</f>
        <v>0.1</v>
      </c>
      <c r="V20" s="1"/>
      <c r="W20" s="14"/>
      <c r="Y20" s="62"/>
      <c r="Z20" s="62"/>
      <c r="AA20" s="62"/>
      <c r="AB20" s="62"/>
      <c r="AC20" s="62"/>
      <c r="AD20" s="62"/>
      <c r="AE20" s="62"/>
      <c r="AF20" s="62"/>
      <c r="AG20" s="62"/>
      <c r="AH20" s="62"/>
      <c r="AI20" s="62"/>
      <c r="AJ20" s="62"/>
      <c r="AK20" s="62"/>
    </row>
    <row r="21" spans="2:37" ht="12" customHeight="1">
      <c r="B21" s="13"/>
      <c r="C21" s="1"/>
      <c r="D21" s="151"/>
      <c r="E21" s="1"/>
      <c r="F21" s="1"/>
      <c r="G21" s="1"/>
      <c r="H21" s="1"/>
      <c r="I21" s="158"/>
      <c r="J21" s="158"/>
      <c r="K21" s="158"/>
      <c r="L21" s="158"/>
      <c r="M21" s="158"/>
      <c r="N21" s="1"/>
      <c r="P21" s="1"/>
      <c r="Q21" s="182"/>
      <c r="R21" s="182"/>
      <c r="S21" s="182"/>
      <c r="T21" s="183"/>
      <c r="U21" s="183"/>
      <c r="V21" s="1"/>
      <c r="W21" s="14"/>
      <c r="Y21" s="62"/>
      <c r="Z21" s="62"/>
      <c r="AA21" s="62"/>
      <c r="AB21" s="62"/>
      <c r="AC21" s="62"/>
      <c r="AD21" s="62"/>
      <c r="AE21" s="62"/>
      <c r="AF21" s="62"/>
      <c r="AG21" s="62"/>
      <c r="AH21" s="62"/>
      <c r="AI21" s="62"/>
      <c r="AJ21" s="62"/>
      <c r="AK21" s="62"/>
    </row>
    <row r="22" spans="2:38" ht="12" customHeight="1">
      <c r="B22" s="13"/>
      <c r="C22" s="1"/>
      <c r="D22" s="334" t="s">
        <v>584</v>
      </c>
      <c r="E22" s="335" t="str">
        <f>+geg!D48</f>
        <v>SO</v>
      </c>
      <c r="F22" s="335" t="str">
        <f>+geg!E48</f>
        <v>MG (LG-ZMLK)</v>
      </c>
      <c r="G22" s="1"/>
      <c r="H22" s="1"/>
      <c r="I22" s="170"/>
      <c r="J22" s="170"/>
      <c r="K22" s="170"/>
      <c r="L22" s="170"/>
      <c r="M22" s="170"/>
      <c r="N22" s="3"/>
      <c r="P22" s="1"/>
      <c r="Q22" s="182"/>
      <c r="R22" s="182"/>
      <c r="S22" s="182"/>
      <c r="T22" s="183"/>
      <c r="U22" s="183"/>
      <c r="V22" s="1"/>
      <c r="W22" s="14"/>
      <c r="Y22" s="62"/>
      <c r="Z22" s="62"/>
      <c r="AA22" s="62"/>
      <c r="AB22" s="62"/>
      <c r="AC22" s="62"/>
      <c r="AD22" s="62"/>
      <c r="AE22" s="62"/>
      <c r="AF22" s="62"/>
      <c r="AG22" s="62"/>
      <c r="AH22" s="62"/>
      <c r="AI22" s="62"/>
      <c r="AJ22" s="62"/>
      <c r="AK22" s="62"/>
      <c r="AL22" s="36"/>
    </row>
    <row r="23" spans="2:37" ht="12" customHeight="1">
      <c r="B23" s="13"/>
      <c r="C23" s="151"/>
      <c r="D23" s="91" t="s">
        <v>618</v>
      </c>
      <c r="E23" s="1"/>
      <c r="F23" s="1"/>
      <c r="G23" s="91"/>
      <c r="H23" s="1"/>
      <c r="I23" s="34">
        <f>ROUND(+Q23*geg!$I$26,2)</f>
        <v>0</v>
      </c>
      <c r="J23" s="34">
        <f>ROUND(+R23*geg!$L$26,2)</f>
        <v>0</v>
      </c>
      <c r="K23" s="34">
        <f>ROUND(+S23*geg!$L$26,2)</f>
        <v>0</v>
      </c>
      <c r="L23" s="34">
        <f>ROUND(+T23*geg!$L$26,2)</f>
        <v>0</v>
      </c>
      <c r="M23" s="34">
        <f>ROUND(+U23*geg!$L$26,2)</f>
        <v>0</v>
      </c>
      <c r="N23" s="1"/>
      <c r="P23" s="151"/>
      <c r="Q23" s="33">
        <f>ROUND(IF($E22=0,0,IF((geg!J155-geg!I155)&gt;geg!$I$16/2,(geg!J49+geg!J54),(geg!I49+geg!I54))*((VLOOKUP($F22,FPE,2,FALSE)+VLOOKUP($F22,FPE,5,FALSE)*tabel!$E$206))),2)</f>
        <v>0</v>
      </c>
      <c r="R23" s="33">
        <f>ROUND(IF($E22=0,0,IF((geg!M155-geg!L155)&gt;geg!$I$16/2,(geg!M49+geg!M54),(geg!L49+geg!L54))*((VLOOKUP($F22,FPE,2,FALSE)+VLOOKUP($F22,FPE,5,FALSE)*tabel!$E$206))),2)</f>
        <v>0</v>
      </c>
      <c r="S23" s="33">
        <f>ROUND(IF($E22=0,0,IF((geg!P155-geg!O155)&gt;geg!$I$16/2,(geg!P49+geg!P54),(geg!O49+geg!O54))*((VLOOKUP($F22,FPE,2,FALSE)+VLOOKUP($F22,FPE,5,FALSE)*tabel!$E$206))),2)</f>
        <v>0</v>
      </c>
      <c r="T23" s="33">
        <f>ROUND(IF($E22=0,0,IF((geg!S155-geg!R155)&gt;geg!$I$16/2,(geg!S49+geg!S54),(geg!R49+geg!R54))*((VLOOKUP($F22,FPE,2,FALSE)+VLOOKUP($F22,FPE,5,FALSE)*tabel!$E$206))),2)</f>
        <v>0</v>
      </c>
      <c r="U23" s="33">
        <f>ROUND(IF($E22=0,0,IF((geg!V155-geg!U155)&gt;geg!$I$16/2,(geg!V49+geg!V54),(geg!U49+geg!U54))*((VLOOKUP($F22,FPE,2,FALSE)+VLOOKUP($F22,FPE,5,FALSE)*tabel!$E$206))),2)</f>
        <v>0</v>
      </c>
      <c r="V23" s="1"/>
      <c r="W23" s="14"/>
      <c r="Y23" s="62"/>
      <c r="Z23" s="62"/>
      <c r="AA23" s="62"/>
      <c r="AB23" s="62"/>
      <c r="AC23" s="62"/>
      <c r="AD23" s="62"/>
      <c r="AE23" s="62"/>
      <c r="AF23" s="62"/>
      <c r="AG23" s="62"/>
      <c r="AH23" s="62"/>
      <c r="AI23" s="62"/>
      <c r="AJ23" s="62"/>
      <c r="AK23" s="62"/>
    </row>
    <row r="24" spans="2:37" ht="12" customHeight="1">
      <c r="B24" s="13"/>
      <c r="C24" s="151"/>
      <c r="D24" s="91" t="s">
        <v>619</v>
      </c>
      <c r="E24" s="1"/>
      <c r="F24" s="1"/>
      <c r="G24" s="91"/>
      <c r="H24" s="1"/>
      <c r="I24" s="34">
        <f>ROUND(+Q24*geg!$I$26,2)</f>
        <v>196326.13</v>
      </c>
      <c r="J24" s="34">
        <f>ROUND(+R24*geg!$L$26,2)</f>
        <v>196326.13</v>
      </c>
      <c r="K24" s="34">
        <f>ROUND(+S24*geg!$L$26,2)</f>
        <v>196326.13</v>
      </c>
      <c r="L24" s="34">
        <f>ROUND(+T24*geg!$L$26,2)</f>
        <v>196326.13</v>
      </c>
      <c r="M24" s="34">
        <f>ROUND(+U24*geg!$L$26,2)</f>
        <v>196326.13</v>
      </c>
      <c r="N24" s="1"/>
      <c r="P24" s="151"/>
      <c r="Q24" s="33">
        <f>ROUND(IF($E22=0,0,IF((geg!J155-geg!I155)&gt;geg!$I$16/2,(geg!J50+geg!J53-geg!J54),(geg!I50+geg!I53-geg!I54))*(VLOOKUP($F22,FPE,IF($E22="SO",3,4),FALSE)+VLOOKUP($F22,FPE,IF($E22="SO",6,7),FALSE)*tabel!$E$206)),2)</f>
        <v>3.19</v>
      </c>
      <c r="R24" s="33">
        <f>ROUND(IF($E22=0,0,IF((geg!M155-geg!L155)&gt;geg!$I$16/2,(geg!M50+geg!M53-geg!M54),(geg!L50+geg!L53-geg!L54))*(VLOOKUP($F22,FPE,IF($E22="SO",3,4),FALSE)+VLOOKUP($F22,FPE,IF($E22="SO",6,7),FALSE)*tabel!$E$206)),2)</f>
        <v>3.19</v>
      </c>
      <c r="S24" s="33">
        <f>ROUND(IF($E22=0,0,IF((geg!P155-geg!O155)&gt;geg!$I$16/2,(geg!P50+geg!P53-geg!P54),(geg!O50+geg!O53-geg!O54))*(VLOOKUP($F22,FPE,IF($E22="SO",3,4),FALSE)+VLOOKUP($F22,FPE,IF($E22="SO",6,7),FALSE)*tabel!$E$206)),2)</f>
        <v>3.19</v>
      </c>
      <c r="T24" s="33">
        <f>ROUND(IF($E22=0,0,IF((geg!S155-geg!R155)&gt;geg!$I$16/2,(geg!S50+geg!S53-geg!S54),(geg!R50+geg!R53-geg!R54))*(VLOOKUP($F22,FPE,IF($E22="SO",3,4),FALSE)+VLOOKUP($F22,FPE,IF($E22="SO",6,7),FALSE)*tabel!$E$206)),2)</f>
        <v>3.19</v>
      </c>
      <c r="U24" s="33">
        <f>ROUND(IF($E22=0,0,IF((geg!V155-geg!U155)&gt;geg!$I$16/2,(geg!V50+geg!V53-geg!V54),(geg!U50+geg!U53-geg!U54))*(VLOOKUP($F22,FPE,IF($E22="SO",3,4),FALSE)+VLOOKUP($F22,FPE,IF($E22="SO",6,7),FALSE)*tabel!$E$206)),2)</f>
        <v>3.19</v>
      </c>
      <c r="V24" s="1"/>
      <c r="W24" s="14"/>
      <c r="Y24" s="62"/>
      <c r="Z24" s="62"/>
      <c r="AA24" s="62"/>
      <c r="AB24" s="62"/>
      <c r="AC24" s="62"/>
      <c r="AD24" s="62"/>
      <c r="AE24" s="62"/>
      <c r="AF24" s="62"/>
      <c r="AG24" s="62"/>
      <c r="AH24" s="62"/>
      <c r="AI24" s="62"/>
      <c r="AJ24" s="62"/>
      <c r="AK24" s="62"/>
    </row>
    <row r="25" spans="2:37" ht="12" customHeight="1">
      <c r="B25" s="13"/>
      <c r="C25" s="151"/>
      <c r="D25" s="94" t="s">
        <v>643</v>
      </c>
      <c r="E25" s="87"/>
      <c r="F25" s="92" t="s">
        <v>642</v>
      </c>
      <c r="G25" s="92"/>
      <c r="H25" s="1"/>
      <c r="I25" s="34">
        <f>ROUND(+Q25*geg!$I$26,2)</f>
        <v>0</v>
      </c>
      <c r="J25" s="34">
        <f>ROUND(+R25*geg!$L$26,2)</f>
        <v>0</v>
      </c>
      <c r="K25" s="34">
        <f>ROUND(+S25*geg!$L$26,2)</f>
        <v>0</v>
      </c>
      <c r="L25" s="34">
        <f>ROUND(+T25*geg!$L$26,2)</f>
        <v>0</v>
      </c>
      <c r="M25" s="34">
        <f>ROUND(+U25*geg!$L$26,2)</f>
        <v>0</v>
      </c>
      <c r="N25" s="1"/>
      <c r="P25" s="151"/>
      <c r="Q25" s="33">
        <f>ROUND(IF($E22=0,0,(geg!I56*(VLOOKUP($F22,TABFPE,2,FALSE)))),2)</f>
        <v>0</v>
      </c>
      <c r="R25" s="33">
        <f>ROUND(IF($E22=0,0,(geg!L56*(VLOOKUP($F22,TABFPE,2,FALSE)))),2)</f>
        <v>0</v>
      </c>
      <c r="S25" s="33">
        <f>ROUND(IF($E22=0,0,(geg!O56*(VLOOKUP($F22,TABFPE,2,FALSE)))),2)</f>
        <v>0</v>
      </c>
      <c r="T25" s="33">
        <f>ROUND(IF($E22=0,0,(geg!R56*(VLOOKUP($F22,TABFPE,2,FALSE)))),2)</f>
        <v>0</v>
      </c>
      <c r="U25" s="33">
        <f>ROUND(IF($E22=0,0,(geg!U56*(VLOOKUP($F22,TABFPE,2,FALSE)))),2)</f>
        <v>0</v>
      </c>
      <c r="V25" s="1"/>
      <c r="W25" s="14"/>
      <c r="Y25" s="62"/>
      <c r="Z25" s="62"/>
      <c r="AA25" s="62"/>
      <c r="AB25" s="62"/>
      <c r="AC25" s="62"/>
      <c r="AD25" s="62"/>
      <c r="AE25" s="62"/>
      <c r="AF25" s="62"/>
      <c r="AG25" s="62"/>
      <c r="AH25" s="62"/>
      <c r="AI25" s="62"/>
      <c r="AJ25" s="62"/>
      <c r="AK25" s="62"/>
    </row>
    <row r="26" spans="2:37" ht="12" customHeight="1">
      <c r="B26" s="13"/>
      <c r="C26" s="151"/>
      <c r="D26" s="1"/>
      <c r="E26" s="1"/>
      <c r="F26" s="92" t="s">
        <v>644</v>
      </c>
      <c r="G26" s="92"/>
      <c r="H26" s="1"/>
      <c r="I26" s="34">
        <f>ROUND(+Q26*geg!$I$26,2)</f>
        <v>0</v>
      </c>
      <c r="J26" s="34">
        <f>ROUND(+R26*geg!$L$26,2)</f>
        <v>0</v>
      </c>
      <c r="K26" s="34">
        <f>ROUND(+S26*geg!$L$26,2)</f>
        <v>0</v>
      </c>
      <c r="L26" s="34">
        <f>ROUND(+T26*geg!$L$26,2)</f>
        <v>0</v>
      </c>
      <c r="M26" s="34">
        <f>ROUND(+U26*geg!$L$26,2)</f>
        <v>0</v>
      </c>
      <c r="N26" s="1"/>
      <c r="P26" s="151"/>
      <c r="Q26" s="33">
        <f>ROUND(IF($E22=0,0,(geg!I57*(VLOOKUP($F22,TABFPE,3,FALSE)))),2)</f>
        <v>0</v>
      </c>
      <c r="R26" s="33">
        <f>ROUND(IF($E22=0,0,(geg!L57*(VLOOKUP($F22,TABFPE,3,FALSE)))),2)</f>
        <v>0</v>
      </c>
      <c r="S26" s="33">
        <f>ROUND(IF($E22=0,0,(geg!O57*(VLOOKUP($F22,TABFPE,3,FALSE)))),2)</f>
        <v>0</v>
      </c>
      <c r="T26" s="33">
        <f>ROUND(IF($E22=0,0,(geg!R57*(VLOOKUP($F22,TABFPE,3,FALSE)))),2)</f>
        <v>0</v>
      </c>
      <c r="U26" s="33">
        <f>ROUND(IF($E22=0,0,(geg!U57*(VLOOKUP($F22,TABFPE,3,FALSE)))),2)</f>
        <v>0</v>
      </c>
      <c r="V26" s="1"/>
      <c r="W26" s="14"/>
      <c r="Y26" s="62"/>
      <c r="Z26" s="62"/>
      <c r="AA26" s="62"/>
      <c r="AB26" s="62"/>
      <c r="AC26" s="62"/>
      <c r="AD26" s="62"/>
      <c r="AE26" s="62"/>
      <c r="AF26" s="62"/>
      <c r="AG26" s="62"/>
      <c r="AH26" s="62"/>
      <c r="AI26" s="62"/>
      <c r="AJ26" s="62"/>
      <c r="AK26" s="62"/>
    </row>
    <row r="27" spans="2:37" ht="12" customHeight="1">
      <c r="B27" s="13"/>
      <c r="C27" s="151"/>
      <c r="D27" s="1"/>
      <c r="E27" s="1"/>
      <c r="F27" s="92" t="s">
        <v>512</v>
      </c>
      <c r="G27" s="92"/>
      <c r="H27" s="1"/>
      <c r="I27" s="34">
        <f>ROUND(+Q27*geg!$I$26,2)</f>
        <v>0</v>
      </c>
      <c r="J27" s="34">
        <f>ROUND(+R27*geg!$L$26,2)</f>
        <v>0</v>
      </c>
      <c r="K27" s="34">
        <f>ROUND(+S27*geg!$L$26,2)</f>
        <v>0</v>
      </c>
      <c r="L27" s="34">
        <f>ROUND(+T27*geg!$L$26,2)</f>
        <v>0</v>
      </c>
      <c r="M27" s="34">
        <f>ROUND(+U27*geg!$L$26,2)</f>
        <v>0</v>
      </c>
      <c r="N27" s="1"/>
      <c r="P27" s="151"/>
      <c r="Q27" s="33">
        <f>ROUND(IF($E22=0,0,IF((geg!J160-geg!I160)&gt;geg!$I$16/2,geg!J58,geg!I58)*(VLOOKUP($F22,PABFPE,IF($E22="SO",2,3),FALSE))),2)</f>
        <v>0</v>
      </c>
      <c r="R27" s="33">
        <f>ROUND(IF($E22=0,0,IF((geg!M160-geg!L160)&gt;geg!$I$16/2,geg!M58,geg!L58)*(VLOOKUP($F22,PABFPE,IF($E22="SO",2,3),FALSE))),2)</f>
        <v>0</v>
      </c>
      <c r="S27" s="33">
        <f>ROUND(IF($E22=0,0,IF((geg!P160-geg!O160)&gt;geg!$I$16/2,geg!P58,geg!O58)*(VLOOKUP($F22,PABFPE,IF($E22="SO",2,3),FALSE))),2)</f>
        <v>0</v>
      </c>
      <c r="T27" s="33">
        <f>ROUND(IF($E22=0,0,IF((geg!S160-geg!R160)&gt;geg!$I$16/2,geg!S58,geg!R58)*(VLOOKUP($F22,PABFPE,IF($E22="SO",2,3),FALSE))),2)</f>
        <v>0</v>
      </c>
      <c r="U27" s="33">
        <f>ROUND(IF($E22=0,0,IF((geg!V160-geg!U160)&gt;geg!$I$16/2,geg!V58,geg!U58)*(VLOOKUP($F22,PABFPE,IF($E22="SO",2,3),FALSE))),2)</f>
        <v>0</v>
      </c>
      <c r="V27" s="1"/>
      <c r="W27" s="14"/>
      <c r="Y27" s="62"/>
      <c r="Z27" s="62"/>
      <c r="AA27" s="62"/>
      <c r="AB27" s="62"/>
      <c r="AC27" s="62"/>
      <c r="AD27" s="62"/>
      <c r="AE27" s="62"/>
      <c r="AF27" s="62"/>
      <c r="AG27" s="62"/>
      <c r="AH27" s="62"/>
      <c r="AI27" s="62"/>
      <c r="AJ27" s="62"/>
      <c r="AK27" s="62"/>
    </row>
    <row r="28" spans="2:37" ht="12" customHeight="1">
      <c r="B28" s="13"/>
      <c r="C28" s="1"/>
      <c r="D28" s="151"/>
      <c r="E28" s="1"/>
      <c r="F28" s="1"/>
      <c r="G28" s="1"/>
      <c r="H28" s="1"/>
      <c r="I28" s="158"/>
      <c r="J28" s="158"/>
      <c r="K28" s="158"/>
      <c r="L28" s="158"/>
      <c r="M28" s="158"/>
      <c r="N28" s="1"/>
      <c r="P28" s="1"/>
      <c r="Q28" s="182"/>
      <c r="R28" s="182"/>
      <c r="S28" s="182"/>
      <c r="T28" s="182"/>
      <c r="U28" s="182"/>
      <c r="V28" s="1"/>
      <c r="W28" s="14"/>
      <c r="Y28" s="62"/>
      <c r="Z28" s="62"/>
      <c r="AA28" s="62"/>
      <c r="AB28" s="62"/>
      <c r="AC28" s="62"/>
      <c r="AD28" s="62"/>
      <c r="AE28" s="62"/>
      <c r="AF28" s="62"/>
      <c r="AG28" s="62"/>
      <c r="AH28" s="62"/>
      <c r="AI28" s="62"/>
      <c r="AJ28" s="62"/>
      <c r="AK28" s="62"/>
    </row>
    <row r="29" spans="2:37" ht="12" customHeight="1">
      <c r="B29" s="13"/>
      <c r="C29" s="1"/>
      <c r="D29" s="334" t="s">
        <v>600</v>
      </c>
      <c r="E29" s="335" t="str">
        <f>+geg!D61</f>
        <v>SO</v>
      </c>
      <c r="F29" s="335" t="str">
        <f>+geg!E61</f>
        <v>LG</v>
      </c>
      <c r="G29" s="1"/>
      <c r="H29" s="1"/>
      <c r="I29" s="158"/>
      <c r="J29" s="158"/>
      <c r="K29" s="158"/>
      <c r="L29" s="158"/>
      <c r="M29" s="158"/>
      <c r="N29" s="1"/>
      <c r="P29" s="1"/>
      <c r="Q29" s="182"/>
      <c r="R29" s="182"/>
      <c r="S29" s="182"/>
      <c r="T29" s="182"/>
      <c r="U29" s="182"/>
      <c r="V29" s="1"/>
      <c r="W29" s="14"/>
      <c r="Y29" s="62"/>
      <c r="Z29" s="62"/>
      <c r="AA29" s="62"/>
      <c r="AB29" s="62"/>
      <c r="AC29" s="62"/>
      <c r="AD29" s="62"/>
      <c r="AE29" s="62"/>
      <c r="AF29" s="62"/>
      <c r="AG29" s="62"/>
      <c r="AH29" s="62"/>
      <c r="AI29" s="62"/>
      <c r="AJ29" s="62"/>
      <c r="AK29" s="62"/>
    </row>
    <row r="30" spans="2:37" ht="12" customHeight="1">
      <c r="B30" s="13"/>
      <c r="C30" s="151"/>
      <c r="D30" s="91" t="s">
        <v>618</v>
      </c>
      <c r="E30" s="1"/>
      <c r="F30" s="1"/>
      <c r="G30" s="91"/>
      <c r="H30" s="1"/>
      <c r="I30" s="34">
        <f>ROUND(+Q30*geg!$I$26,2)</f>
        <v>0</v>
      </c>
      <c r="J30" s="34">
        <f>ROUND(+R30*geg!$L$26,2)</f>
        <v>0</v>
      </c>
      <c r="K30" s="34">
        <f>ROUND(+S30*geg!$L$26,2)</f>
        <v>0</v>
      </c>
      <c r="L30" s="34">
        <f>ROUND(+T30*geg!$L$26,2)</f>
        <v>0</v>
      </c>
      <c r="M30" s="34">
        <f>ROUND(+U30*geg!$L$26,2)</f>
        <v>0</v>
      </c>
      <c r="N30" s="1"/>
      <c r="P30" s="151"/>
      <c r="Q30" s="33">
        <f>ROUND(IF($E29=0,0,IF((geg!J$155-geg!I$155)&gt;geg!$I$16/2,(geg!J62+geg!J67),(geg!I62+geg!I67))*((VLOOKUP($F29,FPE,2,FALSE)+VLOOKUP($F29,FPE,5,FALSE)*tabel!$E$206))),2)</f>
        <v>0</v>
      </c>
      <c r="R30" s="33">
        <f>ROUND(IF($E29=0,0,IF((geg!M$155-geg!L$155)&gt;geg!$I$16/2,(geg!M62+geg!M67),(geg!L62+geg!L67))*((VLOOKUP($F29,FPE,2,FALSE)+VLOOKUP($F29,FPE,5,FALSE)*tabel!$E$206))),2)</f>
        <v>0</v>
      </c>
      <c r="S30" s="33">
        <f>ROUND(IF($E29=0,0,IF((geg!P$155-geg!O$155)&gt;geg!$I$16/2,(geg!P62+geg!P67),(geg!O62+geg!O67))*((VLOOKUP($F29,FPE,2,FALSE)+VLOOKUP($F29,FPE,5,FALSE)*tabel!$E$206))),2)</f>
        <v>0</v>
      </c>
      <c r="T30" s="33">
        <f>ROUND(IF($E29=0,0,IF((geg!S$155-geg!R$155)&gt;geg!$I$16/2,(geg!S62+geg!S67),(geg!R62+geg!R67))*((VLOOKUP($F29,FPE,2,FALSE)+VLOOKUP($F29,FPE,5,FALSE)*tabel!$E$206))),2)</f>
        <v>0</v>
      </c>
      <c r="U30" s="33">
        <f>ROUND(IF($E29=0,0,IF((geg!V$155-geg!U$155)&gt;geg!$I$16/2,(geg!V62+geg!V67),(geg!U62+geg!U67))*((VLOOKUP($F29,FPE,2,FALSE)+VLOOKUP($F29,FPE,5,FALSE)*tabel!$E$206))),2)</f>
        <v>0</v>
      </c>
      <c r="V30" s="1"/>
      <c r="W30" s="14"/>
      <c r="Y30" s="62"/>
      <c r="Z30" s="62"/>
      <c r="AA30" s="62"/>
      <c r="AB30" s="62"/>
      <c r="AC30" s="62"/>
      <c r="AD30" s="62"/>
      <c r="AE30" s="62"/>
      <c r="AF30" s="62"/>
      <c r="AG30" s="62"/>
      <c r="AH30" s="62"/>
      <c r="AI30" s="62"/>
      <c r="AJ30" s="62"/>
      <c r="AK30" s="62"/>
    </row>
    <row r="31" spans="2:37" ht="12" customHeight="1">
      <c r="B31" s="13"/>
      <c r="C31" s="151"/>
      <c r="D31" s="91" t="s">
        <v>619</v>
      </c>
      <c r="E31" s="1"/>
      <c r="F31" s="1"/>
      <c r="G31" s="91"/>
      <c r="H31" s="1"/>
      <c r="I31" s="34">
        <f>ROUND(+Q31*geg!$I$26,2)</f>
        <v>154476.04</v>
      </c>
      <c r="J31" s="34">
        <f>ROUND(+R31*geg!$L$26,2)</f>
        <v>154476.04</v>
      </c>
      <c r="K31" s="34">
        <f>ROUND(+S31*geg!$L$26,2)</f>
        <v>154476.04</v>
      </c>
      <c r="L31" s="34">
        <f>ROUND(+T31*geg!$L$26,2)</f>
        <v>154476.04</v>
      </c>
      <c r="M31" s="34">
        <f>ROUND(+U31*geg!$L$26,2)</f>
        <v>154476.04</v>
      </c>
      <c r="N31" s="1"/>
      <c r="P31" s="151"/>
      <c r="Q31" s="33">
        <f>ROUND(IF($E29=0,0,IF((geg!J155-geg!I155)&gt;geg!$I$16/2,(geg!J63+geg!J66-geg!J67),(geg!I63+geg!I66-geg!I67))*((VLOOKUP($F29,FPE,IF($E29="SO",3,4),FALSE)+VLOOKUP($F29,FPE,IF($E22="SO",6,7),FALSE)*tabel!$E$206))),2)</f>
        <v>2.51</v>
      </c>
      <c r="R31" s="33">
        <f>ROUND(IF($E29=0,0,IF((geg!M155-geg!L155)&gt;geg!$I$16/2,(geg!M63+geg!M66-geg!M67),(geg!L63+geg!L66-geg!L67))*((VLOOKUP($F29,FPE,IF($E29="SO",3,4),FALSE)+VLOOKUP($F29,FPE,IF($E22="SO",6,7),FALSE)*tabel!$E$206))),2)</f>
        <v>2.51</v>
      </c>
      <c r="S31" s="33">
        <f>ROUND(IF($E29=0,0,IF((geg!P155-geg!O155)&gt;geg!$I$16/2,(geg!P63+geg!P66-geg!P67),(geg!O63+geg!O66-geg!O67))*((VLOOKUP($F29,FPE,IF($E29="SO",3,4),FALSE)+VLOOKUP($F29,FPE,IF($E22="SO",6,7),FALSE)*tabel!$E$206))),2)</f>
        <v>2.51</v>
      </c>
      <c r="T31" s="33">
        <f>ROUND(IF($E29=0,0,IF((geg!S155-geg!R155)&gt;geg!$I$16/2,(geg!S63+geg!S66-geg!S67),(geg!R63+geg!R66-geg!R67))*((VLOOKUP($F29,FPE,IF($E29="SO",3,4),FALSE)+VLOOKUP($F29,FPE,IF($E22="SO",6,7),FALSE)*tabel!$E$206))),2)</f>
        <v>2.51</v>
      </c>
      <c r="U31" s="33">
        <f>ROUND(IF($E29=0,0,IF((geg!V155-geg!U155)&gt;geg!$I$16/2,(geg!V63+geg!V66-geg!V67),(geg!U63+geg!U66-geg!U67))*((VLOOKUP($F29,FPE,IF($E29="SO",3,4),FALSE)+VLOOKUP($F29,FPE,IF($E22="SO",6,7),FALSE)*tabel!$E$206))),2)</f>
        <v>2.51</v>
      </c>
      <c r="V31" s="1"/>
      <c r="W31" s="14"/>
      <c r="Y31" s="62"/>
      <c r="Z31" s="62"/>
      <c r="AA31" s="62"/>
      <c r="AB31" s="62"/>
      <c r="AC31" s="62"/>
      <c r="AD31" s="62"/>
      <c r="AE31" s="62"/>
      <c r="AF31" s="62"/>
      <c r="AG31" s="62"/>
      <c r="AH31" s="62"/>
      <c r="AI31" s="62"/>
      <c r="AJ31" s="62"/>
      <c r="AK31" s="62"/>
    </row>
    <row r="32" spans="2:37" ht="12" customHeight="1">
      <c r="B32" s="13"/>
      <c r="C32" s="151"/>
      <c r="D32" s="94" t="s">
        <v>643</v>
      </c>
      <c r="E32" s="87"/>
      <c r="F32" s="92" t="s">
        <v>642</v>
      </c>
      <c r="G32" s="92"/>
      <c r="H32" s="1"/>
      <c r="I32" s="34">
        <f>ROUND(+Q32*geg!$I$26,2)</f>
        <v>0</v>
      </c>
      <c r="J32" s="34">
        <f>ROUND(+R32*geg!$L$26,2)</f>
        <v>0</v>
      </c>
      <c r="K32" s="34">
        <f>ROUND(+S32*geg!$L$26,2)</f>
        <v>0</v>
      </c>
      <c r="L32" s="34">
        <f>ROUND(+T32*geg!$L$26,2)</f>
        <v>0</v>
      </c>
      <c r="M32" s="34">
        <f>ROUND(+U32*geg!$L$26,2)</f>
        <v>0</v>
      </c>
      <c r="N32" s="1"/>
      <c r="P32" s="151"/>
      <c r="Q32" s="33">
        <f>ROUND(IF($E29=0,0,(geg!I69*(VLOOKUP($F29,TABFPE,2,FALSE)))),2)</f>
        <v>0</v>
      </c>
      <c r="R32" s="33">
        <f>ROUND(IF($E29=0,0,(geg!L69*(VLOOKUP($F29,TABFPE,2,FALSE)))),2)</f>
        <v>0</v>
      </c>
      <c r="S32" s="33">
        <f>ROUND(IF($E29=0,0,(geg!O69*(VLOOKUP($F29,TABFPE,2,FALSE)))),2)</f>
        <v>0</v>
      </c>
      <c r="T32" s="33">
        <f>ROUND(IF($E29=0,0,(geg!R69*(VLOOKUP($F29,TABFPE,2,FALSE)))),2)</f>
        <v>0</v>
      </c>
      <c r="U32" s="33">
        <f>ROUND(IF($E29=0,0,(geg!U69*(VLOOKUP($F29,TABFPE,2,FALSE)))),2)</f>
        <v>0</v>
      </c>
      <c r="V32" s="1"/>
      <c r="W32" s="14"/>
      <c r="Y32" s="62"/>
      <c r="Z32" s="62"/>
      <c r="AA32" s="62"/>
      <c r="AB32" s="62"/>
      <c r="AC32" s="62"/>
      <c r="AD32" s="62"/>
      <c r="AE32" s="62"/>
      <c r="AF32" s="62"/>
      <c r="AG32" s="62"/>
      <c r="AH32" s="62"/>
      <c r="AI32" s="62"/>
      <c r="AJ32" s="62"/>
      <c r="AK32" s="62"/>
    </row>
    <row r="33" spans="2:37" ht="12" customHeight="1">
      <c r="B33" s="13"/>
      <c r="C33" s="151"/>
      <c r="D33" s="1"/>
      <c r="E33" s="1"/>
      <c r="F33" s="92" t="s">
        <v>644</v>
      </c>
      <c r="G33" s="92"/>
      <c r="H33" s="1"/>
      <c r="I33" s="34">
        <f>ROUND(+Q33*geg!$I$26,2)</f>
        <v>0</v>
      </c>
      <c r="J33" s="34">
        <f>ROUND(+R33*geg!$L$26,2)</f>
        <v>0</v>
      </c>
      <c r="K33" s="34">
        <f>ROUND(+S33*geg!$L$26,2)</f>
        <v>0</v>
      </c>
      <c r="L33" s="34">
        <f>ROUND(+T33*geg!$L$26,2)</f>
        <v>0</v>
      </c>
      <c r="M33" s="34">
        <f>ROUND(+U33*geg!$L$26,2)</f>
        <v>0</v>
      </c>
      <c r="N33" s="1"/>
      <c r="P33" s="151"/>
      <c r="Q33" s="33">
        <f>ROUND(IF($E29=0,0,(geg!I70*(VLOOKUP($F29,TABFPE,3,FALSE)))),2)</f>
        <v>0</v>
      </c>
      <c r="R33" s="33">
        <f>ROUND(IF($E29=0,0,(geg!L70*(VLOOKUP($F29,TABFPE,3,FALSE)))),2)</f>
        <v>0</v>
      </c>
      <c r="S33" s="33">
        <f>ROUND(IF($E29=0,0,(geg!O70*(VLOOKUP($F29,TABFPE,3,FALSE)))),2)</f>
        <v>0</v>
      </c>
      <c r="T33" s="33">
        <f>ROUND(IF($E29=0,0,(geg!R70*(VLOOKUP($F29,TABFPE,3,FALSE)))),2)</f>
        <v>0</v>
      </c>
      <c r="U33" s="33">
        <f>ROUND(IF($E29=0,0,(geg!U70*(VLOOKUP($F29,TABFPE,3,FALSE)))),2)</f>
        <v>0</v>
      </c>
      <c r="V33" s="1"/>
      <c r="W33" s="14"/>
      <c r="Y33" s="62"/>
      <c r="Z33" s="62"/>
      <c r="AA33" s="62"/>
      <c r="AB33" s="62"/>
      <c r="AC33" s="62"/>
      <c r="AD33" s="62"/>
      <c r="AE33" s="62"/>
      <c r="AF33" s="62"/>
      <c r="AG33" s="62"/>
      <c r="AH33" s="62"/>
      <c r="AI33" s="62"/>
      <c r="AJ33" s="62"/>
      <c r="AK33" s="62"/>
    </row>
    <row r="34" spans="2:37" ht="12" customHeight="1">
      <c r="B34" s="13"/>
      <c r="C34" s="151"/>
      <c r="D34" s="1"/>
      <c r="E34" s="1"/>
      <c r="F34" s="92" t="s">
        <v>512</v>
      </c>
      <c r="G34" s="92"/>
      <c r="H34" s="1"/>
      <c r="I34" s="34">
        <f>ROUND(+Q34*geg!$I$26,2)</f>
        <v>30156.68</v>
      </c>
      <c r="J34" s="34">
        <f>ROUND(+R34*geg!$L$26,2)</f>
        <v>30156.68</v>
      </c>
      <c r="K34" s="34">
        <f>ROUND(+S34*geg!$L$26,2)</f>
        <v>30156.68</v>
      </c>
      <c r="L34" s="34">
        <f>ROUND(+T34*geg!$L$26,2)</f>
        <v>30156.68</v>
      </c>
      <c r="M34" s="34">
        <f>ROUND(+U34*geg!$L$26,2)</f>
        <v>30156.68</v>
      </c>
      <c r="N34" s="1"/>
      <c r="P34" s="151"/>
      <c r="Q34" s="33">
        <f>ROUND(IF($E29=0,0,IF((geg!J160-geg!I160)&gt;geg!$I$16/2,geg!J71,geg!I71)*(VLOOKUP($F29,PABFPE,IF($E29="SO",2,3),FALSE))),2)</f>
        <v>0.49</v>
      </c>
      <c r="R34" s="33">
        <f>ROUND(IF($E29=0,0,IF((geg!M160-geg!L160)&gt;geg!$I$16/2,geg!M71,geg!L71)*(VLOOKUP($F29,PABFPE,IF($E29="SO",2,3),FALSE))),2)</f>
        <v>0.49</v>
      </c>
      <c r="S34" s="33">
        <f>ROUND(IF($E29=0,0,IF((geg!P160-geg!O160)&gt;geg!$I$16/2,geg!P71,geg!O71)*(VLOOKUP($F29,PABFPE,IF($E29="SO",2,3),FALSE))),2)</f>
        <v>0.49</v>
      </c>
      <c r="T34" s="33">
        <f>ROUND(IF($E29=0,0,IF((geg!S160-geg!R160)&gt;geg!$I$16/2,geg!S71,geg!R71)*(VLOOKUP($F29,PABFPE,IF($E29="SO",2,3),FALSE))),2)</f>
        <v>0.49</v>
      </c>
      <c r="U34" s="33">
        <f>ROUND(IF($E29=0,0,IF((geg!V160-geg!U160)&gt;geg!$I$16/2,geg!V71,geg!U71)*(VLOOKUP($F29,PABFPE,IF($E29="SO",2,3),FALSE))),2)</f>
        <v>0.49</v>
      </c>
      <c r="V34" s="1"/>
      <c r="W34" s="14"/>
      <c r="Y34" s="62"/>
      <c r="Z34" s="62"/>
      <c r="AA34" s="62"/>
      <c r="AB34" s="62"/>
      <c r="AC34" s="62"/>
      <c r="AD34" s="62"/>
      <c r="AE34" s="62"/>
      <c r="AF34" s="62"/>
      <c r="AG34" s="62"/>
      <c r="AH34" s="62"/>
      <c r="AI34" s="62"/>
      <c r="AJ34" s="62"/>
      <c r="AK34" s="62"/>
    </row>
    <row r="35" spans="2:37" ht="12" customHeight="1">
      <c r="B35" s="13"/>
      <c r="C35" s="1"/>
      <c r="D35" s="151"/>
      <c r="E35" s="1"/>
      <c r="F35" s="1"/>
      <c r="G35" s="1"/>
      <c r="H35" s="1"/>
      <c r="I35" s="158"/>
      <c r="J35" s="158"/>
      <c r="K35" s="158"/>
      <c r="L35" s="158"/>
      <c r="M35" s="158"/>
      <c r="N35" s="1"/>
      <c r="P35" s="1"/>
      <c r="Q35" s="182"/>
      <c r="R35" s="182"/>
      <c r="S35" s="182"/>
      <c r="T35" s="182"/>
      <c r="U35" s="182"/>
      <c r="V35" s="1"/>
      <c r="W35" s="14"/>
      <c r="Y35" s="62"/>
      <c r="Z35" s="62"/>
      <c r="AA35" s="62"/>
      <c r="AB35" s="62"/>
      <c r="AC35" s="62"/>
      <c r="AD35" s="62"/>
      <c r="AE35" s="62"/>
      <c r="AF35" s="62"/>
      <c r="AG35" s="62"/>
      <c r="AH35" s="62"/>
      <c r="AI35" s="62"/>
      <c r="AJ35" s="62"/>
      <c r="AK35" s="62"/>
    </row>
    <row r="36" spans="2:37" ht="12" customHeight="1">
      <c r="B36" s="13"/>
      <c r="C36" s="1"/>
      <c r="D36" s="334" t="s">
        <v>601</v>
      </c>
      <c r="E36" s="335" t="str">
        <f>+geg!D86</f>
        <v>VSO</v>
      </c>
      <c r="F36" s="335" t="str">
        <f>+geg!E86</f>
        <v>ZMLK</v>
      </c>
      <c r="G36" s="1"/>
      <c r="H36" s="1"/>
      <c r="I36" s="158"/>
      <c r="J36" s="158"/>
      <c r="K36" s="158"/>
      <c r="L36" s="158"/>
      <c r="M36" s="158"/>
      <c r="N36" s="1"/>
      <c r="P36" s="1"/>
      <c r="Q36" s="182"/>
      <c r="R36" s="182"/>
      <c r="S36" s="182"/>
      <c r="T36" s="182"/>
      <c r="U36" s="182"/>
      <c r="V36" s="1"/>
      <c r="W36" s="14"/>
      <c r="Y36" s="62"/>
      <c r="Z36" s="62"/>
      <c r="AA36" s="62"/>
      <c r="AB36" s="62"/>
      <c r="AC36" s="62"/>
      <c r="AD36" s="62"/>
      <c r="AE36" s="62"/>
      <c r="AF36" s="62"/>
      <c r="AG36" s="62"/>
      <c r="AH36" s="62"/>
      <c r="AI36" s="62"/>
      <c r="AJ36" s="62"/>
      <c r="AK36" s="62"/>
    </row>
    <row r="37" spans="2:37" ht="12" customHeight="1" hidden="1">
      <c r="B37" s="13"/>
      <c r="C37" s="151"/>
      <c r="D37" s="91" t="s">
        <v>618</v>
      </c>
      <c r="E37" s="1"/>
      <c r="F37" s="1"/>
      <c r="G37" s="91"/>
      <c r="H37" s="1"/>
      <c r="I37" s="34">
        <f>ROUND(+Q37*geg!$I$26,2)</f>
        <v>0</v>
      </c>
      <c r="J37" s="34">
        <f>ROUND(+R37*geg!$L$26,2)</f>
        <v>0</v>
      </c>
      <c r="K37" s="34">
        <f>ROUND(+S37*geg!$L$26,2)</f>
        <v>0</v>
      </c>
      <c r="L37" s="34">
        <f>ROUND(+T37*geg!$L$26,2)</f>
        <v>0</v>
      </c>
      <c r="M37" s="34">
        <f>ROUND(+U37*geg!$L$26,2)</f>
        <v>0</v>
      </c>
      <c r="N37" s="1"/>
      <c r="P37" s="151"/>
      <c r="Q37" s="33">
        <f>ROUND(IF($E36=0,0,IF((geg!J$155-geg!I$155)&gt;geg!$I$16/2,(geg!J87+geg!J92),(geg!I87+geg!I92))*((VLOOKUP($F36,FPE,2,FALSE)+VLOOKUP($F36,FPE,5,FALSE)*tabel!$E$206))),2)</f>
        <v>0</v>
      </c>
      <c r="R37" s="33">
        <f>ROUND(IF($E36=0,0,IF((geg!M$155-geg!L$155)&gt;geg!$I$16/2,(geg!M87+geg!M92),(geg!L87+geg!L92))*((VLOOKUP($F36,FPE,2,FALSE)+VLOOKUP($F36,FPE,5,FALSE)*tabel!$E$206))),2)</f>
        <v>0</v>
      </c>
      <c r="S37" s="33">
        <f>ROUND(IF($E36=0,0,IF((geg!P$155-geg!O$155)&gt;geg!$I$16/2,(geg!P87+geg!P92),(geg!O87+geg!O92))*((VLOOKUP($F36,FPE,2,FALSE)+VLOOKUP($F36,FPE,5,FALSE)*tabel!$E$206))),2)</f>
        <v>0</v>
      </c>
      <c r="T37" s="33">
        <f>ROUND(IF($E36=0,0,IF((geg!S$155-geg!R$155)&gt;geg!$I$16/2,(geg!S87+geg!S92),(geg!R87+geg!R92))*((VLOOKUP($F36,FPE,2,FALSE)+VLOOKUP($F36,FPE,5,FALSE)*tabel!$E$206))),2)</f>
        <v>0</v>
      </c>
      <c r="U37" s="33">
        <f>ROUND(IF($E36=0,0,IF((geg!V$155-geg!U$155)&gt;geg!$I$16/2,(geg!V87+geg!V92),(geg!U87+geg!U92))*((VLOOKUP($F36,FPE,2,FALSE)+VLOOKUP($F36,FPE,5,FALSE)*tabel!$E$206))),2)</f>
        <v>0</v>
      </c>
      <c r="V37" s="1"/>
      <c r="W37" s="14"/>
      <c r="Y37" s="62"/>
      <c r="Z37" s="62"/>
      <c r="AA37" s="62"/>
      <c r="AB37" s="62"/>
      <c r="AC37" s="62"/>
      <c r="AD37" s="62"/>
      <c r="AE37" s="62"/>
      <c r="AF37" s="62"/>
      <c r="AG37" s="62"/>
      <c r="AH37" s="62"/>
      <c r="AI37" s="62"/>
      <c r="AJ37" s="62"/>
      <c r="AK37" s="62"/>
    </row>
    <row r="38" spans="2:37" ht="12" customHeight="1">
      <c r="B38" s="13"/>
      <c r="C38" s="151"/>
      <c r="D38" s="91" t="s">
        <v>619</v>
      </c>
      <c r="E38" s="1"/>
      <c r="F38" s="1"/>
      <c r="G38" s="91"/>
      <c r="H38" s="1"/>
      <c r="I38" s="34">
        <f>ROUND(+Q38*geg!$I$26,2)</f>
        <v>126781.13</v>
      </c>
      <c r="J38" s="34">
        <f>ROUND(+R38*geg!$L$26,2)</f>
        <v>126781.13</v>
      </c>
      <c r="K38" s="34">
        <f>ROUND(+S38*geg!$L$26,2)</f>
        <v>126781.13</v>
      </c>
      <c r="L38" s="34">
        <f>ROUND(+T38*geg!$L$26,2)</f>
        <v>126781.13</v>
      </c>
      <c r="M38" s="34">
        <f>ROUND(+U38*geg!$L$26,2)</f>
        <v>126781.13</v>
      </c>
      <c r="N38" s="1"/>
      <c r="P38" s="151"/>
      <c r="Q38" s="33">
        <f>ROUND(ROUND(IF($E36=0,0,IF((geg!J$155-geg!I$155)&gt;geg!$I$16/2,(geg!J88+geg!J91-geg!J92),(geg!I88+geg!I91-geg!I92))*((VLOOKUP($F36,FPE,IF($E36="SO",3,4),FALSE)+VLOOKUP($F36,FPE,IF($E36="SO",6,7),FALSE)*tabel!$E$206))),2),2)</f>
        <v>2.06</v>
      </c>
      <c r="R38" s="33">
        <f>ROUND(IF($E36=0,0,IF((geg!M$155-geg!L$155)&gt;geg!$I$16/2,(geg!M88+geg!M91-geg!M92),(geg!L88+geg!L91-geg!L92))*((VLOOKUP($F36,FPE,IF($E36="SO",3,4),FALSE)+VLOOKUP($F36,FPE,IF($E36="SO",6,7),FALSE)*tabel!$E$206))),2)</f>
        <v>2.06</v>
      </c>
      <c r="S38" s="33">
        <f>ROUND(IF($E36=0,0,IF((geg!P$155-geg!O$155)&gt;geg!$I$16/2,(geg!P88+geg!P91-geg!P92),(geg!O88+geg!O91-geg!O92))*((VLOOKUP($F36,FPE,IF($E36="SO",3,4),FALSE)+VLOOKUP($F36,FPE,IF($E36="SO",6,7),FALSE)*tabel!$E$206))),2)</f>
        <v>2.06</v>
      </c>
      <c r="T38" s="33">
        <f>ROUND(IF($E36=0,0,IF((geg!S$155-geg!R$155)&gt;geg!$I$16/2,(geg!S88+geg!S91-geg!S92),(geg!R88+geg!R91-geg!R92))*((VLOOKUP($F36,FPE,IF($E36="SO",3,4),FALSE)+VLOOKUP($F36,FPE,IF($E36="SO",6,7),FALSE)*tabel!$E$206))),2)</f>
        <v>2.06</v>
      </c>
      <c r="U38" s="33">
        <f>ROUND(IF($E36=0,0,IF((geg!V$155-geg!U$155)&gt;geg!$I$16/2,(geg!V88+geg!V91-geg!V92),(geg!U88+geg!U91-geg!U92))*((VLOOKUP($F36,FPE,IF($E36="SO",3,4),FALSE)+VLOOKUP($F36,FPE,IF($E36="SO",6,7),FALSE)*tabel!$E$206))),2)</f>
        <v>2.06</v>
      </c>
      <c r="V38" s="1"/>
      <c r="W38" s="14"/>
      <c r="Y38" s="62"/>
      <c r="Z38" s="62"/>
      <c r="AA38" s="62"/>
      <c r="AB38" s="62"/>
      <c r="AC38" s="62"/>
      <c r="AD38" s="62"/>
      <c r="AE38" s="62"/>
      <c r="AF38" s="62"/>
      <c r="AG38" s="62"/>
      <c r="AH38" s="62"/>
      <c r="AI38" s="62"/>
      <c r="AJ38" s="62"/>
      <c r="AK38" s="62"/>
    </row>
    <row r="39" spans="2:37" ht="12" customHeight="1">
      <c r="B39" s="13"/>
      <c r="C39" s="151"/>
      <c r="D39" s="94" t="s">
        <v>643</v>
      </c>
      <c r="E39" s="87"/>
      <c r="F39" s="92" t="s">
        <v>642</v>
      </c>
      <c r="G39" s="92"/>
      <c r="H39" s="1"/>
      <c r="I39" s="34">
        <f>ROUND(+Q39*geg!$I$26,2)</f>
        <v>0</v>
      </c>
      <c r="J39" s="34">
        <f>ROUND(+R39*geg!$L$26,2)</f>
        <v>0</v>
      </c>
      <c r="K39" s="34">
        <f>ROUND(+S39*geg!$L$26,2)</f>
        <v>0</v>
      </c>
      <c r="L39" s="34">
        <f>ROUND(+T39*geg!$L$26,2)</f>
        <v>0</v>
      </c>
      <c r="M39" s="34">
        <f>ROUND(+U39*geg!$L$26,2)</f>
        <v>0</v>
      </c>
      <c r="N39" s="1"/>
      <c r="P39" s="151"/>
      <c r="Q39" s="33">
        <f>ROUND(IF($E36=0,0,(geg!I94*(VLOOKUP($F36,TABFPE,2,FALSE)))),2)</f>
        <v>0</v>
      </c>
      <c r="R39" s="33">
        <f>ROUND(IF($E36=0,0,(geg!L94*(VLOOKUP($F36,TABFPE,2,FALSE)))),2)</f>
        <v>0</v>
      </c>
      <c r="S39" s="33">
        <f>ROUND(IF($E36=0,0,(geg!O94*(VLOOKUP($F36,TABFPE,2,FALSE)))),2)</f>
        <v>0</v>
      </c>
      <c r="T39" s="33">
        <f>ROUND(IF($E36=0,0,(geg!R94*(VLOOKUP($F36,TABFPE,2,FALSE)))),2)</f>
        <v>0</v>
      </c>
      <c r="U39" s="33">
        <f>ROUND(IF($E36=0,0,(geg!U94*(VLOOKUP($F36,TABFPE,2,FALSE)))),2)</f>
        <v>0</v>
      </c>
      <c r="V39" s="1"/>
      <c r="W39" s="14"/>
      <c r="Y39" s="62"/>
      <c r="Z39" s="62"/>
      <c r="AA39" s="62"/>
      <c r="AB39" s="62"/>
      <c r="AC39" s="62"/>
      <c r="AD39" s="62"/>
      <c r="AE39" s="62"/>
      <c r="AF39" s="62"/>
      <c r="AG39" s="62"/>
      <c r="AH39" s="62"/>
      <c r="AI39" s="62"/>
      <c r="AJ39" s="62"/>
      <c r="AK39" s="62"/>
    </row>
    <row r="40" spans="2:37" ht="12" customHeight="1">
      <c r="B40" s="13"/>
      <c r="C40" s="151"/>
      <c r="D40" s="1"/>
      <c r="E40" s="1"/>
      <c r="F40" s="92" t="s">
        <v>644</v>
      </c>
      <c r="G40" s="92"/>
      <c r="H40" s="1"/>
      <c r="I40" s="34">
        <f>ROUND(+Q40*geg!$I$26,2)</f>
        <v>0</v>
      </c>
      <c r="J40" s="34">
        <f>ROUND(+R40*geg!$L$26,2)</f>
        <v>0</v>
      </c>
      <c r="K40" s="34">
        <f>ROUND(+S40*geg!$L$26,2)</f>
        <v>0</v>
      </c>
      <c r="L40" s="34">
        <f>ROUND(+T40*geg!$L$26,2)</f>
        <v>0</v>
      </c>
      <c r="M40" s="34">
        <f>ROUND(+U40*geg!$L$26,2)</f>
        <v>0</v>
      </c>
      <c r="N40" s="1"/>
      <c r="P40" s="151"/>
      <c r="Q40" s="33">
        <f>ROUND(IF($E36=0,0,(geg!I95*(VLOOKUP($F36,TABFPE,3,FALSE)))),2)</f>
        <v>0</v>
      </c>
      <c r="R40" s="33">
        <f>ROUND(IF($E36=0,0,(geg!L95*(VLOOKUP($F36,TABFPE,3,FALSE)))),2)</f>
        <v>0</v>
      </c>
      <c r="S40" s="33">
        <f>ROUND(IF($E36=0,0,(geg!O95*(VLOOKUP($F36,TABFPE,3,FALSE)))),2)</f>
        <v>0</v>
      </c>
      <c r="T40" s="33">
        <f>ROUND(IF($E36=0,0,(geg!R95*(VLOOKUP($F36,TABFPE,3,FALSE)))),2)</f>
        <v>0</v>
      </c>
      <c r="U40" s="33">
        <f>ROUND(IF($E36=0,0,(geg!U95*(VLOOKUP($F36,TABFPE,3,FALSE)))),2)</f>
        <v>0</v>
      </c>
      <c r="V40" s="1"/>
      <c r="W40" s="14"/>
      <c r="Y40" s="62"/>
      <c r="Z40" s="62"/>
      <c r="AA40" s="62"/>
      <c r="AB40" s="62"/>
      <c r="AC40" s="62"/>
      <c r="AD40" s="62"/>
      <c r="AE40" s="62"/>
      <c r="AF40" s="62"/>
      <c r="AG40" s="62"/>
      <c r="AH40" s="62"/>
      <c r="AI40" s="62"/>
      <c r="AJ40" s="62"/>
      <c r="AK40" s="62"/>
    </row>
    <row r="41" spans="2:37" ht="12" customHeight="1">
      <c r="B41" s="13"/>
      <c r="C41" s="151"/>
      <c r="D41" s="1"/>
      <c r="E41" s="1"/>
      <c r="F41" s="92" t="s">
        <v>512</v>
      </c>
      <c r="G41" s="92"/>
      <c r="H41" s="1"/>
      <c r="I41" s="34">
        <f>ROUND(+Q41*geg!$I$26,2)</f>
        <v>0</v>
      </c>
      <c r="J41" s="34">
        <f>ROUND(+R41*geg!$L$26,2)</f>
        <v>0</v>
      </c>
      <c r="K41" s="34">
        <f>ROUND(+S41*geg!$L$26,2)</f>
        <v>0</v>
      </c>
      <c r="L41" s="34">
        <f>ROUND(+T41*geg!$L$26,2)</f>
        <v>0</v>
      </c>
      <c r="M41" s="34">
        <f>ROUND(+U41*geg!$L$26,2)</f>
        <v>0</v>
      </c>
      <c r="N41" s="1"/>
      <c r="P41" s="151"/>
      <c r="Q41" s="33">
        <f>ROUND(IF($E36=0,0,IF((geg!J160-geg!I160)&gt;geg!$I$16/2,geg!J96,geg!I96)*(VLOOKUP($F36,PABFPE,IF($E36="SO",2,3),FALSE))),2)</f>
        <v>0</v>
      </c>
      <c r="R41" s="33">
        <f>ROUND(IF($E36=0,0,IF((geg!M160-geg!L160)&gt;geg!$I$16/2,geg!M96,geg!L96)*(VLOOKUP($F36,PABFPE,IF($E36="SO",2,3),FALSE))),2)</f>
        <v>0</v>
      </c>
      <c r="S41" s="33">
        <f>ROUND(IF($E36=0,0,IF((geg!P160-geg!O160)&gt;geg!$I$16/2,geg!P96,geg!O96)*(VLOOKUP($F36,PABFPE,IF($E36="SO",2,3),FALSE))),2)</f>
        <v>0</v>
      </c>
      <c r="T41" s="33">
        <f>ROUND(IF($E36=0,0,IF((geg!S160-geg!R160)&gt;geg!$I$16/2,geg!S96,geg!R96)*(VLOOKUP($F36,PABFPE,IF($E36="SO",2,3),FALSE))),2)</f>
        <v>0</v>
      </c>
      <c r="U41" s="33">
        <f>ROUND(IF($E36=0,0,IF((geg!V160-geg!U160)&gt;geg!$I$16/2,geg!V96,geg!U96)*(VLOOKUP($F36,PABFPE,IF($E36="SO",2,3),FALSE))),2)</f>
        <v>0</v>
      </c>
      <c r="V41" s="1"/>
      <c r="W41" s="14"/>
      <c r="Y41" s="62"/>
      <c r="Z41" s="62"/>
      <c r="AA41" s="62"/>
      <c r="AB41" s="62"/>
      <c r="AC41" s="62"/>
      <c r="AD41" s="62"/>
      <c r="AE41" s="62"/>
      <c r="AF41" s="62"/>
      <c r="AG41" s="62"/>
      <c r="AH41" s="62"/>
      <c r="AI41" s="62"/>
      <c r="AJ41" s="62"/>
      <c r="AK41" s="62"/>
    </row>
    <row r="42" spans="2:37" ht="12" customHeight="1">
      <c r="B42" s="13"/>
      <c r="C42" s="1"/>
      <c r="D42" s="151"/>
      <c r="E42" s="1"/>
      <c r="F42" s="1"/>
      <c r="G42" s="1"/>
      <c r="H42" s="1"/>
      <c r="I42" s="158"/>
      <c r="J42" s="158"/>
      <c r="K42" s="158"/>
      <c r="L42" s="158"/>
      <c r="M42" s="158"/>
      <c r="N42" s="1"/>
      <c r="P42" s="1"/>
      <c r="Q42" s="182"/>
      <c r="R42" s="182"/>
      <c r="S42" s="182"/>
      <c r="T42" s="182"/>
      <c r="U42" s="182"/>
      <c r="V42" s="1"/>
      <c r="W42" s="14"/>
      <c r="Y42" s="62"/>
      <c r="Z42" s="62"/>
      <c r="AA42" s="62"/>
      <c r="AB42" s="62"/>
      <c r="AC42" s="62"/>
      <c r="AD42" s="62"/>
      <c r="AE42" s="62"/>
      <c r="AF42" s="62"/>
      <c r="AG42" s="62"/>
      <c r="AH42" s="62"/>
      <c r="AI42" s="62"/>
      <c r="AJ42" s="62"/>
      <c r="AK42" s="62"/>
    </row>
    <row r="43" spans="2:37" ht="12" customHeight="1">
      <c r="B43" s="13"/>
      <c r="C43" s="1"/>
      <c r="D43" s="334" t="s">
        <v>602</v>
      </c>
      <c r="E43" s="335" t="str">
        <f>+geg!D99</f>
        <v>VSO</v>
      </c>
      <c r="F43" s="335" t="str">
        <f>+geg!E99</f>
        <v>MG (LG-ZMLK)</v>
      </c>
      <c r="G43" s="1"/>
      <c r="H43" s="1"/>
      <c r="I43" s="158"/>
      <c r="J43" s="158"/>
      <c r="K43" s="158"/>
      <c r="L43" s="158"/>
      <c r="M43" s="158"/>
      <c r="N43" s="1"/>
      <c r="P43" s="1"/>
      <c r="Q43" s="182"/>
      <c r="R43" s="182"/>
      <c r="S43" s="182"/>
      <c r="T43" s="182"/>
      <c r="U43" s="182"/>
      <c r="V43" s="1"/>
      <c r="W43" s="14"/>
      <c r="Y43" s="62"/>
      <c r="Z43" s="62"/>
      <c r="AA43" s="62"/>
      <c r="AB43" s="62"/>
      <c r="AC43" s="62"/>
      <c r="AD43" s="62"/>
      <c r="AE43" s="62"/>
      <c r="AF43" s="62"/>
      <c r="AG43" s="62"/>
      <c r="AH43" s="62"/>
      <c r="AI43" s="62"/>
      <c r="AJ43" s="62"/>
      <c r="AK43" s="62"/>
    </row>
    <row r="44" spans="2:37" ht="12" customHeight="1" hidden="1">
      <c r="B44" s="13"/>
      <c r="C44" s="151"/>
      <c r="D44" s="91" t="s">
        <v>618</v>
      </c>
      <c r="E44" s="1"/>
      <c r="F44" s="1"/>
      <c r="G44" s="91"/>
      <c r="H44" s="1"/>
      <c r="I44" s="34">
        <f>ROUND(+Q44*geg!$I$26,2)</f>
        <v>0</v>
      </c>
      <c r="J44" s="34">
        <f>ROUND(+R44*geg!$L$26,2)</f>
        <v>0</v>
      </c>
      <c r="K44" s="34">
        <f>ROUND(+S44*geg!$L$26,2)</f>
        <v>0</v>
      </c>
      <c r="L44" s="34">
        <f>ROUND(+T44*geg!$L$26,2)</f>
        <v>0</v>
      </c>
      <c r="M44" s="34">
        <f>ROUND(+U44*geg!$L$26,2)</f>
        <v>0</v>
      </c>
      <c r="N44" s="1"/>
      <c r="P44" s="151"/>
      <c r="Q44" s="33">
        <f>ROUND(IF($E43=0,0,IF((geg!J$155-geg!I$155)&gt;geg!$I$16/2,(geg!J100+geg!J105),(geg!I100+geg!I105))*((VLOOKUP($F43,FPE,2,FALSE)+VLOOKUP($F43,FPE,5,FALSE)*tabel!$E$206))),2)</f>
        <v>0</v>
      </c>
      <c r="R44" s="33">
        <f>ROUND(IF($E43=0,0,IF((geg!M$155-geg!L$155)&gt;geg!$I$16/2,(geg!M100+geg!M105),(geg!L100+geg!L105))*((VLOOKUP($F43,FPE,2,FALSE)+VLOOKUP($F43,FPE,5,FALSE)*tabel!$E$206))),2)</f>
        <v>0</v>
      </c>
      <c r="S44" s="33">
        <f>ROUND(IF($E43=0,0,IF((geg!P$155-geg!O$155)&gt;geg!$I$16/2,(geg!P100+geg!P105),(geg!O100+geg!O105))*((VLOOKUP($F43,FPE,2,FALSE)+VLOOKUP($F43,FPE,5,FALSE)*tabel!$E$206))),2)</f>
        <v>0</v>
      </c>
      <c r="T44" s="33">
        <f>ROUND(IF($E43=0,0,IF((geg!S$155-geg!R$155)&gt;geg!$I$16/2,(geg!S100+geg!S105),(geg!R100+geg!R105))*((VLOOKUP($F43,FPE,2,FALSE)+VLOOKUP($F43,FPE,5,FALSE)*tabel!$E$206))),2)</f>
        <v>0</v>
      </c>
      <c r="U44" s="33">
        <f>ROUND(IF($E43=0,0,IF((geg!V$155-geg!U$155)&gt;geg!$I$16/2,(geg!V100+geg!V105),(geg!U100+geg!U105))*((VLOOKUP($F43,FPE,2,FALSE)+VLOOKUP($F43,FPE,5,FALSE)*tabel!$E$206))),2)</f>
        <v>0</v>
      </c>
      <c r="V44" s="1"/>
      <c r="W44" s="14"/>
      <c r="Y44" s="62"/>
      <c r="Z44" s="62"/>
      <c r="AA44" s="62"/>
      <c r="AB44" s="62"/>
      <c r="AC44" s="62"/>
      <c r="AD44" s="62"/>
      <c r="AE44" s="62"/>
      <c r="AF44" s="62"/>
      <c r="AG44" s="62"/>
      <c r="AH44" s="62"/>
      <c r="AI44" s="62"/>
      <c r="AJ44" s="62"/>
      <c r="AK44" s="62"/>
    </row>
    <row r="45" spans="2:38" ht="12" customHeight="1">
      <c r="B45" s="13"/>
      <c r="C45" s="151"/>
      <c r="D45" s="91" t="s">
        <v>619</v>
      </c>
      <c r="E45" s="1"/>
      <c r="F45" s="1"/>
      <c r="G45" s="91"/>
      <c r="H45" s="1"/>
      <c r="I45" s="34">
        <f>ROUND(+Q45*geg!$I$26,2)</f>
        <v>207404.09</v>
      </c>
      <c r="J45" s="34">
        <f>ROUND(+R45*geg!$L$26,2)</f>
        <v>207404.09</v>
      </c>
      <c r="K45" s="34">
        <f>ROUND(+S45*geg!$L$26,2)</f>
        <v>207404.09</v>
      </c>
      <c r="L45" s="34">
        <f>ROUND(+T45*geg!$L$26,2)</f>
        <v>207404.09</v>
      </c>
      <c r="M45" s="34">
        <f>ROUND(+U45*geg!$L$26,2)</f>
        <v>207404.09</v>
      </c>
      <c r="N45" s="3"/>
      <c r="P45" s="151"/>
      <c r="Q45" s="33">
        <f>ROUND(IF($E43=0,0,IF((geg!J$155-geg!I$155)&gt;geg!$I$16/2,(geg!J101+geg!J104-geg!J105),(geg!I101+geg!I104-geg!I105))*((VLOOKUP($F43,FPE,IF($E43="SO",3,4),FALSE)+VLOOKUP($F43,FPE,IF($E43="SO",6,7),FALSE)*tabel!$E$206))),2)</f>
        <v>3.37</v>
      </c>
      <c r="R45" s="33">
        <f>ROUND(IF($E43=0,0,IF((geg!M$155-geg!L$155)&gt;geg!$I$16/2,(geg!M101+geg!M104-geg!M105),(geg!L101+geg!L104-geg!L105))*((VLOOKUP($F43,FPE,IF($E43="SO",3,4),FALSE)+VLOOKUP($F43,FPE,IF($E43="SO",6,7),FALSE)*tabel!$E$206))),2)</f>
        <v>3.37</v>
      </c>
      <c r="S45" s="33">
        <f>ROUND(IF($E43=0,0,IF((geg!P$155-geg!O$155)&gt;geg!$I$16/2,(geg!P101+geg!P104-geg!P105),(geg!O101+geg!O104-geg!O105))*((VLOOKUP($F43,FPE,IF($E43="SO",3,4),FALSE)+VLOOKUP($F43,FPE,IF($E43="SO",6,7),FALSE)*tabel!$E$206))),2)</f>
        <v>3.37</v>
      </c>
      <c r="T45" s="33">
        <f>ROUND(IF($E43=0,0,IF((geg!S$155-geg!R$155)&gt;geg!$I$16/2,(geg!S101+geg!S104-geg!S105),(geg!R101+geg!R104-geg!R105))*((VLOOKUP($F43,FPE,IF($E43="SO",3,4),FALSE)+VLOOKUP($F43,FPE,IF($E43="SO",6,7),FALSE)*tabel!$E$206))),2)</f>
        <v>3.37</v>
      </c>
      <c r="U45" s="33">
        <f>ROUND(IF($E43=0,0,IF((geg!V$155-geg!U$155)&gt;geg!$I$16/2,(geg!V101+geg!V104-geg!V105),(geg!U101+geg!U104-geg!U105))*((VLOOKUP($F43,FPE,IF($E43="SO",3,4),FALSE)+VLOOKUP($F43,FPE,IF($E43="SO",6,7),FALSE)*tabel!$E$206))),2)</f>
        <v>3.37</v>
      </c>
      <c r="V45" s="1"/>
      <c r="W45" s="14"/>
      <c r="Y45" s="62"/>
      <c r="Z45" s="62"/>
      <c r="AA45" s="62"/>
      <c r="AB45" s="62"/>
      <c r="AC45" s="62"/>
      <c r="AD45" s="62"/>
      <c r="AE45" s="62"/>
      <c r="AF45" s="62"/>
      <c r="AG45" s="62"/>
      <c r="AH45" s="62"/>
      <c r="AI45" s="62"/>
      <c r="AJ45" s="62"/>
      <c r="AK45" s="62"/>
      <c r="AL45" s="36"/>
    </row>
    <row r="46" spans="2:37" ht="12" customHeight="1">
      <c r="B46" s="13"/>
      <c r="C46" s="151"/>
      <c r="D46" s="94" t="s">
        <v>643</v>
      </c>
      <c r="E46" s="87"/>
      <c r="F46" s="92" t="s">
        <v>642</v>
      </c>
      <c r="G46" s="92"/>
      <c r="H46" s="1"/>
      <c r="I46" s="34">
        <f>ROUND(+Q46*geg!$I$26,2)</f>
        <v>0</v>
      </c>
      <c r="J46" s="34">
        <f>ROUND(+R46*geg!$L$26,2)</f>
        <v>0</v>
      </c>
      <c r="K46" s="34">
        <f>ROUND(+S46*geg!$L$26,2)</f>
        <v>0</v>
      </c>
      <c r="L46" s="34">
        <f>ROUND(+T46*geg!$L$26,2)</f>
        <v>0</v>
      </c>
      <c r="M46" s="34">
        <f>ROUND(+U46*geg!$L$26,2)</f>
        <v>0</v>
      </c>
      <c r="N46" s="1"/>
      <c r="P46" s="151"/>
      <c r="Q46" s="33">
        <f>ROUND(IF($E43=0,0,(geg!I107*(VLOOKUP($F43,TABFPE,2,FALSE)))),2)</f>
        <v>0</v>
      </c>
      <c r="R46" s="33">
        <f>ROUND(IF($E43=0,0,(geg!L107*(VLOOKUP($F43,TABFPE,2,FALSE)))),2)</f>
        <v>0</v>
      </c>
      <c r="S46" s="33">
        <f>ROUND(IF($E43=0,0,(geg!O107*(VLOOKUP($F43,TABFPE,2,FALSE)))),2)</f>
        <v>0</v>
      </c>
      <c r="T46" s="33">
        <f>ROUND(IF($E43=0,0,(geg!R107*(VLOOKUP($F43,TABFPE,2,FALSE)))),2)</f>
        <v>0</v>
      </c>
      <c r="U46" s="33">
        <f>ROUND(IF($E43=0,0,(geg!U107*(VLOOKUP($F43,TABFPE,2,FALSE)))),2)</f>
        <v>0</v>
      </c>
      <c r="V46" s="1"/>
      <c r="W46" s="14"/>
      <c r="Y46" s="62"/>
      <c r="Z46" s="62"/>
      <c r="AA46" s="62"/>
      <c r="AB46" s="62"/>
      <c r="AC46" s="62"/>
      <c r="AD46" s="62"/>
      <c r="AE46" s="62"/>
      <c r="AF46" s="62"/>
      <c r="AG46" s="62"/>
      <c r="AH46" s="62"/>
      <c r="AI46" s="62"/>
      <c r="AJ46" s="62"/>
      <c r="AK46" s="62"/>
    </row>
    <row r="47" spans="2:37" ht="12" customHeight="1">
      <c r="B47" s="13"/>
      <c r="C47" s="151"/>
      <c r="D47" s="1"/>
      <c r="E47" s="1"/>
      <c r="F47" s="92" t="s">
        <v>644</v>
      </c>
      <c r="G47" s="92"/>
      <c r="H47" s="1"/>
      <c r="I47" s="34">
        <f>ROUND(+Q47*geg!$I$26,2)</f>
        <v>0</v>
      </c>
      <c r="J47" s="34">
        <f>ROUND(+R47*geg!$L$26,2)</f>
        <v>0</v>
      </c>
      <c r="K47" s="34">
        <f>ROUND(+S47*geg!$L$26,2)</f>
        <v>0</v>
      </c>
      <c r="L47" s="34">
        <f>ROUND(+T47*geg!$L$26,2)</f>
        <v>0</v>
      </c>
      <c r="M47" s="34">
        <f>ROUND(+U47*geg!$L$26,2)</f>
        <v>0</v>
      </c>
      <c r="N47" s="1"/>
      <c r="P47" s="151"/>
      <c r="Q47" s="33">
        <f>ROUND(IF($E43=0,0,(geg!I108*(VLOOKUP($F43,TABFPE,3,FALSE)))),2)</f>
        <v>0</v>
      </c>
      <c r="R47" s="33">
        <f>ROUND(IF($E43=0,0,(geg!L108*(VLOOKUP($F43,TABFPE,3,FALSE)))),2)</f>
        <v>0</v>
      </c>
      <c r="S47" s="33">
        <f>ROUND(IF($E43=0,0,(geg!O108*(VLOOKUP($F43,TABFPE,3,FALSE)))),2)</f>
        <v>0</v>
      </c>
      <c r="T47" s="33">
        <f>ROUND(IF($E43=0,0,(geg!R108*(VLOOKUP($F43,TABFPE,3,FALSE)))),2)</f>
        <v>0</v>
      </c>
      <c r="U47" s="33">
        <f>ROUND(IF($E43=0,0,(geg!U108*(VLOOKUP($F43,TABFPE,3,FALSE)))),2)</f>
        <v>0</v>
      </c>
      <c r="V47" s="1"/>
      <c r="W47" s="14"/>
      <c r="Y47" s="62"/>
      <c r="Z47" s="62"/>
      <c r="AA47" s="62"/>
      <c r="AB47" s="62"/>
      <c r="AC47" s="62"/>
      <c r="AD47" s="62"/>
      <c r="AE47" s="62"/>
      <c r="AF47" s="62"/>
      <c r="AG47" s="62"/>
      <c r="AH47" s="62"/>
      <c r="AI47" s="62"/>
      <c r="AJ47" s="62"/>
      <c r="AK47" s="62"/>
    </row>
    <row r="48" spans="2:37" ht="12" customHeight="1">
      <c r="B48" s="13"/>
      <c r="C48" s="151"/>
      <c r="D48" s="1"/>
      <c r="E48" s="1"/>
      <c r="F48" s="92" t="s">
        <v>512</v>
      </c>
      <c r="G48" s="92"/>
      <c r="H48" s="1"/>
      <c r="I48" s="34">
        <f>ROUND(+Q48*geg!$I$26,2)</f>
        <v>0</v>
      </c>
      <c r="J48" s="34">
        <f>ROUND(+R48*geg!$L$26,2)</f>
        <v>0</v>
      </c>
      <c r="K48" s="34">
        <f>ROUND(+S48*geg!$L$26,2)</f>
        <v>0</v>
      </c>
      <c r="L48" s="34">
        <f>ROUND(+T48*geg!$L$26,2)</f>
        <v>0</v>
      </c>
      <c r="M48" s="34">
        <f>ROUND(+U48*geg!$L$26,2)</f>
        <v>0</v>
      </c>
      <c r="N48" s="1"/>
      <c r="P48" s="151"/>
      <c r="Q48" s="33">
        <f>ROUND(IF($E43=0,0,IF((geg!J160-geg!I160)&gt;geg!$I$16/2,geg!J109,geg!I109)*(VLOOKUP($F43,PABFPE,IF($E43="SO",2,3),FALSE))),2)</f>
        <v>0</v>
      </c>
      <c r="R48" s="33">
        <f>ROUND(IF($E43=0,0,IF((geg!M160-geg!L160)&gt;geg!$I$16/2,geg!M109,geg!L109)*(VLOOKUP($F43,PABFPE,IF($E43="SO",2,3),FALSE))),2)</f>
        <v>0</v>
      </c>
      <c r="S48" s="33">
        <f>ROUND(IF($E43=0,0,IF((geg!P160-geg!O160)&gt;geg!$I$16/2,geg!P109,geg!O109)*(VLOOKUP($F43,PABFPE,IF($E43="SO",2,3),FALSE))),2)</f>
        <v>0</v>
      </c>
      <c r="T48" s="33">
        <f>ROUND(IF($E43=0,0,IF((geg!S160-geg!R160)&gt;geg!$I$16/2,geg!S109,geg!R109)*(VLOOKUP($F43,PABFPE,IF($E43="SO",2,3),FALSE))),2)</f>
        <v>0</v>
      </c>
      <c r="U48" s="33">
        <f>ROUND(IF($E43=0,0,IF((geg!V160-geg!U160)&gt;geg!$I$16/2,geg!V109,geg!U109)*(VLOOKUP($F43,PABFPE,IF($E43="SO",2,3),FALSE))),2)</f>
        <v>0</v>
      </c>
      <c r="V48" s="1"/>
      <c r="W48" s="14"/>
      <c r="Y48" s="62"/>
      <c r="Z48" s="62"/>
      <c r="AA48" s="62"/>
      <c r="AB48" s="62"/>
      <c r="AC48" s="62"/>
      <c r="AD48" s="62"/>
      <c r="AE48" s="62"/>
      <c r="AF48" s="62"/>
      <c r="AG48" s="62"/>
      <c r="AH48" s="62"/>
      <c r="AI48" s="62"/>
      <c r="AJ48" s="62"/>
      <c r="AK48" s="62"/>
    </row>
    <row r="49" spans="2:37" ht="12" customHeight="1">
      <c r="B49" s="13"/>
      <c r="C49" s="1"/>
      <c r="D49" s="151"/>
      <c r="E49" s="1"/>
      <c r="F49" s="1"/>
      <c r="G49" s="1"/>
      <c r="H49" s="1"/>
      <c r="I49" s="158"/>
      <c r="J49" s="158"/>
      <c r="K49" s="158"/>
      <c r="L49" s="158"/>
      <c r="M49" s="158"/>
      <c r="N49" s="1"/>
      <c r="P49" s="1"/>
      <c r="Q49" s="182"/>
      <c r="R49" s="182"/>
      <c r="S49" s="182"/>
      <c r="T49" s="182"/>
      <c r="U49" s="182"/>
      <c r="V49" s="1"/>
      <c r="W49" s="14"/>
      <c r="Y49" s="62"/>
      <c r="Z49" s="62"/>
      <c r="AA49" s="62"/>
      <c r="AB49" s="62"/>
      <c r="AC49" s="62"/>
      <c r="AD49" s="62"/>
      <c r="AE49" s="62"/>
      <c r="AF49" s="62"/>
      <c r="AG49" s="62"/>
      <c r="AH49" s="62"/>
      <c r="AI49" s="62"/>
      <c r="AJ49" s="62"/>
      <c r="AK49" s="62"/>
    </row>
    <row r="50" spans="2:37" ht="12" customHeight="1">
      <c r="B50" s="13"/>
      <c r="C50" s="1"/>
      <c r="D50" s="334" t="s">
        <v>603</v>
      </c>
      <c r="E50" s="335" t="str">
        <f>+geg!D112</f>
        <v>VSO</v>
      </c>
      <c r="F50" s="335" t="str">
        <f>+geg!E112</f>
        <v>LG</v>
      </c>
      <c r="G50" s="1"/>
      <c r="H50" s="1"/>
      <c r="I50" s="158"/>
      <c r="J50" s="158"/>
      <c r="K50" s="158"/>
      <c r="L50" s="158"/>
      <c r="M50" s="158"/>
      <c r="N50" s="1"/>
      <c r="P50" s="1"/>
      <c r="Q50" s="182"/>
      <c r="R50" s="182"/>
      <c r="S50" s="182"/>
      <c r="T50" s="182"/>
      <c r="U50" s="182"/>
      <c r="V50" s="1"/>
      <c r="W50" s="14"/>
      <c r="Y50" s="62"/>
      <c r="Z50" s="62"/>
      <c r="AA50" s="62"/>
      <c r="AB50" s="62"/>
      <c r="AC50" s="62"/>
      <c r="AD50" s="62"/>
      <c r="AE50" s="62"/>
      <c r="AF50" s="62"/>
      <c r="AG50" s="62"/>
      <c r="AH50" s="62"/>
      <c r="AI50" s="62"/>
      <c r="AJ50" s="62"/>
      <c r="AK50" s="62"/>
    </row>
    <row r="51" spans="2:37" ht="12" customHeight="1" hidden="1">
      <c r="B51" s="13"/>
      <c r="C51" s="151"/>
      <c r="D51" s="91" t="s">
        <v>618</v>
      </c>
      <c r="E51" s="1"/>
      <c r="F51" s="1"/>
      <c r="G51" s="91"/>
      <c r="H51" s="1"/>
      <c r="I51" s="34">
        <f>ROUND(+Q51*geg!$I$26,2)</f>
        <v>0</v>
      </c>
      <c r="J51" s="34">
        <f>ROUND(+R51*geg!$L$26,2)</f>
        <v>0</v>
      </c>
      <c r="K51" s="34">
        <f>ROUND(+S51*geg!$L$26,2)</f>
        <v>0</v>
      </c>
      <c r="L51" s="34">
        <f>ROUND(+T51*geg!$L$26,2)</f>
        <v>0</v>
      </c>
      <c r="M51" s="34">
        <f>ROUND(+U51*geg!$L$26,2)</f>
        <v>0</v>
      </c>
      <c r="N51" s="1"/>
      <c r="P51" s="151"/>
      <c r="Q51" s="33">
        <f>ROUND(IF($E50=0,0,IF((geg!J$155-geg!I$155)&gt;geg!$I$16/2,(geg!J113+geg!J118),(geg!I113+geg!I118))*((VLOOKUP($F50,FPE,2,FALSE)+VLOOKUP($F50,FPE,5,FALSE)*tabel!$E$206))),2)</f>
        <v>0</v>
      </c>
      <c r="R51" s="33">
        <f>ROUND(IF($E50=0,0,IF((geg!M$155-geg!L$155)&gt;geg!$I$16/2,(geg!M113+geg!M118),(geg!L113+geg!L118))*((VLOOKUP($F50,FPE,2,FALSE)+VLOOKUP($F50,FPE,5,FALSE)*tabel!$E$206))),2)</f>
        <v>0</v>
      </c>
      <c r="S51" s="33">
        <f>ROUND(IF($E50=0,0,IF((geg!P$155-geg!O$155)&gt;geg!$I$16/2,(geg!P113+geg!P118),(geg!O113+geg!O118))*((VLOOKUP($F50,FPE,2,FALSE)+VLOOKUP($F50,FPE,5,FALSE)*tabel!$E$206))),2)</f>
        <v>0</v>
      </c>
      <c r="T51" s="33">
        <f>ROUND(IF($E50=0,0,IF((geg!S$155-geg!R$155)&gt;geg!$I$16/2,(geg!S113+geg!S118),(geg!R113+geg!R118))*((VLOOKUP($F50,FPE,2,FALSE)+VLOOKUP($F50,FPE,5,FALSE)*tabel!$E$206))),2)</f>
        <v>0</v>
      </c>
      <c r="U51" s="33">
        <f>ROUND(IF($E50=0,0,IF((geg!V$155-geg!U$155)&gt;geg!$I$16/2,(geg!V113+geg!V118),(geg!U113+geg!U118))*((VLOOKUP($F50,FPE,2,FALSE)+VLOOKUP($F50,FPE,5,FALSE)*tabel!$E$206))),2)</f>
        <v>0</v>
      </c>
      <c r="V51" s="1"/>
      <c r="W51" s="14"/>
      <c r="Y51" s="62"/>
      <c r="Z51" s="62"/>
      <c r="AA51" s="62"/>
      <c r="AB51" s="62"/>
      <c r="AC51" s="62"/>
      <c r="AD51" s="62"/>
      <c r="AE51" s="62"/>
      <c r="AF51" s="62"/>
      <c r="AG51" s="62"/>
      <c r="AH51" s="62"/>
      <c r="AI51" s="62"/>
      <c r="AJ51" s="62"/>
      <c r="AK51" s="62"/>
    </row>
    <row r="52" spans="2:37" ht="12" customHeight="1">
      <c r="B52" s="13"/>
      <c r="C52" s="151"/>
      <c r="D52" s="91" t="s">
        <v>619</v>
      </c>
      <c r="E52" s="1"/>
      <c r="F52" s="1"/>
      <c r="G52" s="91"/>
      <c r="H52" s="1"/>
      <c r="I52" s="34">
        <f>ROUND(+Q52*geg!$I$26,2)</f>
        <v>194479.8</v>
      </c>
      <c r="J52" s="34">
        <f>ROUND(+R52*geg!$L$26,2)</f>
        <v>194479.8</v>
      </c>
      <c r="K52" s="34">
        <f>ROUND(+S52*geg!$L$26,2)</f>
        <v>194479.8</v>
      </c>
      <c r="L52" s="34">
        <f>ROUND(+T52*geg!$L$26,2)</f>
        <v>194479.8</v>
      </c>
      <c r="M52" s="34">
        <f>ROUND(+U52*geg!$L$26,2)</f>
        <v>194479.8</v>
      </c>
      <c r="N52" s="1"/>
      <c r="P52" s="151"/>
      <c r="Q52" s="33">
        <f>ROUND(IF($E50=0,0,IF((geg!J$155-geg!I$155)&gt;geg!$I$16/2,(geg!J114+geg!J117-geg!J118),(geg!I114+geg!I117-geg!I118))*((VLOOKUP($F50,FPE,IF($E50="SO",3,4),FALSE)+VLOOKUP($F50,FPE,IF($E50="SO",6,7),FALSE)*tabel!$E$206))),2)</f>
        <v>3.16</v>
      </c>
      <c r="R52" s="33">
        <f>ROUND(IF($E50=0,0,IF((geg!M$155-geg!L$155)&gt;geg!$I$16/2,(geg!M114+geg!M117-geg!M118),(geg!L114+geg!L117-geg!L118))*((VLOOKUP($F50,FPE,IF($E50="SO",3,4),FALSE)+VLOOKUP($F50,FPE,IF($E50="SO",6,7),FALSE)*tabel!$E$206))),2)</f>
        <v>3.16</v>
      </c>
      <c r="S52" s="33">
        <f>ROUND(IF($E50=0,0,IF((geg!P$155-geg!O$155)&gt;geg!$I$16/2,(geg!P114+geg!P117-geg!P118),(geg!O114+geg!O117-geg!O118))*((VLOOKUP($F50,FPE,IF($E50="SO",3,4),FALSE)+VLOOKUP($F50,FPE,IF($E50="SO",6,7),FALSE)*tabel!$E$206))),2)</f>
        <v>3.16</v>
      </c>
      <c r="T52" s="33">
        <f>ROUND(IF($E50=0,0,IF((geg!S$155-geg!R$155)&gt;geg!$I$16/2,(geg!S114+geg!S117-geg!S118),(geg!R114+geg!R117-geg!R118))*((VLOOKUP($F50,FPE,IF($E50="SO",3,4),FALSE)+VLOOKUP($F50,FPE,IF($E50="SO",6,7),FALSE)*tabel!$E$206))),2)</f>
        <v>3.16</v>
      </c>
      <c r="U52" s="33">
        <f>ROUND(IF($E50=0,0,IF((geg!V$155-geg!U$155)&gt;geg!$I$16/2,(geg!V114+geg!V117-geg!V118),(geg!U114+geg!U117-geg!U118))*((VLOOKUP($F50,FPE,IF($E50="SO",3,4),FALSE)+VLOOKUP($F50,FPE,IF($E50="SO",6,7),FALSE)*tabel!$E$206))),2)</f>
        <v>3.16</v>
      </c>
      <c r="V52" s="1"/>
      <c r="W52" s="14"/>
      <c r="Y52" s="62"/>
      <c r="Z52" s="62"/>
      <c r="AA52" s="62"/>
      <c r="AB52" s="62"/>
      <c r="AC52" s="62"/>
      <c r="AD52" s="62"/>
      <c r="AE52" s="62"/>
      <c r="AF52" s="62"/>
      <c r="AG52" s="62"/>
      <c r="AH52" s="62"/>
      <c r="AI52" s="62"/>
      <c r="AJ52" s="62"/>
      <c r="AK52" s="62"/>
    </row>
    <row r="53" spans="2:37" ht="12" customHeight="1">
      <c r="B53" s="13"/>
      <c r="C53" s="151"/>
      <c r="D53" s="94" t="s">
        <v>643</v>
      </c>
      <c r="E53" s="87"/>
      <c r="F53" s="92" t="s">
        <v>642</v>
      </c>
      <c r="G53" s="92"/>
      <c r="H53" s="1"/>
      <c r="I53" s="34">
        <f>ROUND(+Q53*geg!$I$26,2)</f>
        <v>0</v>
      </c>
      <c r="J53" s="34">
        <f>ROUND(+R53*geg!$L$26,2)</f>
        <v>0</v>
      </c>
      <c r="K53" s="34">
        <f>ROUND(+S53*geg!$L$26,2)</f>
        <v>0</v>
      </c>
      <c r="L53" s="34">
        <f>ROUND(+T53*geg!$L$26,2)</f>
        <v>0</v>
      </c>
      <c r="M53" s="34">
        <f>ROUND(+U53*geg!$L$26,2)</f>
        <v>0</v>
      </c>
      <c r="N53" s="1"/>
      <c r="P53" s="151"/>
      <c r="Q53" s="33">
        <f>ROUND(IF($E50=0,0,(geg!I120*(VLOOKUP($F50,TABFPE,2,FALSE)))),2)</f>
        <v>0</v>
      </c>
      <c r="R53" s="33">
        <f>ROUND(IF($E50=0,0,(geg!L120*(VLOOKUP($F50,TABFPE,2,FALSE)))),2)</f>
        <v>0</v>
      </c>
      <c r="S53" s="33">
        <f>ROUND(IF($E50=0,0,(geg!O120*(VLOOKUP($F50,TABFPE,2,FALSE)))),2)</f>
        <v>0</v>
      </c>
      <c r="T53" s="33">
        <f>ROUND(IF($E50=0,0,(geg!R120*(VLOOKUP($F50,TABFPE,2,FALSE)))),2)</f>
        <v>0</v>
      </c>
      <c r="U53" s="33">
        <f>ROUND(IF($E50=0,0,(geg!U120*(VLOOKUP($F50,TABFPE,2,FALSE)))),2)</f>
        <v>0</v>
      </c>
      <c r="V53" s="1"/>
      <c r="W53" s="14"/>
      <c r="Y53" s="62"/>
      <c r="Z53" s="62"/>
      <c r="AA53" s="62"/>
      <c r="AB53" s="62"/>
      <c r="AC53" s="62"/>
      <c r="AD53" s="62"/>
      <c r="AE53" s="62"/>
      <c r="AF53" s="62"/>
      <c r="AG53" s="62"/>
      <c r="AH53" s="62"/>
      <c r="AI53" s="62"/>
      <c r="AJ53" s="62"/>
      <c r="AK53" s="62"/>
    </row>
    <row r="54" spans="2:37" ht="12" customHeight="1">
      <c r="B54" s="13"/>
      <c r="C54" s="151"/>
      <c r="D54" s="1"/>
      <c r="E54" s="1"/>
      <c r="F54" s="92" t="s">
        <v>644</v>
      </c>
      <c r="G54" s="92"/>
      <c r="H54" s="1"/>
      <c r="I54" s="34">
        <f>ROUND(+Q54*geg!$I$26,2)</f>
        <v>0</v>
      </c>
      <c r="J54" s="34">
        <f>ROUND(+R54*geg!$L$26,2)</f>
        <v>0</v>
      </c>
      <c r="K54" s="34">
        <f>ROUND(+S54*geg!$L$26,2)</f>
        <v>0</v>
      </c>
      <c r="L54" s="34">
        <f>ROUND(+T54*geg!$L$26,2)</f>
        <v>0</v>
      </c>
      <c r="M54" s="34">
        <f>ROUND(+U54*geg!$L$26,2)</f>
        <v>0</v>
      </c>
      <c r="N54" s="1"/>
      <c r="P54" s="151"/>
      <c r="Q54" s="33">
        <f>ROUND(IF($E50=0,0,(geg!I121*(VLOOKUP($F50,TABFPE,3,FALSE)))),2)</f>
        <v>0</v>
      </c>
      <c r="R54" s="33">
        <f>ROUND(IF($E50=0,0,(geg!L121*(VLOOKUP($F50,TABFPE,3,FALSE)))),2)</f>
        <v>0</v>
      </c>
      <c r="S54" s="33">
        <f>ROUND(IF($E50=0,0,(geg!O121*(VLOOKUP($F50,TABFPE,3,FALSE)))),2)</f>
        <v>0</v>
      </c>
      <c r="T54" s="33">
        <f>ROUND(IF($E50=0,0,(geg!R121*(VLOOKUP($F50,TABFPE,3,FALSE)))),2)</f>
        <v>0</v>
      </c>
      <c r="U54" s="33">
        <f>ROUND(IF($E50=0,0,(geg!U121*(VLOOKUP($F50,TABFPE,3,FALSE)))),2)</f>
        <v>0</v>
      </c>
      <c r="V54" s="1"/>
      <c r="W54" s="14"/>
      <c r="Y54" s="62"/>
      <c r="Z54" s="62"/>
      <c r="AA54" s="62"/>
      <c r="AB54" s="62"/>
      <c r="AC54" s="62"/>
      <c r="AD54" s="62"/>
      <c r="AE54" s="62"/>
      <c r="AF54" s="62"/>
      <c r="AG54" s="62"/>
      <c r="AH54" s="62"/>
      <c r="AI54" s="62"/>
      <c r="AJ54" s="62"/>
      <c r="AK54" s="62"/>
    </row>
    <row r="55" spans="2:37" ht="12" customHeight="1">
      <c r="B55" s="13"/>
      <c r="C55" s="151"/>
      <c r="D55" s="1"/>
      <c r="E55" s="1"/>
      <c r="F55" s="92" t="s">
        <v>512</v>
      </c>
      <c r="G55" s="92"/>
      <c r="H55" s="1"/>
      <c r="I55" s="34">
        <f>ROUND(+Q55*geg!$I$26,2)</f>
        <v>6769.87</v>
      </c>
      <c r="J55" s="34">
        <f>ROUND(+R55*geg!$L$26,2)</f>
        <v>6769.87</v>
      </c>
      <c r="K55" s="34">
        <f>ROUND(+S55*geg!$L$26,2)</f>
        <v>6769.87</v>
      </c>
      <c r="L55" s="34">
        <f>ROUND(+T55*geg!$L$26,2)</f>
        <v>6769.87</v>
      </c>
      <c r="M55" s="34">
        <f>ROUND(+U55*geg!$L$26,2)</f>
        <v>6769.87</v>
      </c>
      <c r="N55" s="1"/>
      <c r="P55" s="151"/>
      <c r="Q55" s="33">
        <f>ROUND(IF($E50=0,0,IF((geg!J160-geg!I160)&gt;geg!$I$16/2,geg!J122,geg!I122)*(VLOOKUP($F50,PABFPE,IF($E50="SO",2,3),FALSE))),2)</f>
        <v>0.11</v>
      </c>
      <c r="R55" s="33">
        <f>ROUND(IF($E50=0,0,IF((geg!M160-geg!L160)&gt;geg!$I$16/2,geg!M122,geg!L122)*(VLOOKUP($F50,PABFPE,IF($E50="SO",2,3),FALSE))),2)</f>
        <v>0.11</v>
      </c>
      <c r="S55" s="33">
        <f>ROUND(IF($E50=0,0,IF((geg!P160-geg!O160)&gt;geg!$I$16/2,geg!P122,geg!O122)*(VLOOKUP($F50,PABFPE,IF($E50="SO",2,3),FALSE))),2)</f>
        <v>0.11</v>
      </c>
      <c r="T55" s="33">
        <f>ROUND(IF($E50=0,0,IF((geg!S160-geg!R160)&gt;geg!$I$16/2,geg!S122,geg!R122)*(VLOOKUP($F50,PABFPE,IF($E50="SO",2,3),FALSE))),2)</f>
        <v>0.11</v>
      </c>
      <c r="U55" s="33">
        <f>ROUND(IF($E50=0,0,IF((geg!V160-geg!U160)&gt;geg!$I$16/2,geg!V122,geg!U122)*(VLOOKUP($F50,PABFPE,IF($E50="SO",2,3),FALSE))),2)</f>
        <v>0.11</v>
      </c>
      <c r="V55" s="1"/>
      <c r="W55" s="14"/>
      <c r="Y55" s="62"/>
      <c r="Z55" s="62"/>
      <c r="AA55" s="62"/>
      <c r="AB55" s="62"/>
      <c r="AC55" s="62"/>
      <c r="AD55" s="62"/>
      <c r="AE55" s="62"/>
      <c r="AF55" s="62"/>
      <c r="AG55" s="62"/>
      <c r="AH55" s="62"/>
      <c r="AI55" s="62"/>
      <c r="AJ55" s="62"/>
      <c r="AK55" s="62"/>
    </row>
    <row r="56" spans="2:37" ht="12" customHeight="1">
      <c r="B56" s="13"/>
      <c r="C56" s="1"/>
      <c r="D56" s="84"/>
      <c r="E56" s="1"/>
      <c r="F56" s="1"/>
      <c r="G56" s="1"/>
      <c r="H56" s="1"/>
      <c r="I56" s="158"/>
      <c r="J56" s="158"/>
      <c r="K56" s="158"/>
      <c r="L56" s="158"/>
      <c r="M56" s="158"/>
      <c r="N56" s="1"/>
      <c r="P56" s="1"/>
      <c r="Q56" s="182"/>
      <c r="R56" s="182"/>
      <c r="S56" s="182"/>
      <c r="T56" s="182"/>
      <c r="U56" s="182"/>
      <c r="V56" s="1"/>
      <c r="W56" s="14"/>
      <c r="Y56" s="62"/>
      <c r="Z56" s="62"/>
      <c r="AA56" s="62"/>
      <c r="AB56" s="62"/>
      <c r="AC56" s="62"/>
      <c r="AD56" s="62"/>
      <c r="AE56" s="62"/>
      <c r="AF56" s="62"/>
      <c r="AG56" s="62"/>
      <c r="AH56" s="62"/>
      <c r="AI56" s="62"/>
      <c r="AJ56" s="62"/>
      <c r="AK56" s="62"/>
    </row>
    <row r="57" spans="2:37" ht="12" customHeight="1">
      <c r="B57" s="13"/>
      <c r="C57" s="1"/>
      <c r="D57" s="84"/>
      <c r="E57" s="1"/>
      <c r="F57" s="1"/>
      <c r="G57" s="1"/>
      <c r="H57" s="1"/>
      <c r="I57" s="158"/>
      <c r="J57" s="158"/>
      <c r="K57" s="158"/>
      <c r="L57" s="158"/>
      <c r="M57" s="158"/>
      <c r="N57" s="1"/>
      <c r="P57" s="1"/>
      <c r="Q57" s="182"/>
      <c r="R57" s="182"/>
      <c r="S57" s="182"/>
      <c r="T57" s="182"/>
      <c r="U57" s="182"/>
      <c r="V57" s="1"/>
      <c r="W57" s="14"/>
      <c r="Y57" s="62"/>
      <c r="Z57" s="62"/>
      <c r="AA57" s="62"/>
      <c r="AB57" s="62"/>
      <c r="AC57" s="62"/>
      <c r="AD57" s="62"/>
      <c r="AE57" s="62"/>
      <c r="AF57" s="62"/>
      <c r="AG57" s="62"/>
      <c r="AH57" s="62"/>
      <c r="AI57" s="62"/>
      <c r="AJ57" s="62"/>
      <c r="AK57" s="62"/>
    </row>
    <row r="58" spans="2:37" ht="12" customHeight="1">
      <c r="B58" s="13"/>
      <c r="C58" s="1"/>
      <c r="D58" s="94"/>
      <c r="E58" s="3" t="str">
        <f>+geg!I14</f>
        <v>SOVSO</v>
      </c>
      <c r="F58" s="3" t="str">
        <f>+geg!I15</f>
        <v>ZMLK</v>
      </c>
      <c r="G58" s="94" t="s">
        <v>722</v>
      </c>
      <c r="H58" s="1"/>
      <c r="I58" s="158"/>
      <c r="J58" s="158"/>
      <c r="K58" s="158"/>
      <c r="L58" s="158"/>
      <c r="M58" s="158"/>
      <c r="N58" s="1"/>
      <c r="P58" s="1"/>
      <c r="Q58" s="182"/>
      <c r="R58" s="182"/>
      <c r="S58" s="182"/>
      <c r="T58" s="182"/>
      <c r="U58" s="182"/>
      <c r="V58" s="1"/>
      <c r="W58" s="14"/>
      <c r="Y58" s="62"/>
      <c r="Z58" s="62"/>
      <c r="AA58" s="62"/>
      <c r="AB58" s="62"/>
      <c r="AC58" s="62"/>
      <c r="AD58" s="62"/>
      <c r="AE58" s="62"/>
      <c r="AF58" s="62"/>
      <c r="AG58" s="62"/>
      <c r="AH58" s="62"/>
      <c r="AI58" s="62"/>
      <c r="AJ58" s="62"/>
      <c r="AK58" s="62"/>
    </row>
    <row r="59" spans="2:37" ht="12" customHeight="1">
      <c r="B59" s="13"/>
      <c r="C59" s="1"/>
      <c r="D59" s="91" t="s">
        <v>641</v>
      </c>
      <c r="E59" s="3"/>
      <c r="F59" s="3"/>
      <c r="G59" s="91"/>
      <c r="H59" s="1"/>
      <c r="I59" s="34">
        <f>ROUND(+Q59*geg!$I$26,2)</f>
        <v>72006.76</v>
      </c>
      <c r="J59" s="34">
        <f>ROUND(+R59*geg!$L$26,2)</f>
        <v>72006.76</v>
      </c>
      <c r="K59" s="34">
        <f>ROUND(+S59*geg!$L$26,2)</f>
        <v>72006.76</v>
      </c>
      <c r="L59" s="34">
        <f>ROUND(+T59*geg!$L$26,2)</f>
        <v>72006.76</v>
      </c>
      <c r="M59" s="34">
        <f>ROUND(+U59*geg!$L$26,2)</f>
        <v>72006.76</v>
      </c>
      <c r="N59" s="1"/>
      <c r="P59" s="1"/>
      <c r="Q59" s="33">
        <f>ROUND(IF(geg!I155=0,0,tabel!$B64),2)</f>
        <v>1.17</v>
      </c>
      <c r="R59" s="33">
        <f>ROUND(IF(geg!L155=0,0,tabel!$B64),2)</f>
        <v>1.17</v>
      </c>
      <c r="S59" s="33">
        <f>ROUND(IF(geg!O155=0,0,tabel!$B64),2)</f>
        <v>1.17</v>
      </c>
      <c r="T59" s="33">
        <f>ROUND(IF(geg!R155=0,0,tabel!$B64),2)</f>
        <v>1.17</v>
      </c>
      <c r="U59" s="33">
        <f>ROUND(IF(geg!U155=0,0,tabel!$B64),2)</f>
        <v>1.17</v>
      </c>
      <c r="V59" s="1"/>
      <c r="W59" s="14"/>
      <c r="Y59" s="62"/>
      <c r="Z59" s="62"/>
      <c r="AA59" s="62"/>
      <c r="AB59" s="62"/>
      <c r="AC59" s="62"/>
      <c r="AD59" s="62"/>
      <c r="AE59" s="62"/>
      <c r="AF59" s="62"/>
      <c r="AG59" s="62"/>
      <c r="AH59" s="62"/>
      <c r="AI59" s="62"/>
      <c r="AJ59" s="62"/>
      <c r="AK59" s="62"/>
    </row>
    <row r="60" spans="2:37" ht="12" customHeight="1">
      <c r="B60" s="13"/>
      <c r="C60" s="1"/>
      <c r="D60" s="91" t="s">
        <v>618</v>
      </c>
      <c r="E60" s="3"/>
      <c r="F60" s="3"/>
      <c r="G60" s="91"/>
      <c r="H60" s="1"/>
      <c r="I60" s="34">
        <f>+I16+I23+I30+I37+I44+I51</f>
        <v>346494.07</v>
      </c>
      <c r="J60" s="34">
        <f aca="true" t="shared" si="0" ref="J60:L61">+J16+J23+J30+J37+J44+J51</f>
        <v>346494.07</v>
      </c>
      <c r="K60" s="34">
        <f t="shared" si="0"/>
        <v>346494.07</v>
      </c>
      <c r="L60" s="34">
        <f t="shared" si="0"/>
        <v>346494.07</v>
      </c>
      <c r="M60" s="34">
        <f>+M16+M23+M30+M37+M44+M51</f>
        <v>346494.07</v>
      </c>
      <c r="N60" s="1"/>
      <c r="P60" s="1"/>
      <c r="Q60" s="33">
        <f>Q16+Q23+Q30+Q37+Q44+Q51</f>
        <v>5.63</v>
      </c>
      <c r="R60" s="33">
        <f aca="true" t="shared" si="1" ref="Q60:U61">+R16+R23+R30+R37+R44+R51</f>
        <v>5.63</v>
      </c>
      <c r="S60" s="33">
        <f t="shared" si="1"/>
        <v>5.63</v>
      </c>
      <c r="T60" s="33">
        <f t="shared" si="1"/>
        <v>5.63</v>
      </c>
      <c r="U60" s="33">
        <f t="shared" si="1"/>
        <v>5.63</v>
      </c>
      <c r="V60" s="1"/>
      <c r="W60" s="14"/>
      <c r="Y60" s="62"/>
      <c r="Z60" s="62"/>
      <c r="AA60" s="62"/>
      <c r="AB60" s="62"/>
      <c r="AC60" s="62"/>
      <c r="AD60" s="62"/>
      <c r="AE60" s="62"/>
      <c r="AF60" s="62"/>
      <c r="AG60" s="62"/>
      <c r="AH60" s="62"/>
      <c r="AI60" s="62"/>
      <c r="AJ60" s="62"/>
      <c r="AK60" s="62"/>
    </row>
    <row r="61" spans="2:37" ht="12" customHeight="1">
      <c r="B61" s="13"/>
      <c r="C61" s="1"/>
      <c r="D61" s="91" t="s">
        <v>619</v>
      </c>
      <c r="E61" s="3"/>
      <c r="F61" s="3"/>
      <c r="G61" s="91"/>
      <c r="H61" s="1"/>
      <c r="I61" s="34">
        <f>+I17+I24+I31+I38+I45+I52</f>
        <v>1324432.05</v>
      </c>
      <c r="J61" s="34">
        <f t="shared" si="0"/>
        <v>1324432.05</v>
      </c>
      <c r="K61" s="34">
        <f t="shared" si="0"/>
        <v>1324432.05</v>
      </c>
      <c r="L61" s="34">
        <f t="shared" si="0"/>
        <v>1324432.05</v>
      </c>
      <c r="M61" s="34">
        <f>+M17+M24+M31+M38+M45+M52</f>
        <v>1324432.05</v>
      </c>
      <c r="N61" s="1"/>
      <c r="P61" s="1"/>
      <c r="Q61" s="33">
        <f t="shared" si="1"/>
        <v>21.52</v>
      </c>
      <c r="R61" s="33">
        <f t="shared" si="1"/>
        <v>21.52</v>
      </c>
      <c r="S61" s="33">
        <f t="shared" si="1"/>
        <v>21.52</v>
      </c>
      <c r="T61" s="33">
        <f t="shared" si="1"/>
        <v>21.52</v>
      </c>
      <c r="U61" s="33">
        <f t="shared" si="1"/>
        <v>21.52</v>
      </c>
      <c r="V61" s="1"/>
      <c r="W61" s="14"/>
      <c r="Y61" s="62"/>
      <c r="Z61" s="62"/>
      <c r="AA61" s="62"/>
      <c r="AB61" s="62"/>
      <c r="AC61" s="62"/>
      <c r="AD61" s="62"/>
      <c r="AE61" s="62"/>
      <c r="AF61" s="62"/>
      <c r="AG61" s="62"/>
      <c r="AH61" s="62"/>
      <c r="AI61" s="62"/>
      <c r="AJ61" s="62"/>
      <c r="AK61" s="62"/>
    </row>
    <row r="62" spans="2:37" ht="12" customHeight="1">
      <c r="B62" s="13"/>
      <c r="C62" s="1"/>
      <c r="D62" s="91" t="s">
        <v>620</v>
      </c>
      <c r="E62" s="3"/>
      <c r="F62" s="3"/>
      <c r="G62" s="91"/>
      <c r="H62" s="1"/>
      <c r="I62" s="34">
        <f>ROUND(+Q62*geg!$I$26,2)</f>
        <v>0</v>
      </c>
      <c r="J62" s="34">
        <f>ROUND(+R62*geg!$L$26,2)</f>
        <v>0</v>
      </c>
      <c r="K62" s="34">
        <f>ROUND(+S62*geg!$L$26,2)</f>
        <v>0</v>
      </c>
      <c r="L62" s="34">
        <f>ROUND(+T62*geg!$L$26,2)</f>
        <v>0</v>
      </c>
      <c r="M62" s="34">
        <f>ROUND(+U62*geg!$L$26,2)</f>
        <v>0</v>
      </c>
      <c r="N62" s="1"/>
      <c r="P62" s="1"/>
      <c r="Q62" s="33">
        <f>ROUND(IF($E15="",0,IF((geg!J155-geg!I155)&gt;geg!$I$16/2,geg!J156,geg!I156)*(tabel!$B63)),2)</f>
        <v>0</v>
      </c>
      <c r="R62" s="33">
        <f>ROUND(IF($E15="",0,IF((geg!M155-geg!L155)&gt;geg!$I$16/2,geg!M156,geg!L156)*(tabel!$B63)),2)</f>
        <v>0</v>
      </c>
      <c r="S62" s="33">
        <f>ROUND(IF($E15="",0,IF((geg!P155-geg!O155)&gt;geg!$I$16/2,geg!P156,geg!O156)*(tabel!$B63)),2)</f>
        <v>0</v>
      </c>
      <c r="T62" s="33">
        <f>ROUND(IF($E15="",0,IF((geg!S155-geg!R155)&gt;geg!$I$16/2,geg!S156,geg!R156)*(tabel!$B63)),2)</f>
        <v>0</v>
      </c>
      <c r="U62" s="33">
        <f>ROUND(IF($E15="",0,IF((geg!V155-geg!U155)&gt;geg!$I$16/2,geg!V156,geg!U156)*(tabel!$B63)),2)</f>
        <v>0</v>
      </c>
      <c r="V62" s="1"/>
      <c r="W62" s="14"/>
      <c r="Y62" s="62"/>
      <c r="Z62" s="62"/>
      <c r="AA62" s="62"/>
      <c r="AB62" s="62"/>
      <c r="AC62" s="62"/>
      <c r="AD62" s="62"/>
      <c r="AE62" s="62"/>
      <c r="AF62" s="62"/>
      <c r="AG62" s="62"/>
      <c r="AH62" s="62"/>
      <c r="AI62" s="62"/>
      <c r="AJ62" s="62"/>
      <c r="AK62" s="62"/>
    </row>
    <row r="63" spans="2:37" ht="12" customHeight="1">
      <c r="B63" s="13"/>
      <c r="C63" s="1"/>
      <c r="D63" s="94" t="s">
        <v>643</v>
      </c>
      <c r="E63" s="87"/>
      <c r="F63" s="92" t="s">
        <v>642</v>
      </c>
      <c r="G63" s="92"/>
      <c r="H63" s="1"/>
      <c r="I63" s="34">
        <f>+I18+I25+I32+I39+I46+I53</f>
        <v>0</v>
      </c>
      <c r="J63" s="34">
        <f>+J18+J25+J32+J39+J46+J53</f>
        <v>0</v>
      </c>
      <c r="K63" s="34">
        <f>+K18+K25+K32+K39+K46+K53</f>
        <v>0</v>
      </c>
      <c r="L63" s="34">
        <f>+L18+L25+L32+L39+L46+L53</f>
        <v>0</v>
      </c>
      <c r="M63" s="34">
        <f>+M18+M25+M32+M39+M46+M53</f>
        <v>0</v>
      </c>
      <c r="N63" s="1"/>
      <c r="P63" s="1"/>
      <c r="Q63" s="33">
        <f aca="true" t="shared" si="2" ref="Q63:U65">+Q18+Q25+Q32+Q39+Q46+Q53</f>
        <v>0</v>
      </c>
      <c r="R63" s="33">
        <f t="shared" si="2"/>
        <v>0</v>
      </c>
      <c r="S63" s="33">
        <f t="shared" si="2"/>
        <v>0</v>
      </c>
      <c r="T63" s="33">
        <f t="shared" si="2"/>
        <v>0</v>
      </c>
      <c r="U63" s="33">
        <f t="shared" si="2"/>
        <v>0</v>
      </c>
      <c r="V63" s="1"/>
      <c r="W63" s="14"/>
      <c r="Y63" s="62"/>
      <c r="Z63" s="62"/>
      <c r="AA63" s="62"/>
      <c r="AB63" s="62"/>
      <c r="AC63" s="62"/>
      <c r="AD63" s="62"/>
      <c r="AE63" s="62"/>
      <c r="AF63" s="62"/>
      <c r="AG63" s="62"/>
      <c r="AH63" s="62"/>
      <c r="AI63" s="62"/>
      <c r="AJ63" s="62"/>
      <c r="AK63" s="62"/>
    </row>
    <row r="64" spans="2:37" ht="12" customHeight="1">
      <c r="B64" s="13"/>
      <c r="C64" s="1"/>
      <c r="D64" s="1"/>
      <c r="E64" s="3"/>
      <c r="F64" s="92" t="s">
        <v>644</v>
      </c>
      <c r="G64" s="92"/>
      <c r="H64" s="1"/>
      <c r="I64" s="34">
        <f aca="true" t="shared" si="3" ref="I64:L65">+I19+I26+I33+I40+I47+I54</f>
        <v>0</v>
      </c>
      <c r="J64" s="34">
        <f t="shared" si="3"/>
        <v>0</v>
      </c>
      <c r="K64" s="34">
        <f t="shared" si="3"/>
        <v>0</v>
      </c>
      <c r="L64" s="34">
        <f t="shared" si="3"/>
        <v>0</v>
      </c>
      <c r="M64" s="34">
        <f>+M19+M26+M33+M40+M47+M54</f>
        <v>0</v>
      </c>
      <c r="N64" s="1"/>
      <c r="P64" s="1"/>
      <c r="Q64" s="33">
        <f t="shared" si="2"/>
        <v>0</v>
      </c>
      <c r="R64" s="33">
        <f t="shared" si="2"/>
        <v>0</v>
      </c>
      <c r="S64" s="33">
        <f t="shared" si="2"/>
        <v>0</v>
      </c>
      <c r="T64" s="33">
        <f t="shared" si="2"/>
        <v>0</v>
      </c>
      <c r="U64" s="33">
        <f t="shared" si="2"/>
        <v>0</v>
      </c>
      <c r="V64" s="1"/>
      <c r="W64" s="14"/>
      <c r="Y64" s="62"/>
      <c r="Z64" s="62"/>
      <c r="AA64" s="62"/>
      <c r="AB64" s="62"/>
      <c r="AC64" s="62"/>
      <c r="AD64" s="62"/>
      <c r="AE64" s="62"/>
      <c r="AF64" s="62"/>
      <c r="AG64" s="62"/>
      <c r="AH64" s="62"/>
      <c r="AI64" s="62"/>
      <c r="AJ64" s="62"/>
      <c r="AK64" s="62"/>
    </row>
    <row r="65" spans="2:37" ht="12" customHeight="1">
      <c r="B65" s="13"/>
      <c r="C65" s="1"/>
      <c r="D65" s="1"/>
      <c r="E65" s="3"/>
      <c r="F65" s="92" t="s">
        <v>512</v>
      </c>
      <c r="G65" s="92"/>
      <c r="H65" s="1"/>
      <c r="I65" s="34">
        <f t="shared" si="3"/>
        <v>43080.97</v>
      </c>
      <c r="J65" s="34">
        <f t="shared" si="3"/>
        <v>43080.97</v>
      </c>
      <c r="K65" s="34">
        <f t="shared" si="3"/>
        <v>43080.97</v>
      </c>
      <c r="L65" s="34">
        <f t="shared" si="3"/>
        <v>43080.97</v>
      </c>
      <c r="M65" s="34">
        <f>+M20+M27+M34+M41+M48+M55</f>
        <v>43080.97</v>
      </c>
      <c r="N65" s="1"/>
      <c r="P65" s="1"/>
      <c r="Q65" s="33">
        <f t="shared" si="2"/>
        <v>0.7</v>
      </c>
      <c r="R65" s="33">
        <f t="shared" si="2"/>
        <v>0.7</v>
      </c>
      <c r="S65" s="33">
        <f t="shared" si="2"/>
        <v>0.7</v>
      </c>
      <c r="T65" s="33">
        <f t="shared" si="2"/>
        <v>0.7</v>
      </c>
      <c r="U65" s="33">
        <f t="shared" si="2"/>
        <v>0.7</v>
      </c>
      <c r="V65" s="1"/>
      <c r="W65" s="14"/>
      <c r="Y65" s="62"/>
      <c r="Z65" s="62"/>
      <c r="AA65" s="62"/>
      <c r="AB65" s="62"/>
      <c r="AC65" s="62"/>
      <c r="AD65" s="62"/>
      <c r="AE65" s="62"/>
      <c r="AF65" s="62"/>
      <c r="AG65" s="62"/>
      <c r="AH65" s="62"/>
      <c r="AI65" s="62"/>
      <c r="AJ65" s="62"/>
      <c r="AK65" s="62"/>
    </row>
    <row r="66" spans="2:37" ht="12" customHeight="1">
      <c r="B66" s="13"/>
      <c r="C66" s="1"/>
      <c r="D66" s="91" t="s">
        <v>622</v>
      </c>
      <c r="E66" s="1"/>
      <c r="F66" s="3"/>
      <c r="G66" s="91"/>
      <c r="H66" s="1"/>
      <c r="I66" s="34">
        <f>ROUND(+Q66*geg!$I$26,2)</f>
        <v>52928.05</v>
      </c>
      <c r="J66" s="34">
        <f>ROUND(+R66*geg!$L$26,2)</f>
        <v>52928.05</v>
      </c>
      <c r="K66" s="34">
        <f>ROUND(+S66*geg!$L$26,2)</f>
        <v>52928.05</v>
      </c>
      <c r="L66" s="34">
        <f>ROUND(+T66*geg!$L$26,2)</f>
        <v>52928.05</v>
      </c>
      <c r="M66" s="34">
        <f>ROUND(+U66*geg!$L$26,2)</f>
        <v>52928.05</v>
      </c>
      <c r="N66" s="1"/>
      <c r="P66" s="1"/>
      <c r="Q66" s="33">
        <f>ROUND((IF(geg!I38+geg!I40=0,0,IF(geg!I$155&lt;50,IF(geg!$E$183=1,2,1),IF(geg!$I$14="SOVSO",3,2))*tabel!$C$70)+tabel!C71)/IF(geg!$I23="ja",tabel!$C78,tabel!$C69),2)</f>
        <v>0.86</v>
      </c>
      <c r="R66" s="33">
        <f>ROUND((IF(geg!L38+geg!L40=0,0,IF(geg!L$155&lt;50,IF(geg!$E$183=1,2,1),IF(geg!$I$14="SOVSO",3,2))*tabel!$D$70)+tabel!D71)/IF(geg!$I23="ja",tabel!$C78,tabel!$C69),2)</f>
        <v>0.86</v>
      </c>
      <c r="S66" s="33">
        <f>ROUND((IF(geg!O38+geg!O40=0,0,IF(geg!O$155&lt;50,IF(geg!$E$183=1,2,1),IF(geg!$I$14="SOVSO",3,2))*tabel!$D$70)+tabel!D71)/IF(geg!$I23="ja",tabel!$C78,tabel!$C69),2)</f>
        <v>0.86</v>
      </c>
      <c r="T66" s="33">
        <f>ROUND((IF(geg!R38+geg!R40=0,0,IF(geg!R$155&lt;50,IF(geg!$E$183=1,2,1),IF(geg!$I$14="SOVSO",3,2))*tabel!$D$70)+tabel!D71)/IF(geg!$I23="ja",tabel!$C78,tabel!$C69),2)</f>
        <v>0.86</v>
      </c>
      <c r="U66" s="33">
        <f>ROUND((IF(geg!U38+geg!U40=0,0,IF(geg!U$155&lt;50,IF(geg!$E$183=1,2,1),IF(geg!$I$14="SOVSO",3,2))*tabel!$D$70)+tabel!D71)/IF(geg!$I23="ja",tabel!$C78,tabel!$C69),2)</f>
        <v>0.86</v>
      </c>
      <c r="V66" s="1"/>
      <c r="W66" s="14"/>
      <c r="Y66" s="62"/>
      <c r="Z66" s="62"/>
      <c r="AA66" s="62"/>
      <c r="AB66" s="62"/>
      <c r="AC66" s="62"/>
      <c r="AD66" s="62"/>
      <c r="AE66" s="62"/>
      <c r="AF66" s="62"/>
      <c r="AG66" s="62"/>
      <c r="AH66" s="62"/>
      <c r="AI66" s="62"/>
      <c r="AJ66" s="62"/>
      <c r="AK66" s="62"/>
    </row>
    <row r="67" spans="2:37" ht="12" customHeight="1">
      <c r="B67" s="13"/>
      <c r="C67" s="1"/>
      <c r="D67" s="92" t="s">
        <v>227</v>
      </c>
      <c r="E67" s="1"/>
      <c r="F67" s="3"/>
      <c r="G67" s="92"/>
      <c r="H67" s="1"/>
      <c r="I67" s="34">
        <f>+rugzak!G25</f>
        <v>69220.32</v>
      </c>
      <c r="J67" s="34">
        <f>+rugzak!G134</f>
        <v>69220.32</v>
      </c>
      <c r="K67" s="281">
        <f aca="true" t="shared" si="4" ref="K67:M68">+J67</f>
        <v>69220.32</v>
      </c>
      <c r="L67" s="281">
        <f t="shared" si="4"/>
        <v>69220.32</v>
      </c>
      <c r="M67" s="281">
        <f t="shared" si="4"/>
        <v>69220.32</v>
      </c>
      <c r="N67" s="1"/>
      <c r="P67" s="1"/>
      <c r="Q67" s="33">
        <f>ROUND(I67/IF(geg!$I23="ja",tabel!$C78,tabel!$C69),2)</f>
        <v>1.12</v>
      </c>
      <c r="R67" s="33">
        <f>ROUND(J67/IF(geg!$I23="ja",tabel!$C78,tabel!$C69),2)</f>
        <v>1.12</v>
      </c>
      <c r="S67" s="33">
        <f>ROUND(K67/IF(geg!$I23="ja",tabel!$C78,tabel!$C69),2)</f>
        <v>1.12</v>
      </c>
      <c r="T67" s="33">
        <f>ROUND(L67/IF(geg!$I23="ja",tabel!$C78,tabel!$C69),2)</f>
        <v>1.12</v>
      </c>
      <c r="U67" s="33">
        <f>ROUND(M67/IF(geg!$I23="ja",tabel!$C78,tabel!$C69),2)</f>
        <v>1.12</v>
      </c>
      <c r="V67" s="1"/>
      <c r="W67" s="14"/>
      <c r="Y67" s="62"/>
      <c r="Z67" s="62"/>
      <c r="AA67" s="62"/>
      <c r="AB67" s="62"/>
      <c r="AC67" s="62"/>
      <c r="AD67" s="62"/>
      <c r="AE67" s="62"/>
      <c r="AF67" s="62"/>
      <c r="AG67" s="62"/>
      <c r="AH67" s="62"/>
      <c r="AI67" s="62"/>
      <c r="AJ67" s="62"/>
      <c r="AK67" s="62"/>
    </row>
    <row r="68" spans="2:37" ht="12" customHeight="1">
      <c r="B68" s="13"/>
      <c r="C68" s="1"/>
      <c r="D68" s="92" t="s">
        <v>308</v>
      </c>
      <c r="E68" s="1"/>
      <c r="F68" s="3"/>
      <c r="G68" s="92"/>
      <c r="H68" s="1"/>
      <c r="I68" s="34">
        <f>+rugzak!G47</f>
        <v>43692.960000000014</v>
      </c>
      <c r="J68" s="34">
        <f>+rugzak!G155</f>
        <v>43692.960000000014</v>
      </c>
      <c r="K68" s="281">
        <f t="shared" si="4"/>
        <v>43692.960000000014</v>
      </c>
      <c r="L68" s="281">
        <f t="shared" si="4"/>
        <v>43692.960000000014</v>
      </c>
      <c r="M68" s="281">
        <f t="shared" si="4"/>
        <v>43692.960000000014</v>
      </c>
      <c r="N68" s="1"/>
      <c r="P68" s="1"/>
      <c r="Q68" s="33">
        <f>ROUND(I68/IF(geg!$I23="ja",tabel!$C78,tabel!$C69),2)</f>
        <v>0.71</v>
      </c>
      <c r="R68" s="33">
        <f>ROUND(J68/IF(geg!$I23="ja",tabel!$C78,tabel!$C69),2)</f>
        <v>0.71</v>
      </c>
      <c r="S68" s="33">
        <f>ROUND(K68/IF(geg!$I23="ja",tabel!$C78,tabel!$C69),2)</f>
        <v>0.71</v>
      </c>
      <c r="T68" s="33">
        <f>ROUND(L68/IF(geg!$I23="ja",tabel!$C78,tabel!$C69),2)</f>
        <v>0.71</v>
      </c>
      <c r="U68" s="33">
        <f>ROUND(M68/IF(geg!$I23="ja",tabel!$C78,tabel!$C69),2)</f>
        <v>0.71</v>
      </c>
      <c r="V68" s="1"/>
      <c r="W68" s="14"/>
      <c r="Y68" s="62"/>
      <c r="Z68" s="62"/>
      <c r="AA68" s="62"/>
      <c r="AB68" s="62"/>
      <c r="AC68" s="62"/>
      <c r="AD68" s="62"/>
      <c r="AE68" s="62"/>
      <c r="AF68" s="62"/>
      <c r="AG68" s="62"/>
      <c r="AH68" s="62"/>
      <c r="AI68" s="62"/>
      <c r="AJ68" s="62"/>
      <c r="AK68" s="62"/>
    </row>
    <row r="69" spans="2:37" ht="12" customHeight="1">
      <c r="B69" s="13"/>
      <c r="C69" s="1"/>
      <c r="D69" s="1" t="s">
        <v>3</v>
      </c>
      <c r="E69" s="1"/>
      <c r="F69" s="1"/>
      <c r="G69" s="1"/>
      <c r="H69" s="1"/>
      <c r="I69" s="34">
        <f>+rugzak!G80</f>
        <v>46154.039999999986</v>
      </c>
      <c r="J69" s="34">
        <f>+rugzak!G187</f>
        <v>46154.039999999986</v>
      </c>
      <c r="K69" s="281">
        <f aca="true" t="shared" si="5" ref="K69:M70">+J69</f>
        <v>46154.039999999986</v>
      </c>
      <c r="L69" s="281">
        <f t="shared" si="5"/>
        <v>46154.039999999986</v>
      </c>
      <c r="M69" s="281">
        <f t="shared" si="5"/>
        <v>46154.039999999986</v>
      </c>
      <c r="N69" s="1"/>
      <c r="P69" s="1"/>
      <c r="Q69" s="33">
        <f>I69/geg!$I$26</f>
        <v>0.7499327313165292</v>
      </c>
      <c r="R69" s="33">
        <f>J69/geg!$L$26</f>
        <v>0.7499327313165292</v>
      </c>
      <c r="S69" s="33">
        <f>K69/geg!$L$26</f>
        <v>0.7499327313165292</v>
      </c>
      <c r="T69" s="33">
        <f>L69/geg!$L$26</f>
        <v>0.7499327313165292</v>
      </c>
      <c r="U69" s="33">
        <f>M69/geg!$L$26</f>
        <v>0.7499327313165292</v>
      </c>
      <c r="V69" s="1"/>
      <c r="W69" s="14"/>
      <c r="Y69" s="62"/>
      <c r="Z69" s="62"/>
      <c r="AA69" s="62"/>
      <c r="AB69" s="62"/>
      <c r="AC69" s="62"/>
      <c r="AD69" s="62"/>
      <c r="AE69" s="62"/>
      <c r="AF69" s="62"/>
      <c r="AG69" s="62"/>
      <c r="AH69" s="62"/>
      <c r="AI69" s="62"/>
      <c r="AJ69" s="62"/>
      <c r="AK69" s="62"/>
    </row>
    <row r="70" spans="2:37" ht="12" customHeight="1">
      <c r="B70" s="13"/>
      <c r="C70" s="1"/>
      <c r="D70" s="1" t="s">
        <v>4</v>
      </c>
      <c r="E70" s="1"/>
      <c r="F70" s="1"/>
      <c r="G70" s="1"/>
      <c r="H70" s="1"/>
      <c r="I70" s="34">
        <f>+rugzak!G102</f>
        <v>30769.079999999998</v>
      </c>
      <c r="J70" s="34">
        <f>+rugzak!G208</f>
        <v>30769.079999999998</v>
      </c>
      <c r="K70" s="281">
        <f t="shared" si="5"/>
        <v>30769.079999999998</v>
      </c>
      <c r="L70" s="281">
        <f t="shared" si="5"/>
        <v>30769.079999999998</v>
      </c>
      <c r="M70" s="281">
        <f t="shared" si="5"/>
        <v>30769.079999999998</v>
      </c>
      <c r="N70" s="1"/>
      <c r="P70" s="1"/>
      <c r="Q70" s="33">
        <f>I70/geg!$I$26</f>
        <v>0.49995060463822444</v>
      </c>
      <c r="R70" s="33">
        <f>J70/geg!$L$26</f>
        <v>0.49995060463822444</v>
      </c>
      <c r="S70" s="33">
        <f>K70/geg!$L$26</f>
        <v>0.49995060463822444</v>
      </c>
      <c r="T70" s="33">
        <f>L70/geg!$L$26</f>
        <v>0.49995060463822444</v>
      </c>
      <c r="U70" s="33">
        <f>M70/geg!$L$26</f>
        <v>0.49995060463822444</v>
      </c>
      <c r="V70" s="1"/>
      <c r="W70" s="14"/>
      <c r="Y70" s="62"/>
      <c r="Z70" s="62"/>
      <c r="AA70" s="62"/>
      <c r="AB70" s="62"/>
      <c r="AC70" s="62"/>
      <c r="AD70" s="62"/>
      <c r="AE70" s="62"/>
      <c r="AF70" s="62"/>
      <c r="AG70" s="62"/>
      <c r="AH70" s="62"/>
      <c r="AI70" s="62"/>
      <c r="AJ70" s="62"/>
      <c r="AK70" s="62"/>
    </row>
    <row r="71" spans="2:23" s="127" customFormat="1" ht="12" customHeight="1">
      <c r="B71" s="194"/>
      <c r="C71" s="94"/>
      <c r="D71" s="150" t="s">
        <v>667</v>
      </c>
      <c r="E71" s="94"/>
      <c r="F71" s="94"/>
      <c r="G71" s="479"/>
      <c r="H71" s="94"/>
      <c r="I71" s="171">
        <f>SUM(I59:I70)</f>
        <v>2028778.3000000003</v>
      </c>
      <c r="J71" s="171">
        <f>SUM(J59:J70)</f>
        <v>2028778.3000000003</v>
      </c>
      <c r="K71" s="171">
        <f>SUM(K59:K70)</f>
        <v>2028778.3000000003</v>
      </c>
      <c r="L71" s="171">
        <f>SUM(L59:L70)</f>
        <v>2028778.3000000003</v>
      </c>
      <c r="M71" s="171">
        <f>SUM(M59:M70)</f>
        <v>2028778.3000000003</v>
      </c>
      <c r="N71" s="94"/>
      <c r="P71" s="94"/>
      <c r="Q71" s="436">
        <f>SUM(Q59:Q70)</f>
        <v>32.95988333595475</v>
      </c>
      <c r="R71" s="436">
        <f>SUM(R59:R70)</f>
        <v>32.95988333595475</v>
      </c>
      <c r="S71" s="436">
        <f>SUM(S59:S70)</f>
        <v>32.95988333595475</v>
      </c>
      <c r="T71" s="436">
        <f>SUM(T59:T70)</f>
        <v>32.95988333595475</v>
      </c>
      <c r="U71" s="436">
        <f>SUM(U59:U70)</f>
        <v>32.95988333595475</v>
      </c>
      <c r="V71" s="94"/>
      <c r="W71" s="196"/>
    </row>
    <row r="72" spans="2:37" ht="12" customHeight="1">
      <c r="B72" s="13"/>
      <c r="C72" s="1"/>
      <c r="D72" s="92"/>
      <c r="E72" s="1"/>
      <c r="F72" s="3"/>
      <c r="G72" s="92"/>
      <c r="H72" s="1"/>
      <c r="I72" s="158"/>
      <c r="J72" s="158"/>
      <c r="K72" s="158"/>
      <c r="L72" s="158"/>
      <c r="M72" s="158"/>
      <c r="N72" s="1"/>
      <c r="P72" s="1"/>
      <c r="Q72" s="184"/>
      <c r="R72" s="184"/>
      <c r="S72" s="184"/>
      <c r="T72" s="184"/>
      <c r="U72" s="184"/>
      <c r="V72" s="1"/>
      <c r="W72" s="14"/>
      <c r="Y72" s="62"/>
      <c r="Z72" s="62"/>
      <c r="AA72" s="62"/>
      <c r="AB72" s="62"/>
      <c r="AC72" s="62"/>
      <c r="AD72" s="62"/>
      <c r="AE72" s="62"/>
      <c r="AF72" s="62"/>
      <c r="AG72" s="62"/>
      <c r="AH72" s="62"/>
      <c r="AI72" s="62"/>
      <c r="AJ72" s="62"/>
      <c r="AK72" s="62"/>
    </row>
    <row r="73" spans="2:37" ht="12" customHeight="1">
      <c r="B73" s="13"/>
      <c r="D73" s="129"/>
      <c r="F73" s="36"/>
      <c r="G73" s="129"/>
      <c r="I73" s="134"/>
      <c r="J73" s="134"/>
      <c r="K73" s="134"/>
      <c r="L73" s="134"/>
      <c r="M73" s="134"/>
      <c r="Q73" s="185"/>
      <c r="R73" s="185"/>
      <c r="S73" s="185"/>
      <c r="T73" s="185"/>
      <c r="U73" s="185"/>
      <c r="W73" s="14"/>
      <c r="Y73" s="62"/>
      <c r="Z73" s="62"/>
      <c r="AA73" s="62"/>
      <c r="AB73" s="62"/>
      <c r="AC73" s="62"/>
      <c r="AD73" s="62"/>
      <c r="AE73" s="62"/>
      <c r="AF73" s="62"/>
      <c r="AG73" s="62"/>
      <c r="AH73" s="62"/>
      <c r="AI73" s="62"/>
      <c r="AJ73" s="62"/>
      <c r="AK73" s="62"/>
    </row>
    <row r="74" spans="2:37" ht="12" customHeight="1" thickBot="1">
      <c r="B74" s="48"/>
      <c r="C74" s="49"/>
      <c r="D74" s="167"/>
      <c r="E74" s="49"/>
      <c r="F74" s="72"/>
      <c r="G74" s="167"/>
      <c r="H74" s="49"/>
      <c r="I74" s="172"/>
      <c r="J74" s="172"/>
      <c r="K74" s="172"/>
      <c r="L74" s="172"/>
      <c r="M74" s="172"/>
      <c r="N74" s="49"/>
      <c r="O74" s="49"/>
      <c r="P74" s="49"/>
      <c r="Q74" s="188"/>
      <c r="R74" s="188"/>
      <c r="S74" s="188"/>
      <c r="T74" s="188"/>
      <c r="U74" s="188"/>
      <c r="V74" s="49"/>
      <c r="W74" s="51"/>
      <c r="Y74" s="62"/>
      <c r="Z74" s="62"/>
      <c r="AA74" s="62"/>
      <c r="AB74" s="62"/>
      <c r="AC74" s="62"/>
      <c r="AD74" s="62"/>
      <c r="AE74" s="62"/>
      <c r="AF74" s="62"/>
      <c r="AG74" s="62"/>
      <c r="AH74" s="62"/>
      <c r="AI74" s="62"/>
      <c r="AJ74" s="62"/>
      <c r="AK74" s="62"/>
    </row>
    <row r="75" spans="2:37" ht="12" customHeight="1">
      <c r="B75" s="9"/>
      <c r="C75" s="10"/>
      <c r="D75" s="168"/>
      <c r="E75" s="10"/>
      <c r="F75" s="78"/>
      <c r="G75" s="168"/>
      <c r="H75" s="10"/>
      <c r="I75" s="173"/>
      <c r="J75" s="173"/>
      <c r="K75" s="173"/>
      <c r="L75" s="173"/>
      <c r="M75" s="173"/>
      <c r="N75" s="10"/>
      <c r="O75" s="10"/>
      <c r="P75" s="10"/>
      <c r="Q75" s="189"/>
      <c r="R75" s="189"/>
      <c r="S75" s="189"/>
      <c r="T75" s="189"/>
      <c r="U75" s="189"/>
      <c r="V75" s="10"/>
      <c r="W75" s="12"/>
      <c r="Y75" s="62"/>
      <c r="Z75" s="62"/>
      <c r="AA75" s="62"/>
      <c r="AB75" s="62"/>
      <c r="AC75" s="62"/>
      <c r="AD75" s="62"/>
      <c r="AE75" s="62"/>
      <c r="AF75" s="62"/>
      <c r="AG75" s="62"/>
      <c r="AH75" s="62"/>
      <c r="AI75" s="62"/>
      <c r="AJ75" s="62"/>
      <c r="AK75" s="62"/>
    </row>
    <row r="76" spans="2:37" ht="12" customHeight="1">
      <c r="B76" s="13"/>
      <c r="D76" s="129"/>
      <c r="F76" s="36"/>
      <c r="G76" s="129"/>
      <c r="I76" s="134"/>
      <c r="J76" s="134"/>
      <c r="K76" s="134"/>
      <c r="L76" s="134"/>
      <c r="M76" s="134"/>
      <c r="Q76" s="185"/>
      <c r="R76" s="185"/>
      <c r="S76" s="185"/>
      <c r="T76" s="185"/>
      <c r="U76" s="185"/>
      <c r="W76" s="14"/>
      <c r="Y76" s="62"/>
      <c r="Z76" s="62"/>
      <c r="AA76" s="62"/>
      <c r="AB76" s="62"/>
      <c r="AC76" s="62"/>
      <c r="AD76" s="62"/>
      <c r="AE76" s="62"/>
      <c r="AF76" s="62"/>
      <c r="AG76" s="62"/>
      <c r="AH76" s="62"/>
      <c r="AI76" s="62"/>
      <c r="AJ76" s="62"/>
      <c r="AK76" s="62"/>
    </row>
    <row r="77" spans="2:37" ht="18">
      <c r="B77" s="13"/>
      <c r="C77" s="123" t="s">
        <v>243</v>
      </c>
      <c r="D77" s="7"/>
      <c r="P77" s="123"/>
      <c r="W77" s="14"/>
      <c r="Y77" s="62"/>
      <c r="Z77" s="62"/>
      <c r="AA77" s="62"/>
      <c r="AB77" s="62"/>
      <c r="AC77" s="62"/>
      <c r="AD77" s="62"/>
      <c r="AE77" s="62"/>
      <c r="AF77" s="62"/>
      <c r="AG77" s="62"/>
      <c r="AH77" s="62"/>
      <c r="AI77" s="62"/>
      <c r="AJ77" s="62"/>
      <c r="AK77" s="62"/>
    </row>
    <row r="78" spans="2:37" ht="12" customHeight="1">
      <c r="B78" s="13"/>
      <c r="D78" s="129"/>
      <c r="F78" s="36"/>
      <c r="G78" s="129"/>
      <c r="I78" s="134"/>
      <c r="J78" s="134"/>
      <c r="K78" s="134"/>
      <c r="L78" s="134"/>
      <c r="M78" s="134"/>
      <c r="Q78" s="185"/>
      <c r="R78" s="185"/>
      <c r="S78" s="185"/>
      <c r="T78" s="185"/>
      <c r="U78" s="185"/>
      <c r="W78" s="14"/>
      <c r="Y78" s="62"/>
      <c r="Z78" s="62"/>
      <c r="AA78" s="62"/>
      <c r="AB78" s="62"/>
      <c r="AC78" s="62"/>
      <c r="AD78" s="62"/>
      <c r="AE78" s="62"/>
      <c r="AF78" s="62"/>
      <c r="AG78" s="62"/>
      <c r="AH78" s="62"/>
      <c r="AI78" s="62"/>
      <c r="AJ78" s="62"/>
      <c r="AK78" s="62"/>
    </row>
    <row r="79" spans="2:37" ht="12" customHeight="1">
      <c r="B79" s="13"/>
      <c r="D79" s="129"/>
      <c r="F79" s="36"/>
      <c r="G79" s="129"/>
      <c r="I79" s="134"/>
      <c r="J79" s="134"/>
      <c r="K79" s="134"/>
      <c r="L79" s="134"/>
      <c r="M79" s="134"/>
      <c r="Q79" s="185"/>
      <c r="R79" s="185"/>
      <c r="S79" s="185"/>
      <c r="T79" s="185"/>
      <c r="U79" s="185"/>
      <c r="W79" s="14"/>
      <c r="Y79" s="62"/>
      <c r="Z79" s="62"/>
      <c r="AA79" s="62"/>
      <c r="AB79" s="62"/>
      <c r="AC79" s="62"/>
      <c r="AD79" s="62"/>
      <c r="AE79" s="62"/>
      <c r="AF79" s="62"/>
      <c r="AG79" s="62"/>
      <c r="AH79" s="62"/>
      <c r="AI79" s="62"/>
      <c r="AJ79" s="62"/>
      <c r="AK79" s="62"/>
    </row>
    <row r="80" spans="2:37" ht="12" customHeight="1">
      <c r="B80" s="13"/>
      <c r="D80" s="129"/>
      <c r="F80" s="36"/>
      <c r="G80" s="129"/>
      <c r="I80" s="541" t="s">
        <v>739</v>
      </c>
      <c r="J80" s="541"/>
      <c r="K80" s="541"/>
      <c r="L80" s="541"/>
      <c r="M80" s="174"/>
      <c r="Q80" s="542" t="s">
        <v>124</v>
      </c>
      <c r="R80" s="542"/>
      <c r="S80" s="542"/>
      <c r="T80" s="542"/>
      <c r="U80" s="190"/>
      <c r="W80" s="14"/>
      <c r="Y80" s="62"/>
      <c r="Z80" s="62"/>
      <c r="AA80" s="62"/>
      <c r="AB80" s="62"/>
      <c r="AC80" s="62"/>
      <c r="AD80" s="62"/>
      <c r="AE80" s="62"/>
      <c r="AF80" s="62"/>
      <c r="AG80" s="62"/>
      <c r="AH80" s="62"/>
      <c r="AI80" s="62"/>
      <c r="AJ80" s="62"/>
      <c r="AK80" s="62"/>
    </row>
    <row r="81" spans="2:37" ht="12" customHeight="1">
      <c r="B81" s="13"/>
      <c r="D81" s="129"/>
      <c r="F81" s="36"/>
      <c r="G81" s="129"/>
      <c r="I81" s="329" t="str">
        <f>I8</f>
        <v>2009/10</v>
      </c>
      <c r="J81" s="329" t="str">
        <f>J8</f>
        <v>2010/11</v>
      </c>
      <c r="K81" s="329" t="str">
        <f>K8</f>
        <v>2011/12</v>
      </c>
      <c r="L81" s="329" t="str">
        <f>L8</f>
        <v>2012/13</v>
      </c>
      <c r="M81" s="329" t="str">
        <f>M8</f>
        <v>2013/14</v>
      </c>
      <c r="Q81" s="190" t="str">
        <f>I81</f>
        <v>2009/10</v>
      </c>
      <c r="R81" s="190" t="str">
        <f>J81</f>
        <v>2010/11</v>
      </c>
      <c r="S81" s="190" t="str">
        <f>K81</f>
        <v>2011/12</v>
      </c>
      <c r="T81" s="190" t="str">
        <f>L81</f>
        <v>2012/13</v>
      </c>
      <c r="U81" s="190" t="str">
        <f>M81</f>
        <v>2013/14</v>
      </c>
      <c r="W81" s="14"/>
      <c r="Y81" s="62"/>
      <c r="Z81" s="62"/>
      <c r="AA81" s="62"/>
      <c r="AB81" s="62"/>
      <c r="AC81" s="62"/>
      <c r="AD81" s="62"/>
      <c r="AE81" s="62"/>
      <c r="AF81" s="62"/>
      <c r="AG81" s="62"/>
      <c r="AH81" s="62"/>
      <c r="AI81" s="62"/>
      <c r="AJ81" s="62"/>
      <c r="AK81" s="62"/>
    </row>
    <row r="82" spans="2:37" ht="12" customHeight="1">
      <c r="B82" s="13"/>
      <c r="D82" s="129"/>
      <c r="F82" s="36"/>
      <c r="G82" s="129"/>
      <c r="I82" s="134"/>
      <c r="J82" s="134"/>
      <c r="K82" s="134"/>
      <c r="L82" s="134"/>
      <c r="M82" s="134"/>
      <c r="Q82" s="185"/>
      <c r="R82" s="185"/>
      <c r="S82" s="185"/>
      <c r="T82" s="185"/>
      <c r="U82" s="185"/>
      <c r="W82" s="14"/>
      <c r="Y82" s="62"/>
      <c r="Z82" s="62"/>
      <c r="AA82" s="62"/>
      <c r="AB82" s="62"/>
      <c r="AC82" s="62"/>
      <c r="AD82" s="62"/>
      <c r="AE82" s="62"/>
      <c r="AF82" s="62"/>
      <c r="AG82" s="62"/>
      <c r="AH82" s="62"/>
      <c r="AI82" s="62"/>
      <c r="AJ82" s="62"/>
      <c r="AK82" s="62"/>
    </row>
    <row r="83" spans="2:37" ht="12" customHeight="1">
      <c r="B83" s="13"/>
      <c r="C83" s="1"/>
      <c r="D83" s="92"/>
      <c r="E83" s="1"/>
      <c r="F83" s="3"/>
      <c r="G83" s="92"/>
      <c r="H83" s="1"/>
      <c r="I83" s="158"/>
      <c r="J83" s="158"/>
      <c r="K83" s="158"/>
      <c r="L83" s="158"/>
      <c r="M83" s="158"/>
      <c r="N83" s="1"/>
      <c r="P83" s="1"/>
      <c r="Q83" s="184"/>
      <c r="R83" s="184"/>
      <c r="S83" s="184"/>
      <c r="T83" s="184"/>
      <c r="U83" s="184"/>
      <c r="V83" s="1"/>
      <c r="W83" s="14"/>
      <c r="Y83" s="62"/>
      <c r="Z83" s="62"/>
      <c r="AA83" s="62"/>
      <c r="AB83" s="62"/>
      <c r="AC83" s="62"/>
      <c r="AD83" s="62"/>
      <c r="AE83" s="62"/>
      <c r="AF83" s="62"/>
      <c r="AG83" s="62"/>
      <c r="AH83" s="62"/>
      <c r="AI83" s="62"/>
      <c r="AJ83" s="62"/>
      <c r="AK83" s="62"/>
    </row>
    <row r="84" spans="2:37" ht="12" customHeight="1">
      <c r="B84" s="13"/>
      <c r="C84" s="1"/>
      <c r="D84" s="150" t="s">
        <v>117</v>
      </c>
      <c r="E84" s="1"/>
      <c r="F84" s="3"/>
      <c r="G84" s="150"/>
      <c r="H84" s="1"/>
      <c r="I84" s="158"/>
      <c r="J84" s="158"/>
      <c r="K84" s="158"/>
      <c r="L84" s="158"/>
      <c r="M84" s="158"/>
      <c r="N84" s="1"/>
      <c r="P84" s="1"/>
      <c r="Q84" s="182"/>
      <c r="R84" s="182"/>
      <c r="S84" s="182"/>
      <c r="T84" s="182"/>
      <c r="U84" s="182"/>
      <c r="V84" s="154"/>
      <c r="W84" s="14"/>
      <c r="Y84" s="62"/>
      <c r="Z84" s="62"/>
      <c r="AA84" s="62"/>
      <c r="AB84" s="62"/>
      <c r="AC84" s="62"/>
      <c r="AD84" s="62"/>
      <c r="AE84" s="62"/>
      <c r="AF84" s="62"/>
      <c r="AG84" s="62"/>
      <c r="AH84" s="62"/>
      <c r="AI84" s="62"/>
      <c r="AJ84" s="62"/>
      <c r="AK84" s="62"/>
    </row>
    <row r="85" spans="2:37" ht="12" customHeight="1">
      <c r="B85" s="13"/>
      <c r="C85" s="1"/>
      <c r="D85" s="150"/>
      <c r="E85" s="1"/>
      <c r="F85" s="3"/>
      <c r="G85" s="150"/>
      <c r="H85" s="1"/>
      <c r="I85" s="158"/>
      <c r="J85" s="158"/>
      <c r="K85" s="158"/>
      <c r="L85" s="158"/>
      <c r="M85" s="158"/>
      <c r="N85" s="1"/>
      <c r="P85" s="1"/>
      <c r="Q85" s="182"/>
      <c r="R85" s="182"/>
      <c r="S85" s="182"/>
      <c r="T85" s="182"/>
      <c r="U85" s="182"/>
      <c r="V85" s="154"/>
      <c r="W85" s="14"/>
      <c r="Y85" s="62"/>
      <c r="Z85" s="62"/>
      <c r="AA85" s="62"/>
      <c r="AB85" s="62"/>
      <c r="AC85" s="62"/>
      <c r="AD85" s="62"/>
      <c r="AE85" s="62"/>
      <c r="AF85" s="62"/>
      <c r="AG85" s="62"/>
      <c r="AH85" s="62"/>
      <c r="AI85" s="62"/>
      <c r="AJ85" s="62"/>
      <c r="AK85" s="62"/>
    </row>
    <row r="86" spans="2:37" ht="12" customHeight="1">
      <c r="B86" s="13"/>
      <c r="C86" s="1"/>
      <c r="D86" s="91" t="s">
        <v>208</v>
      </c>
      <c r="E86" s="1"/>
      <c r="F86" s="3"/>
      <c r="G86" s="321">
        <v>-0.06</v>
      </c>
      <c r="H86" s="1"/>
      <c r="I86" s="156">
        <f>IF(G86&lt;0%,IF((+G86+tabel!C223)&lt;0%,(G86+tabel!C223),0),IF((G86-tabel!C222)&gt;0%,(G86-tabel!C222),0))</f>
        <v>-0.009999999999999995</v>
      </c>
      <c r="J86" s="467"/>
      <c r="K86" s="467"/>
      <c r="L86" s="158"/>
      <c r="M86" s="158"/>
      <c r="N86" s="154"/>
      <c r="O86" s="132"/>
      <c r="P86" s="154"/>
      <c r="Q86" s="156">
        <f>I86</f>
        <v>-0.009999999999999995</v>
      </c>
      <c r="R86" s="467"/>
      <c r="S86" s="467"/>
      <c r="T86" s="181"/>
      <c r="U86" s="181"/>
      <c r="V86" s="154"/>
      <c r="W86" s="14"/>
      <c r="Y86" s="62"/>
      <c r="Z86" s="62"/>
      <c r="AA86" s="62"/>
      <c r="AB86" s="62"/>
      <c r="AC86" s="62"/>
      <c r="AD86" s="62"/>
      <c r="AE86" s="62"/>
      <c r="AF86" s="62"/>
      <c r="AG86" s="62"/>
      <c r="AH86" s="62"/>
      <c r="AI86" s="62"/>
      <c r="AJ86" s="62"/>
      <c r="AK86" s="62"/>
    </row>
    <row r="87" spans="2:37" ht="12" customHeight="1">
      <c r="B87" s="13"/>
      <c r="C87" s="1"/>
      <c r="D87" s="92" t="s">
        <v>744</v>
      </c>
      <c r="E87" s="1"/>
      <c r="F87" s="3"/>
      <c r="G87" s="1"/>
      <c r="H87" s="1"/>
      <c r="I87" s="177">
        <f>ROUND(+Q87*IF(geg!$I$23="ja",tabel!$C$78,tabel!$C$69),2)</f>
        <v>-18389.42</v>
      </c>
      <c r="J87" s="170"/>
      <c r="K87" s="170"/>
      <c r="L87" s="158"/>
      <c r="M87" s="158"/>
      <c r="N87" s="1"/>
      <c r="P87" s="1"/>
      <c r="Q87" s="33">
        <f>(+Q71-SUM(Q67:Q70))*Q86</f>
        <v>-0.2987999999999998</v>
      </c>
      <c r="R87" s="182"/>
      <c r="S87" s="182"/>
      <c r="T87" s="181"/>
      <c r="U87" s="181"/>
      <c r="V87" s="1"/>
      <c r="W87" s="14"/>
      <c r="X87" s="320"/>
      <c r="Y87" s="62"/>
      <c r="Z87" s="62"/>
      <c r="AA87" s="62"/>
      <c r="AB87" s="62"/>
      <c r="AC87" s="62"/>
      <c r="AD87" s="62"/>
      <c r="AE87" s="62"/>
      <c r="AF87" s="62"/>
      <c r="AG87" s="62"/>
      <c r="AH87" s="62"/>
      <c r="AI87" s="62"/>
      <c r="AJ87" s="62"/>
      <c r="AK87" s="62"/>
    </row>
    <row r="88" spans="2:37" ht="12" customHeight="1">
      <c r="B88" s="13"/>
      <c r="C88" s="1"/>
      <c r="D88" s="92"/>
      <c r="E88" s="1"/>
      <c r="F88" s="3"/>
      <c r="G88" s="92"/>
      <c r="H88" s="1"/>
      <c r="I88" s="158"/>
      <c r="J88" s="158"/>
      <c r="K88" s="158"/>
      <c r="L88" s="158"/>
      <c r="M88" s="158"/>
      <c r="N88" s="1"/>
      <c r="P88" s="1"/>
      <c r="Q88" s="187"/>
      <c r="R88" s="187"/>
      <c r="S88" s="187"/>
      <c r="T88" s="187"/>
      <c r="U88" s="187"/>
      <c r="V88" s="1"/>
      <c r="W88" s="14"/>
      <c r="Y88" s="62"/>
      <c r="Z88" s="62"/>
      <c r="AA88" s="62"/>
      <c r="AB88" s="62"/>
      <c r="AC88" s="62"/>
      <c r="AD88" s="62"/>
      <c r="AE88" s="62"/>
      <c r="AF88" s="62"/>
      <c r="AG88" s="62"/>
      <c r="AH88" s="62"/>
      <c r="AI88" s="62"/>
      <c r="AJ88" s="62"/>
      <c r="AK88" s="62"/>
    </row>
    <row r="89" spans="2:37" ht="12" customHeight="1">
      <c r="B89" s="13"/>
      <c r="C89" s="1"/>
      <c r="D89" s="1"/>
      <c r="E89" s="1"/>
      <c r="F89" s="1"/>
      <c r="G89" s="1"/>
      <c r="H89" s="1"/>
      <c r="I89" s="158"/>
      <c r="J89" s="158"/>
      <c r="K89" s="158"/>
      <c r="L89" s="158"/>
      <c r="M89" s="158"/>
      <c r="N89" s="1"/>
      <c r="P89" s="1"/>
      <c r="Q89" s="182"/>
      <c r="R89" s="182"/>
      <c r="S89" s="182"/>
      <c r="T89" s="182"/>
      <c r="U89" s="182"/>
      <c r="V89" s="1"/>
      <c r="W89" s="14"/>
      <c r="Y89" s="62"/>
      <c r="Z89" s="62"/>
      <c r="AA89" s="62"/>
      <c r="AB89" s="62"/>
      <c r="AC89" s="62"/>
      <c r="AD89" s="62"/>
      <c r="AE89" s="62"/>
      <c r="AF89" s="62"/>
      <c r="AG89" s="62"/>
      <c r="AH89" s="62"/>
      <c r="AI89" s="62"/>
      <c r="AJ89" s="62"/>
      <c r="AK89" s="62"/>
    </row>
    <row r="90" spans="2:37" ht="12" customHeight="1">
      <c r="B90" s="13"/>
      <c r="C90" s="1"/>
      <c r="D90" s="150" t="s">
        <v>711</v>
      </c>
      <c r="E90" s="1"/>
      <c r="F90" s="3"/>
      <c r="G90" s="92"/>
      <c r="H90" s="1"/>
      <c r="I90" s="158"/>
      <c r="J90" s="158"/>
      <c r="K90" s="158"/>
      <c r="L90" s="158"/>
      <c r="M90" s="158"/>
      <c r="N90" s="1"/>
      <c r="P90" s="1"/>
      <c r="Q90" s="187"/>
      <c r="R90" s="187"/>
      <c r="S90" s="187"/>
      <c r="T90" s="187"/>
      <c r="U90" s="187"/>
      <c r="V90" s="1"/>
      <c r="W90" s="14"/>
      <c r="Y90" s="62"/>
      <c r="Z90" s="62"/>
      <c r="AA90" s="62"/>
      <c r="AB90" s="62"/>
      <c r="AC90" s="62"/>
      <c r="AD90" s="62"/>
      <c r="AE90" s="62"/>
      <c r="AF90" s="62"/>
      <c r="AG90" s="62"/>
      <c r="AH90" s="62"/>
      <c r="AI90" s="62"/>
      <c r="AJ90" s="62"/>
      <c r="AK90" s="62"/>
    </row>
    <row r="91" spans="2:37" ht="12" customHeight="1">
      <c r="B91" s="13"/>
      <c r="C91" s="1"/>
      <c r="D91" s="150"/>
      <c r="E91" s="1"/>
      <c r="F91" s="3"/>
      <c r="G91" s="92"/>
      <c r="H91" s="1"/>
      <c r="I91" s="158"/>
      <c r="J91" s="158"/>
      <c r="K91" s="158"/>
      <c r="L91" s="158"/>
      <c r="M91" s="158"/>
      <c r="N91" s="1"/>
      <c r="P91" s="1"/>
      <c r="Q91" s="187"/>
      <c r="R91" s="187"/>
      <c r="S91" s="187"/>
      <c r="T91" s="187"/>
      <c r="U91" s="187"/>
      <c r="V91" s="1"/>
      <c r="W91" s="14"/>
      <c r="Y91" s="62"/>
      <c r="Z91" s="62"/>
      <c r="AA91" s="62"/>
      <c r="AB91" s="62"/>
      <c r="AC91" s="62"/>
      <c r="AD91" s="62"/>
      <c r="AE91" s="62"/>
      <c r="AF91" s="62"/>
      <c r="AG91" s="62"/>
      <c r="AH91" s="62"/>
      <c r="AI91" s="62"/>
      <c r="AJ91" s="62"/>
      <c r="AK91" s="62"/>
    </row>
    <row r="92" spans="2:37" ht="12" customHeight="1">
      <c r="B92" s="13"/>
      <c r="C92" s="1"/>
      <c r="D92" s="1" t="s">
        <v>522</v>
      </c>
      <c r="E92" s="1"/>
      <c r="F92" s="85"/>
      <c r="G92" s="27">
        <v>1</v>
      </c>
      <c r="H92" s="1"/>
      <c r="I92" s="34">
        <f>ROUND(+Q92*IF(geg!$I$23="ja",tabel!$C$78,tabel!$C$69),2)</f>
        <v>30772.12</v>
      </c>
      <c r="J92" s="34">
        <f>ROUND(+R92*IF(geg!$I$23="ja",tabel!$C$78,tabel!$C$69),2)</f>
        <v>30772.12</v>
      </c>
      <c r="K92" s="34">
        <f>ROUND(+S92*IF(geg!$I$23="ja",tabel!$C$78,tabel!$C$69),2)</f>
        <v>30772.12</v>
      </c>
      <c r="L92" s="34">
        <f>ROUND(+T92*IF(geg!$I$23="ja",tabel!$C$78,tabel!$C$69),2)</f>
        <v>30772.12</v>
      </c>
      <c r="M92" s="34">
        <f>ROUND(+U92*IF(geg!$I$23="ja",tabel!$C$78,tabel!$C$69),2)</f>
        <v>30772.12</v>
      </c>
      <c r="N92" s="1"/>
      <c r="P92" s="1"/>
      <c r="Q92" s="33">
        <f>ROUND(IF(G92=0,0,+tabel!C140+G92*tabel!C141)/IF(geg!$I23="ja",tabel!$C78,tabel!$C69),2)</f>
        <v>0.5</v>
      </c>
      <c r="R92" s="33">
        <f aca="true" t="shared" si="6" ref="R92:U93">+Q92</f>
        <v>0.5</v>
      </c>
      <c r="S92" s="33">
        <f t="shared" si="6"/>
        <v>0.5</v>
      </c>
      <c r="T92" s="33">
        <f t="shared" si="6"/>
        <v>0.5</v>
      </c>
      <c r="U92" s="33">
        <f t="shared" si="6"/>
        <v>0.5</v>
      </c>
      <c r="V92" s="1"/>
      <c r="W92" s="14"/>
      <c r="Y92" s="62"/>
      <c r="Z92" s="62"/>
      <c r="AA92" s="62"/>
      <c r="AB92" s="62"/>
      <c r="AC92" s="62"/>
      <c r="AD92" s="62"/>
      <c r="AE92" s="62"/>
      <c r="AF92" s="62"/>
      <c r="AG92" s="62"/>
      <c r="AH92" s="62"/>
      <c r="AI92" s="62"/>
      <c r="AJ92" s="62"/>
      <c r="AK92" s="62"/>
    </row>
    <row r="93" spans="2:37" ht="12" customHeight="1">
      <c r="B93" s="13"/>
      <c r="C93" s="1"/>
      <c r="D93" s="1" t="s">
        <v>523</v>
      </c>
      <c r="E93" s="1"/>
      <c r="F93" s="85"/>
      <c r="G93" s="27">
        <v>1</v>
      </c>
      <c r="H93" s="1"/>
      <c r="I93" s="34">
        <f>ROUND(+Q93*IF(geg!$I$23="ja",tabel!$C$78,tabel!$C$69),2)</f>
        <v>30772.12</v>
      </c>
      <c r="J93" s="34">
        <f>ROUND(+R93*IF(geg!$I$23="ja",tabel!$C$78,tabel!$C$69),2)</f>
        <v>30772.12</v>
      </c>
      <c r="K93" s="34">
        <f>ROUND(+S93*IF(geg!$I$23="ja",tabel!$C$78,tabel!$C$69),2)</f>
        <v>30772.12</v>
      </c>
      <c r="L93" s="34">
        <f>ROUND(+T93*IF(geg!$I$23="ja",tabel!$C$78,tabel!$C$69),2)</f>
        <v>30772.12</v>
      </c>
      <c r="M93" s="34">
        <f>ROUND(+U93*IF(geg!$I$23="ja",tabel!$C$78,tabel!$C$69),2)</f>
        <v>30772.12</v>
      </c>
      <c r="N93" s="1"/>
      <c r="P93" s="1"/>
      <c r="Q93" s="33">
        <f>ROUND(IF(G93=0,0,+tabel!C140+G93*tabel!C141)/IF(geg!$I23="ja",tabel!$C78,tabel!$C69),2)</f>
        <v>0.5</v>
      </c>
      <c r="R93" s="33">
        <f t="shared" si="6"/>
        <v>0.5</v>
      </c>
      <c r="S93" s="33">
        <f t="shared" si="6"/>
        <v>0.5</v>
      </c>
      <c r="T93" s="33">
        <f t="shared" si="6"/>
        <v>0.5</v>
      </c>
      <c r="U93" s="33">
        <f t="shared" si="6"/>
        <v>0.5</v>
      </c>
      <c r="V93" s="1"/>
      <c r="W93" s="14"/>
      <c r="Y93" s="62"/>
      <c r="Z93" s="62"/>
      <c r="AA93" s="62"/>
      <c r="AB93" s="62"/>
      <c r="AC93" s="62"/>
      <c r="AD93" s="62"/>
      <c r="AE93" s="62"/>
      <c r="AF93" s="62"/>
      <c r="AG93" s="62"/>
      <c r="AH93" s="62"/>
      <c r="AI93" s="62"/>
      <c r="AJ93" s="62"/>
      <c r="AK93" s="62"/>
    </row>
    <row r="94" spans="2:23" s="127" customFormat="1" ht="12" customHeight="1">
      <c r="B94" s="194"/>
      <c r="C94" s="94"/>
      <c r="D94" s="150" t="s">
        <v>667</v>
      </c>
      <c r="E94" s="94"/>
      <c r="F94" s="94"/>
      <c r="G94" s="151"/>
      <c r="H94" s="94"/>
      <c r="I94" s="195">
        <f>SUM(I92:I93)</f>
        <v>61544.24</v>
      </c>
      <c r="J94" s="195">
        <f>SUM(J92:J93)</f>
        <v>61544.24</v>
      </c>
      <c r="K94" s="195">
        <f>SUM(K92:K93)</f>
        <v>61544.24</v>
      </c>
      <c r="L94" s="195">
        <f>SUM(L92:L93)</f>
        <v>61544.24</v>
      </c>
      <c r="M94" s="195">
        <f>SUM(M92:M93)</f>
        <v>61544.24</v>
      </c>
      <c r="N94" s="94"/>
      <c r="P94" s="94"/>
      <c r="Q94" s="436">
        <f>SUM(Q92:Q93)</f>
        <v>1</v>
      </c>
      <c r="R94" s="436">
        <f>SUM(R92:R93)</f>
        <v>1</v>
      </c>
      <c r="S94" s="436">
        <f>SUM(S92:S93)</f>
        <v>1</v>
      </c>
      <c r="T94" s="436">
        <f>SUM(T92:T93)</f>
        <v>1</v>
      </c>
      <c r="U94" s="436">
        <f>SUM(U92:U93)</f>
        <v>1</v>
      </c>
      <c r="V94" s="94"/>
      <c r="W94" s="196"/>
    </row>
    <row r="95" spans="2:37" ht="12" customHeight="1">
      <c r="B95" s="13"/>
      <c r="C95" s="1"/>
      <c r="D95" s="153"/>
      <c r="E95" s="1"/>
      <c r="F95" s="1"/>
      <c r="G95" s="84"/>
      <c r="H95" s="1"/>
      <c r="I95" s="158"/>
      <c r="J95" s="158"/>
      <c r="K95" s="158"/>
      <c r="L95" s="158"/>
      <c r="M95" s="158"/>
      <c r="N95" s="1"/>
      <c r="P95" s="1"/>
      <c r="Q95" s="191"/>
      <c r="R95" s="191"/>
      <c r="S95" s="191"/>
      <c r="T95" s="191"/>
      <c r="U95" s="191"/>
      <c r="V95" s="1"/>
      <c r="W95" s="14"/>
      <c r="Y95" s="62"/>
      <c r="Z95" s="62"/>
      <c r="AA95" s="62"/>
      <c r="AB95" s="62"/>
      <c r="AC95" s="62"/>
      <c r="AD95" s="62"/>
      <c r="AE95" s="62"/>
      <c r="AF95" s="62"/>
      <c r="AG95" s="62"/>
      <c r="AH95" s="62"/>
      <c r="AI95" s="62"/>
      <c r="AJ95" s="62"/>
      <c r="AK95" s="62"/>
    </row>
    <row r="96" spans="2:37" ht="12" customHeight="1">
      <c r="B96" s="13"/>
      <c r="C96" s="1"/>
      <c r="D96" s="94" t="s">
        <v>740</v>
      </c>
      <c r="E96" s="1"/>
      <c r="F96" s="1"/>
      <c r="G96" s="84"/>
      <c r="H96" s="1"/>
      <c r="I96" s="158"/>
      <c r="J96" s="158"/>
      <c r="K96" s="158"/>
      <c r="L96" s="158"/>
      <c r="M96" s="158"/>
      <c r="N96" s="1"/>
      <c r="P96" s="1"/>
      <c r="Q96" s="191"/>
      <c r="R96" s="191"/>
      <c r="S96" s="191"/>
      <c r="T96" s="191"/>
      <c r="U96" s="191"/>
      <c r="V96" s="1"/>
      <c r="W96" s="14"/>
      <c r="Y96" s="62"/>
      <c r="Z96" s="62"/>
      <c r="AA96" s="62"/>
      <c r="AB96" s="62"/>
      <c r="AC96" s="62"/>
      <c r="AD96" s="62"/>
      <c r="AE96" s="62"/>
      <c r="AF96" s="62"/>
      <c r="AG96" s="62"/>
      <c r="AH96" s="62"/>
      <c r="AI96" s="62"/>
      <c r="AJ96" s="62"/>
      <c r="AK96" s="62"/>
    </row>
    <row r="97" spans="2:37" ht="12" customHeight="1">
      <c r="B97" s="13"/>
      <c r="C97" s="1"/>
      <c r="D97" s="1" t="s">
        <v>629</v>
      </c>
      <c r="E97" s="1"/>
      <c r="F97" s="1"/>
      <c r="G97" s="84"/>
      <c r="H97" s="1"/>
      <c r="I97" s="34">
        <f>ROUND(+Q97*IF(geg!$I$23="ja",tabel!$C$78,tabel!$C$69),2)</f>
        <v>0</v>
      </c>
      <c r="J97" s="34">
        <f>ROUND(+R97*IF(geg!$I$23="ja",tabel!$C$78,tabel!$C$69),2)</f>
        <v>0</v>
      </c>
      <c r="K97" s="34">
        <f>ROUND(+S97*IF(geg!$I$23="ja",tabel!$C$78,tabel!$C$69),2)</f>
        <v>0</v>
      </c>
      <c r="L97" s="34">
        <f>ROUND(+T97*IF(geg!$I$23="ja",tabel!$C$78,tabel!$C$69),2)</f>
        <v>0</v>
      </c>
      <c r="M97" s="34">
        <f>ROUND(+U97*IF(geg!$I$23="ja",tabel!$C$78,tabel!$C$69),2)</f>
        <v>0</v>
      </c>
      <c r="N97" s="1"/>
      <c r="P97" s="1"/>
      <c r="Q97" s="33">
        <f>ROUND(IF(geg!I134&gt;0,0,IF((geg!L155-IF((geg!J160-geg!I160)&gt;geg!$I16/2,geg!J160,geg!I160))&gt;geg!$I16,(R60+R61+R62+R65-Q60-Q61-Q62-Q65)*7/12,0)),2)</f>
        <v>0</v>
      </c>
      <c r="R97" s="33">
        <f>ROUND(IF(geg!L134&gt;0,0,IF((geg!O155-IF((geg!M160-geg!L160)&gt;geg!$I16/2,geg!M160,geg!L160))&gt;geg!$I16,(S60+S61+S62+S65-R60-R61-R62-R65)*7/12,0)),2)</f>
        <v>0</v>
      </c>
      <c r="S97" s="33">
        <f>ROUND(IF(geg!O134&gt;0,0,IF((geg!R155-IF((geg!P160-geg!O160)&gt;geg!$I16/2,geg!P160,geg!O160))&gt;geg!$I16,(T60+T61+T62+T65-S60-S61-S62-S65)*7/12,0)),2)</f>
        <v>0</v>
      </c>
      <c r="T97" s="33">
        <f>ROUND(IF(geg!R134&gt;0,0,IF((geg!U155-IF((geg!S160-geg!R160)&gt;geg!$I16/2,geg!S160,geg!R160))&gt;geg!$I16,(U60+U61+U62+U65-T60-T61-T62-T65)*7/12,0)),2)</f>
        <v>0</v>
      </c>
      <c r="U97" s="33">
        <f>T97</f>
        <v>0</v>
      </c>
      <c r="V97" s="1"/>
      <c r="W97" s="14"/>
      <c r="Y97" s="62"/>
      <c r="Z97" s="62"/>
      <c r="AA97" s="62"/>
      <c r="AB97" s="62"/>
      <c r="AC97" s="62"/>
      <c r="AD97" s="62"/>
      <c r="AE97" s="62"/>
      <c r="AF97" s="62"/>
      <c r="AG97" s="62"/>
      <c r="AH97" s="62"/>
      <c r="AI97" s="62"/>
      <c r="AJ97" s="62"/>
      <c r="AK97" s="62"/>
    </row>
    <row r="98" spans="2:37" ht="12" customHeight="1">
      <c r="B98" s="13"/>
      <c r="C98" s="1"/>
      <c r="D98" s="1"/>
      <c r="E98" s="1"/>
      <c r="F98" s="1"/>
      <c r="G98" s="84"/>
      <c r="H98" s="1"/>
      <c r="I98" s="158"/>
      <c r="J98" s="158"/>
      <c r="K98" s="158"/>
      <c r="L98" s="158"/>
      <c r="M98" s="158"/>
      <c r="N98" s="1"/>
      <c r="P98" s="1"/>
      <c r="Q98" s="187"/>
      <c r="R98" s="187"/>
      <c r="S98" s="187"/>
      <c r="T98" s="187"/>
      <c r="U98" s="187"/>
      <c r="V98" s="1"/>
      <c r="W98" s="14"/>
      <c r="Y98" s="62"/>
      <c r="Z98" s="62"/>
      <c r="AA98" s="62"/>
      <c r="AB98" s="62"/>
      <c r="AC98" s="62"/>
      <c r="AD98" s="62"/>
      <c r="AE98" s="62"/>
      <c r="AF98" s="62"/>
      <c r="AG98" s="62"/>
      <c r="AH98" s="62"/>
      <c r="AI98" s="62"/>
      <c r="AJ98" s="62"/>
      <c r="AK98" s="62"/>
    </row>
    <row r="99" spans="2:23" s="109" customFormat="1" ht="12" customHeight="1">
      <c r="B99" s="197"/>
      <c r="C99" s="159"/>
      <c r="D99" s="153" t="s">
        <v>721</v>
      </c>
      <c r="E99" s="159"/>
      <c r="F99" s="159"/>
      <c r="G99" s="159"/>
      <c r="H99" s="159"/>
      <c r="I99" s="174">
        <f>I71+I87+I94+I97</f>
        <v>2071933.1200000003</v>
      </c>
      <c r="J99" s="174">
        <f>J71+J87+J94+J97</f>
        <v>2090322.5400000003</v>
      </c>
      <c r="K99" s="174">
        <f>K71+K87+K94+K97</f>
        <v>2090322.5400000003</v>
      </c>
      <c r="L99" s="174">
        <f>L71+L87+L94+L97</f>
        <v>2090322.5400000003</v>
      </c>
      <c r="M99" s="174">
        <f>M71+M87+M94+M97</f>
        <v>2090322.5400000003</v>
      </c>
      <c r="N99" s="159"/>
      <c r="P99" s="159"/>
      <c r="Q99" s="190">
        <f>Q71+Q87+Q94+Q97</f>
        <v>33.66108333595475</v>
      </c>
      <c r="R99" s="190">
        <f>R71+R87+R94+R97</f>
        <v>33.95988333595475</v>
      </c>
      <c r="S99" s="190">
        <f>S71+S87+S94+S97</f>
        <v>33.95988333595475</v>
      </c>
      <c r="T99" s="190">
        <f>T71+T87+T94+T97</f>
        <v>33.95988333595475</v>
      </c>
      <c r="U99" s="190">
        <f>U71+U87+U94+U97</f>
        <v>33.95988333595475</v>
      </c>
      <c r="V99" s="159"/>
      <c r="W99" s="198"/>
    </row>
    <row r="100" spans="2:37" ht="12" customHeight="1">
      <c r="B100" s="13"/>
      <c r="C100" s="1"/>
      <c r="D100" s="1"/>
      <c r="E100" s="1"/>
      <c r="F100" s="3"/>
      <c r="G100" s="84"/>
      <c r="H100" s="1"/>
      <c r="I100" s="158"/>
      <c r="J100" s="158"/>
      <c r="K100" s="158"/>
      <c r="L100" s="158"/>
      <c r="M100" s="158"/>
      <c r="N100" s="1"/>
      <c r="P100" s="1"/>
      <c r="Q100" s="191"/>
      <c r="R100" s="191"/>
      <c r="S100" s="191"/>
      <c r="T100" s="191"/>
      <c r="U100" s="191"/>
      <c r="V100" s="1"/>
      <c r="W100" s="14"/>
      <c r="Y100" s="62"/>
      <c r="Z100" s="62"/>
      <c r="AA100" s="62"/>
      <c r="AB100" s="62"/>
      <c r="AC100" s="62"/>
      <c r="AD100" s="62"/>
      <c r="AE100" s="62"/>
      <c r="AF100" s="62"/>
      <c r="AG100" s="62"/>
      <c r="AH100" s="62"/>
      <c r="AI100" s="62"/>
      <c r="AJ100" s="62"/>
      <c r="AK100" s="62"/>
    </row>
    <row r="101" spans="2:23" ht="12" customHeight="1">
      <c r="B101" s="13"/>
      <c r="C101" s="1"/>
      <c r="D101" s="1"/>
      <c r="E101" s="1"/>
      <c r="F101" s="1"/>
      <c r="G101" s="1"/>
      <c r="H101" s="1"/>
      <c r="I101" s="158"/>
      <c r="J101" s="158"/>
      <c r="K101" s="158"/>
      <c r="L101" s="158"/>
      <c r="M101" s="158"/>
      <c r="N101" s="1"/>
      <c r="P101" s="1"/>
      <c r="Q101" s="182"/>
      <c r="R101" s="182"/>
      <c r="S101" s="182"/>
      <c r="T101" s="182"/>
      <c r="U101" s="182"/>
      <c r="V101" s="1"/>
      <c r="W101" s="14"/>
    </row>
    <row r="102" spans="2:23" ht="12" customHeight="1">
      <c r="B102" s="13"/>
      <c r="C102" s="1"/>
      <c r="D102" s="1"/>
      <c r="E102" s="1"/>
      <c r="F102" s="1"/>
      <c r="G102" s="1"/>
      <c r="H102" s="1"/>
      <c r="I102" s="158"/>
      <c r="J102" s="158"/>
      <c r="K102" s="158"/>
      <c r="L102" s="158"/>
      <c r="M102" s="158"/>
      <c r="N102" s="1"/>
      <c r="P102" s="1"/>
      <c r="Q102" s="182"/>
      <c r="R102" s="182"/>
      <c r="S102" s="182"/>
      <c r="T102" s="182"/>
      <c r="U102" s="182"/>
      <c r="V102" s="1"/>
      <c r="W102" s="14"/>
    </row>
    <row r="103" spans="2:23" ht="12" customHeight="1">
      <c r="B103" s="13"/>
      <c r="C103" s="1"/>
      <c r="D103" s="94" t="s">
        <v>118</v>
      </c>
      <c r="E103" s="1"/>
      <c r="F103" s="1"/>
      <c r="G103" s="1"/>
      <c r="H103" s="1"/>
      <c r="I103" s="158"/>
      <c r="J103" s="158"/>
      <c r="K103" s="158"/>
      <c r="L103" s="158"/>
      <c r="M103" s="158"/>
      <c r="N103" s="1"/>
      <c r="P103" s="1"/>
      <c r="Q103" s="182"/>
      <c r="R103" s="182"/>
      <c r="S103" s="182"/>
      <c r="T103" s="182"/>
      <c r="U103" s="182"/>
      <c r="V103" s="1"/>
      <c r="W103" s="14"/>
    </row>
    <row r="104" spans="2:23" ht="12" customHeight="1">
      <c r="B104" s="13"/>
      <c r="C104" s="1"/>
      <c r="D104" s="1" t="s">
        <v>640</v>
      </c>
      <c r="E104" s="1"/>
      <c r="F104" s="1"/>
      <c r="G104" s="1"/>
      <c r="H104" s="1"/>
      <c r="I104" s="175">
        <v>0</v>
      </c>
      <c r="J104" s="281">
        <f aca="true" t="shared" si="7" ref="J104:M106">+I104</f>
        <v>0</v>
      </c>
      <c r="K104" s="281">
        <f t="shared" si="7"/>
        <v>0</v>
      </c>
      <c r="L104" s="281">
        <f t="shared" si="7"/>
        <v>0</v>
      </c>
      <c r="M104" s="281">
        <f t="shared" si="7"/>
        <v>0</v>
      </c>
      <c r="N104" s="1"/>
      <c r="P104" s="1"/>
      <c r="Q104" s="33">
        <f>I104/geg!$I$26</f>
        <v>0</v>
      </c>
      <c r="R104" s="33">
        <f>J104/geg!$L$26</f>
        <v>0</v>
      </c>
      <c r="S104" s="33">
        <f>K104/geg!$L$26</f>
        <v>0</v>
      </c>
      <c r="T104" s="33">
        <f>L104/geg!$L$26</f>
        <v>0</v>
      </c>
      <c r="U104" s="33">
        <f>M104/geg!$L$26</f>
        <v>0</v>
      </c>
      <c r="V104" s="1"/>
      <c r="W104" s="14"/>
    </row>
    <row r="105" spans="2:23" ht="12" customHeight="1">
      <c r="B105" s="13"/>
      <c r="C105" s="1"/>
      <c r="D105" s="1" t="s">
        <v>116</v>
      </c>
      <c r="E105" s="1"/>
      <c r="F105" s="1"/>
      <c r="G105" s="1"/>
      <c r="H105" s="1"/>
      <c r="I105" s="176">
        <v>0</v>
      </c>
      <c r="J105" s="281">
        <f t="shared" si="7"/>
        <v>0</v>
      </c>
      <c r="K105" s="281">
        <f t="shared" si="7"/>
        <v>0</v>
      </c>
      <c r="L105" s="281">
        <f t="shared" si="7"/>
        <v>0</v>
      </c>
      <c r="M105" s="281">
        <f t="shared" si="7"/>
        <v>0</v>
      </c>
      <c r="N105" s="1"/>
      <c r="P105" s="1"/>
      <c r="Q105" s="33">
        <f>I105/geg!$I$26</f>
        <v>0</v>
      </c>
      <c r="R105" s="33">
        <f>J105/geg!$L$26</f>
        <v>0</v>
      </c>
      <c r="S105" s="33">
        <f>K105/geg!$L$26</f>
        <v>0</v>
      </c>
      <c r="T105" s="33">
        <f>L105/geg!$L$26</f>
        <v>0</v>
      </c>
      <c r="U105" s="33">
        <f>M105/geg!$L$26</f>
        <v>0</v>
      </c>
      <c r="V105" s="1"/>
      <c r="W105" s="14"/>
    </row>
    <row r="106" spans="2:23" ht="12" customHeight="1">
      <c r="B106" s="13"/>
      <c r="C106" s="1"/>
      <c r="D106" s="1" t="s">
        <v>100</v>
      </c>
      <c r="E106" s="1"/>
      <c r="F106" s="1"/>
      <c r="G106" s="157"/>
      <c r="H106" s="1"/>
      <c r="I106" s="175">
        <v>0</v>
      </c>
      <c r="J106" s="281">
        <f t="shared" si="7"/>
        <v>0</v>
      </c>
      <c r="K106" s="281">
        <f t="shared" si="7"/>
        <v>0</v>
      </c>
      <c r="L106" s="281">
        <f t="shared" si="7"/>
        <v>0</v>
      </c>
      <c r="M106" s="281">
        <f t="shared" si="7"/>
        <v>0</v>
      </c>
      <c r="N106" s="1"/>
      <c r="P106" s="1"/>
      <c r="Q106" s="33">
        <f>I106/geg!$I$26</f>
        <v>0</v>
      </c>
      <c r="R106" s="33">
        <f>J106/geg!$L$26</f>
        <v>0</v>
      </c>
      <c r="S106" s="33">
        <f>K106/geg!$L$26</f>
        <v>0</v>
      </c>
      <c r="T106" s="33">
        <f>L106/geg!$L$26</f>
        <v>0</v>
      </c>
      <c r="U106" s="33">
        <f>M106/geg!$L$26</f>
        <v>0</v>
      </c>
      <c r="V106" s="1"/>
      <c r="W106" s="14"/>
    </row>
    <row r="107" spans="2:23" ht="12" customHeight="1">
      <c r="B107" s="13"/>
      <c r="C107" s="1"/>
      <c r="D107" s="1" t="s">
        <v>29</v>
      </c>
      <c r="E107" s="1"/>
      <c r="F107" s="1"/>
      <c r="G107" s="1"/>
      <c r="H107" s="1"/>
      <c r="I107" s="175">
        <v>0</v>
      </c>
      <c r="J107" s="281">
        <f aca="true" t="shared" si="8" ref="J107:M108">+I107</f>
        <v>0</v>
      </c>
      <c r="K107" s="281">
        <f t="shared" si="8"/>
        <v>0</v>
      </c>
      <c r="L107" s="281">
        <f t="shared" si="8"/>
        <v>0</v>
      </c>
      <c r="M107" s="281">
        <f t="shared" si="8"/>
        <v>0</v>
      </c>
      <c r="N107" s="1"/>
      <c r="P107" s="1"/>
      <c r="Q107" s="33">
        <f>I107/geg!$I$26</f>
        <v>0</v>
      </c>
      <c r="R107" s="33">
        <f>J107/geg!$L$26</f>
        <v>0</v>
      </c>
      <c r="S107" s="33">
        <f>K107/geg!$L$26</f>
        <v>0</v>
      </c>
      <c r="T107" s="33">
        <f>L107/geg!$L$26</f>
        <v>0</v>
      </c>
      <c r="U107" s="33">
        <f>M107/geg!$L$26</f>
        <v>0</v>
      </c>
      <c r="V107" s="1"/>
      <c r="W107" s="14"/>
    </row>
    <row r="108" spans="2:23" ht="12" customHeight="1">
      <c r="B108" s="13"/>
      <c r="C108" s="1"/>
      <c r="D108" s="1" t="s">
        <v>30</v>
      </c>
      <c r="E108" s="1"/>
      <c r="F108" s="1"/>
      <c r="G108" s="1"/>
      <c r="H108" s="1"/>
      <c r="I108" s="175">
        <v>0</v>
      </c>
      <c r="J108" s="281">
        <f t="shared" si="8"/>
        <v>0</v>
      </c>
      <c r="K108" s="281">
        <f t="shared" si="8"/>
        <v>0</v>
      </c>
      <c r="L108" s="281">
        <f t="shared" si="8"/>
        <v>0</v>
      </c>
      <c r="M108" s="281">
        <f t="shared" si="8"/>
        <v>0</v>
      </c>
      <c r="N108" s="1"/>
      <c r="P108" s="1"/>
      <c r="Q108" s="33">
        <f>I108/geg!$I$26</f>
        <v>0</v>
      </c>
      <c r="R108" s="33">
        <f>J108/geg!$L$26</f>
        <v>0</v>
      </c>
      <c r="S108" s="33">
        <f>K108/geg!$L$26</f>
        <v>0</v>
      </c>
      <c r="T108" s="33">
        <f>L108/geg!$L$26</f>
        <v>0</v>
      </c>
      <c r="U108" s="33">
        <f>M108/geg!$L$26</f>
        <v>0</v>
      </c>
      <c r="V108" s="1"/>
      <c r="W108" s="14"/>
    </row>
    <row r="109" spans="2:23" ht="12" customHeight="1">
      <c r="B109" s="13"/>
      <c r="C109" s="1"/>
      <c r="D109" s="159"/>
      <c r="E109" s="1"/>
      <c r="F109" s="1"/>
      <c r="G109" s="1"/>
      <c r="H109" s="1"/>
      <c r="I109" s="435">
        <f>SUM(I104:I108)</f>
        <v>0</v>
      </c>
      <c r="J109" s="435">
        <f>SUM(J104:J108)</f>
        <v>0</v>
      </c>
      <c r="K109" s="435">
        <f>SUM(K104:K108)</f>
        <v>0</v>
      </c>
      <c r="L109" s="435">
        <f>SUM(L104:L108)</f>
        <v>0</v>
      </c>
      <c r="M109" s="435">
        <f>SUM(M104:M108)</f>
        <v>0</v>
      </c>
      <c r="N109" s="1"/>
      <c r="P109" s="1"/>
      <c r="Q109" s="190">
        <f>SUM(Q104:Q108)</f>
        <v>0</v>
      </c>
      <c r="R109" s="190">
        <f>SUM(R104:R108)</f>
        <v>0</v>
      </c>
      <c r="S109" s="190">
        <f>SUM(S104:S108)</f>
        <v>0</v>
      </c>
      <c r="T109" s="190">
        <f>SUM(T104:T108)</f>
        <v>0</v>
      </c>
      <c r="U109" s="190">
        <f>SUM(U104:U108)</f>
        <v>0</v>
      </c>
      <c r="V109" s="1"/>
      <c r="W109" s="14"/>
    </row>
    <row r="110" spans="2:23" ht="12" customHeight="1">
      <c r="B110" s="13"/>
      <c r="C110" s="1"/>
      <c r="D110" s="1"/>
      <c r="E110" s="1"/>
      <c r="F110" s="1"/>
      <c r="G110" s="1"/>
      <c r="H110" s="1"/>
      <c r="I110" s="158"/>
      <c r="J110" s="158"/>
      <c r="K110" s="158"/>
      <c r="L110" s="158"/>
      <c r="M110" s="158"/>
      <c r="N110" s="1"/>
      <c r="P110" s="1"/>
      <c r="Q110" s="182"/>
      <c r="R110" s="182"/>
      <c r="S110" s="182"/>
      <c r="T110" s="182"/>
      <c r="U110" s="182"/>
      <c r="V110" s="1"/>
      <c r="W110" s="14"/>
    </row>
    <row r="111" spans="2:23" ht="12" customHeight="1">
      <c r="B111" s="13"/>
      <c r="C111" s="1"/>
      <c r="D111" s="1"/>
      <c r="E111" s="1"/>
      <c r="F111" s="1"/>
      <c r="G111" s="1"/>
      <c r="H111" s="1"/>
      <c r="I111" s="158"/>
      <c r="J111" s="158"/>
      <c r="K111" s="158"/>
      <c r="L111" s="158"/>
      <c r="M111" s="158"/>
      <c r="N111" s="1"/>
      <c r="P111" s="1"/>
      <c r="Q111" s="182"/>
      <c r="R111" s="182"/>
      <c r="S111" s="182"/>
      <c r="T111" s="182"/>
      <c r="U111" s="182"/>
      <c r="V111" s="1"/>
      <c r="W111" s="14"/>
    </row>
    <row r="112" spans="2:23" ht="12" customHeight="1">
      <c r="B112" s="13"/>
      <c r="C112" s="1"/>
      <c r="D112" s="150" t="s">
        <v>711</v>
      </c>
      <c r="E112" s="1"/>
      <c r="F112" s="1"/>
      <c r="G112" s="1"/>
      <c r="H112" s="1"/>
      <c r="I112" s="158"/>
      <c r="J112" s="158"/>
      <c r="K112" s="158"/>
      <c r="L112" s="158"/>
      <c r="M112" s="158"/>
      <c r="N112" s="1"/>
      <c r="P112" s="1"/>
      <c r="Q112" s="182"/>
      <c r="R112" s="182"/>
      <c r="S112" s="182"/>
      <c r="T112" s="182"/>
      <c r="U112" s="182"/>
      <c r="V112" s="1"/>
      <c r="W112" s="14"/>
    </row>
    <row r="113" spans="2:23" ht="12" customHeight="1">
      <c r="B113" s="13"/>
      <c r="C113" s="1"/>
      <c r="D113" s="444" t="s">
        <v>317</v>
      </c>
      <c r="E113" s="444"/>
      <c r="F113" s="444"/>
      <c r="G113" s="444"/>
      <c r="H113" s="444"/>
      <c r="I113" s="175">
        <v>0</v>
      </c>
      <c r="J113" s="281">
        <f aca="true" t="shared" si="9" ref="J113:M118">+I113</f>
        <v>0</v>
      </c>
      <c r="K113" s="281">
        <f t="shared" si="9"/>
        <v>0</v>
      </c>
      <c r="L113" s="281">
        <f t="shared" si="9"/>
        <v>0</v>
      </c>
      <c r="M113" s="281">
        <f t="shared" si="9"/>
        <v>0</v>
      </c>
      <c r="N113" s="1"/>
      <c r="P113" s="1"/>
      <c r="Q113" s="33">
        <f>I113/geg!$I$26</f>
        <v>0</v>
      </c>
      <c r="R113" s="33">
        <f>J113/geg!$L$26</f>
        <v>0</v>
      </c>
      <c r="S113" s="33">
        <f>K113/geg!$L$26</f>
        <v>0</v>
      </c>
      <c r="T113" s="33">
        <f>L113/geg!$L$26</f>
        <v>0</v>
      </c>
      <c r="U113" s="33">
        <f>M113/geg!$L$26</f>
        <v>0</v>
      </c>
      <c r="V113" s="1"/>
      <c r="W113" s="14"/>
    </row>
    <row r="114" spans="2:23" ht="12" customHeight="1">
      <c r="B114" s="13"/>
      <c r="C114" s="1"/>
      <c r="D114" s="444" t="s">
        <v>318</v>
      </c>
      <c r="E114" s="444"/>
      <c r="F114" s="444"/>
      <c r="G114" s="444"/>
      <c r="H114" s="444"/>
      <c r="I114" s="175">
        <v>0</v>
      </c>
      <c r="J114" s="281">
        <f t="shared" si="9"/>
        <v>0</v>
      </c>
      <c r="K114" s="281">
        <f t="shared" si="9"/>
        <v>0</v>
      </c>
      <c r="L114" s="281">
        <f t="shared" si="9"/>
        <v>0</v>
      </c>
      <c r="M114" s="281">
        <f t="shared" si="9"/>
        <v>0</v>
      </c>
      <c r="N114" s="1"/>
      <c r="P114" s="1"/>
      <c r="Q114" s="33">
        <f>I114/geg!$I$26</f>
        <v>0</v>
      </c>
      <c r="R114" s="33">
        <f>J114/geg!$L$26</f>
        <v>0</v>
      </c>
      <c r="S114" s="33">
        <f>K114/geg!$L$26</f>
        <v>0</v>
      </c>
      <c r="T114" s="33">
        <f>L114/geg!$L$26</f>
        <v>0</v>
      </c>
      <c r="U114" s="33">
        <f>M114/geg!$L$26</f>
        <v>0</v>
      </c>
      <c r="V114" s="1"/>
      <c r="W114" s="14"/>
    </row>
    <row r="115" spans="2:23" ht="12" customHeight="1">
      <c r="B115" s="13"/>
      <c r="C115" s="1"/>
      <c r="D115" s="136"/>
      <c r="E115" s="136"/>
      <c r="F115" s="136"/>
      <c r="G115" s="136"/>
      <c r="H115" s="1"/>
      <c r="I115" s="175">
        <v>0</v>
      </c>
      <c r="J115" s="281">
        <f t="shared" si="9"/>
        <v>0</v>
      </c>
      <c r="K115" s="281">
        <f t="shared" si="9"/>
        <v>0</v>
      </c>
      <c r="L115" s="281">
        <f t="shared" si="9"/>
        <v>0</v>
      </c>
      <c r="M115" s="281">
        <f t="shared" si="9"/>
        <v>0</v>
      </c>
      <c r="N115" s="1"/>
      <c r="P115" s="1"/>
      <c r="Q115" s="33">
        <f>I115/geg!$I$26</f>
        <v>0</v>
      </c>
      <c r="R115" s="33">
        <f>J115/geg!$L$26</f>
        <v>0</v>
      </c>
      <c r="S115" s="33">
        <f>K115/geg!$L$26</f>
        <v>0</v>
      </c>
      <c r="T115" s="33">
        <f>L115/geg!$L$26</f>
        <v>0</v>
      </c>
      <c r="U115" s="33">
        <f>M115/geg!$L$26</f>
        <v>0</v>
      </c>
      <c r="V115" s="1"/>
      <c r="W115" s="14"/>
    </row>
    <row r="116" spans="2:23" ht="12" customHeight="1">
      <c r="B116" s="13"/>
      <c r="C116" s="1"/>
      <c r="D116" s="136"/>
      <c r="E116" s="136"/>
      <c r="F116" s="136"/>
      <c r="G116" s="136"/>
      <c r="H116" s="1"/>
      <c r="I116" s="175">
        <v>0</v>
      </c>
      <c r="J116" s="281">
        <f aca="true" t="shared" si="10" ref="J116:M117">+I116</f>
        <v>0</v>
      </c>
      <c r="K116" s="281">
        <f t="shared" si="10"/>
        <v>0</v>
      </c>
      <c r="L116" s="281">
        <f t="shared" si="10"/>
        <v>0</v>
      </c>
      <c r="M116" s="281">
        <f t="shared" si="10"/>
        <v>0</v>
      </c>
      <c r="N116" s="1"/>
      <c r="P116" s="1"/>
      <c r="Q116" s="33">
        <f>I116/geg!$I$26</f>
        <v>0</v>
      </c>
      <c r="R116" s="33">
        <f>J116/geg!$L$26</f>
        <v>0</v>
      </c>
      <c r="S116" s="33">
        <f>K116/geg!$L$26</f>
        <v>0</v>
      </c>
      <c r="T116" s="33">
        <f>L116/geg!$L$26</f>
        <v>0</v>
      </c>
      <c r="U116" s="33">
        <f>M116/geg!$L$26</f>
        <v>0</v>
      </c>
      <c r="V116" s="1"/>
      <c r="W116" s="14"/>
    </row>
    <row r="117" spans="2:23" ht="12" customHeight="1">
      <c r="B117" s="13"/>
      <c r="C117" s="1"/>
      <c r="D117" s="136"/>
      <c r="E117" s="136"/>
      <c r="F117" s="136"/>
      <c r="G117" s="136"/>
      <c r="H117" s="1"/>
      <c r="I117" s="175">
        <v>0</v>
      </c>
      <c r="J117" s="281">
        <f t="shared" si="10"/>
        <v>0</v>
      </c>
      <c r="K117" s="281">
        <f t="shared" si="10"/>
        <v>0</v>
      </c>
      <c r="L117" s="281">
        <f t="shared" si="10"/>
        <v>0</v>
      </c>
      <c r="M117" s="281">
        <f t="shared" si="10"/>
        <v>0</v>
      </c>
      <c r="N117" s="1"/>
      <c r="P117" s="1"/>
      <c r="Q117" s="33">
        <f>I117/geg!$I$26</f>
        <v>0</v>
      </c>
      <c r="R117" s="33">
        <f>J117/geg!$L$26</f>
        <v>0</v>
      </c>
      <c r="S117" s="33">
        <f>K117/geg!$L$26</f>
        <v>0</v>
      </c>
      <c r="T117" s="33">
        <f>L117/geg!$L$26</f>
        <v>0</v>
      </c>
      <c r="U117" s="33">
        <f>M117/geg!$L$26</f>
        <v>0</v>
      </c>
      <c r="V117" s="1"/>
      <c r="W117" s="14"/>
    </row>
    <row r="118" spans="2:23" ht="12" customHeight="1">
      <c r="B118" s="13"/>
      <c r="C118" s="1"/>
      <c r="D118" s="136"/>
      <c r="E118" s="136"/>
      <c r="F118" s="136"/>
      <c r="G118" s="136"/>
      <c r="H118" s="1"/>
      <c r="I118" s="175">
        <v>0</v>
      </c>
      <c r="J118" s="281">
        <f t="shared" si="9"/>
        <v>0</v>
      </c>
      <c r="K118" s="281">
        <f t="shared" si="9"/>
        <v>0</v>
      </c>
      <c r="L118" s="281">
        <f t="shared" si="9"/>
        <v>0</v>
      </c>
      <c r="M118" s="281">
        <f t="shared" si="9"/>
        <v>0</v>
      </c>
      <c r="N118" s="1"/>
      <c r="P118" s="1"/>
      <c r="Q118" s="33">
        <f>I118/geg!$I$26</f>
        <v>0</v>
      </c>
      <c r="R118" s="33">
        <f>J118/geg!$L$26</f>
        <v>0</v>
      </c>
      <c r="S118" s="33">
        <f>K118/geg!$L$26</f>
        <v>0</v>
      </c>
      <c r="T118" s="33">
        <f>L118/geg!$L$26</f>
        <v>0</v>
      </c>
      <c r="U118" s="33">
        <f>M118/geg!$L$26</f>
        <v>0</v>
      </c>
      <c r="V118" s="1"/>
      <c r="W118" s="14"/>
    </row>
    <row r="119" spans="1:23" ht="12" customHeight="1">
      <c r="A119" s="127"/>
      <c r="B119" s="194"/>
      <c r="C119" s="94"/>
      <c r="D119" s="159"/>
      <c r="E119" s="94"/>
      <c r="F119" s="94"/>
      <c r="G119" s="94"/>
      <c r="H119" s="94"/>
      <c r="I119" s="178">
        <f>SUM(I113:I118)</f>
        <v>0</v>
      </c>
      <c r="J119" s="178">
        <f>SUM(J113:J118)</f>
        <v>0</v>
      </c>
      <c r="K119" s="178">
        <f>SUM(K113:K118)</f>
        <v>0</v>
      </c>
      <c r="L119" s="178">
        <f>SUM(L113:L118)</f>
        <v>0</v>
      </c>
      <c r="M119" s="178">
        <f>SUM(M113:M118)</f>
        <v>0</v>
      </c>
      <c r="N119" s="94"/>
      <c r="O119" s="127"/>
      <c r="P119" s="94"/>
      <c r="Q119" s="190">
        <f>SUM(Q113:Q118)</f>
        <v>0</v>
      </c>
      <c r="R119" s="190">
        <f>SUM(R113:R118)</f>
        <v>0</v>
      </c>
      <c r="S119" s="190">
        <f>SUM(S113:S118)</f>
        <v>0</v>
      </c>
      <c r="T119" s="190">
        <f>SUM(T113:T118)</f>
        <v>0</v>
      </c>
      <c r="U119" s="190">
        <f>SUM(U113:U118)</f>
        <v>0</v>
      </c>
      <c r="V119" s="1"/>
      <c r="W119" s="14"/>
    </row>
    <row r="120" spans="2:23" ht="12" customHeight="1">
      <c r="B120" s="13"/>
      <c r="C120" s="1"/>
      <c r="D120" s="1"/>
      <c r="E120" s="1"/>
      <c r="F120" s="1"/>
      <c r="G120" s="1"/>
      <c r="H120" s="1"/>
      <c r="I120" s="158"/>
      <c r="J120" s="158"/>
      <c r="K120" s="158"/>
      <c r="L120" s="158"/>
      <c r="M120" s="158"/>
      <c r="N120" s="1"/>
      <c r="P120" s="1"/>
      <c r="Q120" s="182"/>
      <c r="R120" s="182"/>
      <c r="S120" s="182"/>
      <c r="T120" s="182"/>
      <c r="U120" s="182"/>
      <c r="V120" s="1"/>
      <c r="W120" s="14"/>
    </row>
    <row r="121" spans="2:23" ht="12" customHeight="1">
      <c r="B121" s="13"/>
      <c r="C121" s="1"/>
      <c r="D121" s="1"/>
      <c r="E121" s="1"/>
      <c r="F121" s="1"/>
      <c r="G121" s="1"/>
      <c r="H121" s="1"/>
      <c r="I121" s="158"/>
      <c r="J121" s="158"/>
      <c r="K121" s="158"/>
      <c r="L121" s="158"/>
      <c r="M121" s="158"/>
      <c r="N121" s="1"/>
      <c r="P121" s="1"/>
      <c r="Q121" s="182"/>
      <c r="R121" s="182"/>
      <c r="S121" s="182"/>
      <c r="T121" s="182"/>
      <c r="U121" s="182"/>
      <c r="V121" s="1"/>
      <c r="W121" s="14"/>
    </row>
    <row r="122" spans="2:23" ht="12" customHeight="1">
      <c r="B122" s="13"/>
      <c r="C122" s="1"/>
      <c r="D122" s="3" t="s">
        <v>244</v>
      </c>
      <c r="E122" s="1"/>
      <c r="F122" s="1"/>
      <c r="G122" s="3"/>
      <c r="H122" s="1"/>
      <c r="I122" s="158"/>
      <c r="J122" s="158"/>
      <c r="K122" s="158"/>
      <c r="L122" s="158"/>
      <c r="M122" s="158"/>
      <c r="N122" s="1"/>
      <c r="P122" s="1"/>
      <c r="Q122" s="182"/>
      <c r="R122" s="182"/>
      <c r="S122" s="182"/>
      <c r="T122" s="182"/>
      <c r="U122" s="182"/>
      <c r="V122" s="1"/>
      <c r="W122" s="14"/>
    </row>
    <row r="123" spans="2:23" ht="12" customHeight="1">
      <c r="B123" s="13"/>
      <c r="C123" s="1"/>
      <c r="D123" s="1"/>
      <c r="E123" s="1"/>
      <c r="F123" s="1"/>
      <c r="G123" s="1"/>
      <c r="H123" s="1"/>
      <c r="I123" s="158"/>
      <c r="J123" s="158"/>
      <c r="K123" s="158"/>
      <c r="L123" s="158"/>
      <c r="M123" s="158"/>
      <c r="N123" s="1"/>
      <c r="P123" s="1"/>
      <c r="Q123" s="182"/>
      <c r="R123" s="182"/>
      <c r="S123" s="182"/>
      <c r="T123" s="182"/>
      <c r="U123" s="182"/>
      <c r="V123" s="1"/>
      <c r="W123" s="14"/>
    </row>
    <row r="124" spans="2:23" ht="12" customHeight="1">
      <c r="B124" s="13"/>
      <c r="C124" s="1"/>
      <c r="D124" s="150" t="s">
        <v>245</v>
      </c>
      <c r="E124" s="1"/>
      <c r="F124" s="1"/>
      <c r="G124" s="1"/>
      <c r="H124" s="1"/>
      <c r="I124" s="158"/>
      <c r="J124" s="158"/>
      <c r="K124" s="158"/>
      <c r="L124" s="158"/>
      <c r="M124" s="158"/>
      <c r="N124" s="1"/>
      <c r="P124" s="1"/>
      <c r="Q124" s="182"/>
      <c r="R124" s="182"/>
      <c r="S124" s="182"/>
      <c r="T124" s="182"/>
      <c r="U124" s="182"/>
      <c r="V124" s="1"/>
      <c r="W124" s="14"/>
    </row>
    <row r="125" spans="2:23" ht="12" customHeight="1">
      <c r="B125" s="13"/>
      <c r="C125" s="1"/>
      <c r="D125" s="1" t="s">
        <v>430</v>
      </c>
      <c r="E125" s="1"/>
      <c r="F125" s="1"/>
      <c r="G125" s="1"/>
      <c r="H125" s="1"/>
      <c r="I125" s="34">
        <f>(Q99+Q109+Q119)*geg!I28</f>
        <v>41432.91582975999</v>
      </c>
      <c r="J125" s="34">
        <f>(R99+R109+R119)*geg!$L$28</f>
        <v>41800.704207999996</v>
      </c>
      <c r="K125" s="34">
        <f>(S99+S109+S119)*geg!$L$28</f>
        <v>41800.704207999996</v>
      </c>
      <c r="L125" s="34">
        <f>(T99+T109+T119)*geg!$L$28</f>
        <v>41800.704207999996</v>
      </c>
      <c r="M125" s="34">
        <f>(U99+U109+U119)*geg!$L$28</f>
        <v>41800.704207999996</v>
      </c>
      <c r="N125" s="1"/>
      <c r="P125" s="1"/>
      <c r="Q125" s="182"/>
      <c r="R125" s="182"/>
      <c r="S125" s="182"/>
      <c r="T125" s="182"/>
      <c r="U125" s="182"/>
      <c r="V125" s="1"/>
      <c r="W125" s="14"/>
    </row>
    <row r="126" spans="2:23" ht="12" customHeight="1">
      <c r="B126" s="13"/>
      <c r="C126" s="1"/>
      <c r="D126" s="136"/>
      <c r="E126" s="136"/>
      <c r="F126" s="136"/>
      <c r="G126" s="136"/>
      <c r="H126" s="1"/>
      <c r="I126" s="175">
        <v>0</v>
      </c>
      <c r="J126" s="281">
        <f aca="true" t="shared" si="11" ref="J126:M130">+I126</f>
        <v>0</v>
      </c>
      <c r="K126" s="281">
        <f t="shared" si="11"/>
        <v>0</v>
      </c>
      <c r="L126" s="281">
        <f t="shared" si="11"/>
        <v>0</v>
      </c>
      <c r="M126" s="281">
        <f t="shared" si="11"/>
        <v>0</v>
      </c>
      <c r="N126" s="1"/>
      <c r="P126" s="1"/>
      <c r="Q126" s="33">
        <f>I126/geg!$I$26</f>
        <v>0</v>
      </c>
      <c r="R126" s="33">
        <f>J126/geg!$L$26</f>
        <v>0</v>
      </c>
      <c r="S126" s="33">
        <f>K126/geg!$L$26</f>
        <v>0</v>
      </c>
      <c r="T126" s="33">
        <f>L126/geg!$L$26</f>
        <v>0</v>
      </c>
      <c r="U126" s="33">
        <f>M126/geg!$L$26</f>
        <v>0</v>
      </c>
      <c r="V126" s="1"/>
      <c r="W126" s="14"/>
    </row>
    <row r="127" spans="2:23" ht="12" customHeight="1">
      <c r="B127" s="13"/>
      <c r="C127" s="1"/>
      <c r="D127" s="136"/>
      <c r="E127" s="136"/>
      <c r="F127" s="136"/>
      <c r="G127" s="136"/>
      <c r="H127" s="1"/>
      <c r="I127" s="175">
        <v>0</v>
      </c>
      <c r="J127" s="281">
        <f t="shared" si="11"/>
        <v>0</v>
      </c>
      <c r="K127" s="281">
        <f t="shared" si="11"/>
        <v>0</v>
      </c>
      <c r="L127" s="281">
        <f t="shared" si="11"/>
        <v>0</v>
      </c>
      <c r="M127" s="281">
        <f t="shared" si="11"/>
        <v>0</v>
      </c>
      <c r="N127" s="1"/>
      <c r="P127" s="1"/>
      <c r="Q127" s="33">
        <f>I127/geg!$I$26</f>
        <v>0</v>
      </c>
      <c r="R127" s="33">
        <f>J127/geg!$L$26</f>
        <v>0</v>
      </c>
      <c r="S127" s="33">
        <f>K127/geg!$L$26</f>
        <v>0</v>
      </c>
      <c r="T127" s="33">
        <f>L127/geg!$L$26</f>
        <v>0</v>
      </c>
      <c r="U127" s="33">
        <f>M127/geg!$L$26</f>
        <v>0</v>
      </c>
      <c r="V127" s="1"/>
      <c r="W127" s="14"/>
    </row>
    <row r="128" spans="2:23" ht="12" customHeight="1">
      <c r="B128" s="13"/>
      <c r="C128" s="1"/>
      <c r="D128" s="136"/>
      <c r="E128" s="136"/>
      <c r="F128" s="136"/>
      <c r="G128" s="136"/>
      <c r="H128" s="1"/>
      <c r="I128" s="175">
        <v>0</v>
      </c>
      <c r="J128" s="281">
        <f t="shared" si="11"/>
        <v>0</v>
      </c>
      <c r="K128" s="281">
        <f t="shared" si="11"/>
        <v>0</v>
      </c>
      <c r="L128" s="281">
        <f t="shared" si="11"/>
        <v>0</v>
      </c>
      <c r="M128" s="281">
        <f t="shared" si="11"/>
        <v>0</v>
      </c>
      <c r="N128" s="1"/>
      <c r="P128" s="1"/>
      <c r="Q128" s="33">
        <f>I128/geg!$I$26</f>
        <v>0</v>
      </c>
      <c r="R128" s="33">
        <f>J128/geg!$L$26</f>
        <v>0</v>
      </c>
      <c r="S128" s="33">
        <f>K128/geg!$L$26</f>
        <v>0</v>
      </c>
      <c r="T128" s="33">
        <f>L128/geg!$L$26</f>
        <v>0</v>
      </c>
      <c r="U128" s="33">
        <f>M128/geg!$L$26</f>
        <v>0</v>
      </c>
      <c r="V128" s="1"/>
      <c r="W128" s="14"/>
    </row>
    <row r="129" spans="2:23" ht="12" customHeight="1">
      <c r="B129" s="13"/>
      <c r="C129" s="1"/>
      <c r="D129" s="136"/>
      <c r="E129" s="136"/>
      <c r="F129" s="136"/>
      <c r="G129" s="136"/>
      <c r="H129" s="1"/>
      <c r="I129" s="175">
        <v>0</v>
      </c>
      <c r="J129" s="281">
        <f t="shared" si="11"/>
        <v>0</v>
      </c>
      <c r="K129" s="281">
        <f t="shared" si="11"/>
        <v>0</v>
      </c>
      <c r="L129" s="281">
        <f t="shared" si="11"/>
        <v>0</v>
      </c>
      <c r="M129" s="281">
        <f t="shared" si="11"/>
        <v>0</v>
      </c>
      <c r="N129" s="1"/>
      <c r="P129" s="1"/>
      <c r="Q129" s="33">
        <f>I129/geg!$I$26</f>
        <v>0</v>
      </c>
      <c r="R129" s="33">
        <f>J129/geg!$L$26</f>
        <v>0</v>
      </c>
      <c r="S129" s="33">
        <f>K129/geg!$L$26</f>
        <v>0</v>
      </c>
      <c r="T129" s="33">
        <f>L129/geg!$L$26</f>
        <v>0</v>
      </c>
      <c r="U129" s="33">
        <f>M129/geg!$L$26</f>
        <v>0</v>
      </c>
      <c r="V129" s="1"/>
      <c r="W129" s="14"/>
    </row>
    <row r="130" spans="2:23" ht="12" customHeight="1">
      <c r="B130" s="13"/>
      <c r="C130" s="1"/>
      <c r="D130" s="136"/>
      <c r="E130" s="136"/>
      <c r="F130" s="136"/>
      <c r="G130" s="136"/>
      <c r="H130" s="1"/>
      <c r="I130" s="175">
        <v>0</v>
      </c>
      <c r="J130" s="281">
        <f t="shared" si="11"/>
        <v>0</v>
      </c>
      <c r="K130" s="281">
        <f t="shared" si="11"/>
        <v>0</v>
      </c>
      <c r="L130" s="281">
        <f t="shared" si="11"/>
        <v>0</v>
      </c>
      <c r="M130" s="281">
        <f t="shared" si="11"/>
        <v>0</v>
      </c>
      <c r="N130" s="1"/>
      <c r="P130" s="1"/>
      <c r="Q130" s="33">
        <f>I130/geg!$I$26</f>
        <v>0</v>
      </c>
      <c r="R130" s="33">
        <f>J130/geg!$L$26</f>
        <v>0</v>
      </c>
      <c r="S130" s="33">
        <f>K130/geg!$L$26</f>
        <v>0</v>
      </c>
      <c r="T130" s="33">
        <f>L130/geg!$L$26</f>
        <v>0</v>
      </c>
      <c r="U130" s="33">
        <f>M130/geg!$L$26</f>
        <v>0</v>
      </c>
      <c r="V130" s="1"/>
      <c r="W130" s="14"/>
    </row>
    <row r="131" spans="2:23" ht="12" customHeight="1">
      <c r="B131" s="13"/>
      <c r="C131" s="1"/>
      <c r="D131" s="441"/>
      <c r="E131" s="1"/>
      <c r="F131" s="1"/>
      <c r="G131" s="1"/>
      <c r="H131" s="1"/>
      <c r="I131" s="195">
        <f>SUM(I125:I130)</f>
        <v>41432.91582975999</v>
      </c>
      <c r="J131" s="195">
        <f>SUM(J125:J130)</f>
        <v>41800.704207999996</v>
      </c>
      <c r="K131" s="195">
        <f>SUM(K125:K130)</f>
        <v>41800.704207999996</v>
      </c>
      <c r="L131" s="195">
        <f>SUM(L125:L130)</f>
        <v>41800.704207999996</v>
      </c>
      <c r="M131" s="195">
        <f>SUM(M125:M130)</f>
        <v>41800.704207999996</v>
      </c>
      <c r="N131" s="1"/>
      <c r="P131" s="1"/>
      <c r="Q131" s="436">
        <f>SUM(Q126:Q130)</f>
        <v>0</v>
      </c>
      <c r="R131" s="436">
        <f>SUM(R126:R130)</f>
        <v>0</v>
      </c>
      <c r="S131" s="436">
        <f>SUM(S126:S130)</f>
        <v>0</v>
      </c>
      <c r="T131" s="436">
        <f>SUM(T126:T130)</f>
        <v>0</v>
      </c>
      <c r="U131" s="436">
        <f>SUM(U126:U130)</f>
        <v>0</v>
      </c>
      <c r="V131" s="1"/>
      <c r="W131" s="14"/>
    </row>
    <row r="132" spans="2:23" ht="12" customHeight="1">
      <c r="B132" s="13"/>
      <c r="C132" s="1"/>
      <c r="D132" s="94" t="s">
        <v>246</v>
      </c>
      <c r="E132" s="1"/>
      <c r="F132" s="1"/>
      <c r="G132" s="1"/>
      <c r="H132" s="1"/>
      <c r="I132" s="158"/>
      <c r="J132" s="158"/>
      <c r="K132" s="158"/>
      <c r="L132" s="158"/>
      <c r="M132" s="158"/>
      <c r="N132" s="1"/>
      <c r="P132" s="1"/>
      <c r="Q132" s="182"/>
      <c r="R132" s="182"/>
      <c r="S132" s="182"/>
      <c r="T132" s="182"/>
      <c r="U132" s="182"/>
      <c r="V132" s="1"/>
      <c r="W132" s="14"/>
    </row>
    <row r="133" spans="2:23" ht="12" customHeight="1">
      <c r="B133" s="13"/>
      <c r="C133" s="1"/>
      <c r="D133" s="136"/>
      <c r="E133" s="136"/>
      <c r="F133" s="136"/>
      <c r="G133" s="136"/>
      <c r="H133" s="1"/>
      <c r="I133" s="175">
        <v>0</v>
      </c>
      <c r="J133" s="281">
        <f aca="true" t="shared" si="12" ref="J133:M137">+I133</f>
        <v>0</v>
      </c>
      <c r="K133" s="281">
        <f t="shared" si="12"/>
        <v>0</v>
      </c>
      <c r="L133" s="281">
        <f t="shared" si="12"/>
        <v>0</v>
      </c>
      <c r="M133" s="281">
        <f t="shared" si="12"/>
        <v>0</v>
      </c>
      <c r="N133" s="1"/>
      <c r="P133" s="1"/>
      <c r="Q133" s="33">
        <f>I133/geg!$I$26</f>
        <v>0</v>
      </c>
      <c r="R133" s="33">
        <f>J133/geg!$L$26</f>
        <v>0</v>
      </c>
      <c r="S133" s="33">
        <f>K133/geg!$L$26</f>
        <v>0</v>
      </c>
      <c r="T133" s="33">
        <f>L133/geg!$L$26</f>
        <v>0</v>
      </c>
      <c r="U133" s="33">
        <f>M133/geg!$L$26</f>
        <v>0</v>
      </c>
      <c r="V133" s="1"/>
      <c r="W133" s="14"/>
    </row>
    <row r="134" spans="2:23" ht="12" customHeight="1">
      <c r="B134" s="13"/>
      <c r="C134" s="1"/>
      <c r="D134" s="136"/>
      <c r="E134" s="136"/>
      <c r="F134" s="136"/>
      <c r="G134" s="136"/>
      <c r="H134" s="1"/>
      <c r="I134" s="175">
        <v>0</v>
      </c>
      <c r="J134" s="281">
        <f t="shared" si="12"/>
        <v>0</v>
      </c>
      <c r="K134" s="281">
        <f t="shared" si="12"/>
        <v>0</v>
      </c>
      <c r="L134" s="281">
        <f t="shared" si="12"/>
        <v>0</v>
      </c>
      <c r="M134" s="281">
        <f t="shared" si="12"/>
        <v>0</v>
      </c>
      <c r="N134" s="1"/>
      <c r="P134" s="1"/>
      <c r="Q134" s="33">
        <f>I134/geg!$I$26</f>
        <v>0</v>
      </c>
      <c r="R134" s="33">
        <f>J134/geg!$L$26</f>
        <v>0</v>
      </c>
      <c r="S134" s="33">
        <f>K134/geg!$L$26</f>
        <v>0</v>
      </c>
      <c r="T134" s="33">
        <f>L134/geg!$L$26</f>
        <v>0</v>
      </c>
      <c r="U134" s="33">
        <f>M134/geg!$L$26</f>
        <v>0</v>
      </c>
      <c r="V134" s="1"/>
      <c r="W134" s="14"/>
    </row>
    <row r="135" spans="2:23" ht="12" customHeight="1">
      <c r="B135" s="13"/>
      <c r="C135" s="1"/>
      <c r="D135" s="136"/>
      <c r="E135" s="136"/>
      <c r="F135" s="136"/>
      <c r="G135" s="136"/>
      <c r="H135" s="1"/>
      <c r="I135" s="175">
        <v>0</v>
      </c>
      <c r="J135" s="281">
        <f t="shared" si="12"/>
        <v>0</v>
      </c>
      <c r="K135" s="281">
        <f t="shared" si="12"/>
        <v>0</v>
      </c>
      <c r="L135" s="281">
        <f t="shared" si="12"/>
        <v>0</v>
      </c>
      <c r="M135" s="281">
        <f t="shared" si="12"/>
        <v>0</v>
      </c>
      <c r="N135" s="1"/>
      <c r="P135" s="1"/>
      <c r="Q135" s="33">
        <f>I135/geg!$I$26</f>
        <v>0</v>
      </c>
      <c r="R135" s="33">
        <f>J135/geg!$L$26</f>
        <v>0</v>
      </c>
      <c r="S135" s="33">
        <f>K135/geg!$L$26</f>
        <v>0</v>
      </c>
      <c r="T135" s="33">
        <f>L135/geg!$L$26</f>
        <v>0</v>
      </c>
      <c r="U135" s="33">
        <f>M135/geg!$L$26</f>
        <v>0</v>
      </c>
      <c r="V135" s="1"/>
      <c r="W135" s="14"/>
    </row>
    <row r="136" spans="2:23" ht="12" customHeight="1">
      <c r="B136" s="13"/>
      <c r="C136" s="1"/>
      <c r="D136" s="136"/>
      <c r="E136" s="136"/>
      <c r="F136" s="136"/>
      <c r="G136" s="136"/>
      <c r="H136" s="1"/>
      <c r="I136" s="175">
        <v>0</v>
      </c>
      <c r="J136" s="281">
        <f t="shared" si="12"/>
        <v>0</v>
      </c>
      <c r="K136" s="281">
        <f t="shared" si="12"/>
        <v>0</v>
      </c>
      <c r="L136" s="281">
        <f t="shared" si="12"/>
        <v>0</v>
      </c>
      <c r="M136" s="281">
        <f t="shared" si="12"/>
        <v>0</v>
      </c>
      <c r="N136" s="1"/>
      <c r="P136" s="1"/>
      <c r="Q136" s="33">
        <f>I136/geg!$I$26</f>
        <v>0</v>
      </c>
      <c r="R136" s="33">
        <f>J136/geg!$L$26</f>
        <v>0</v>
      </c>
      <c r="S136" s="33">
        <f>K136/geg!$L$26</f>
        <v>0</v>
      </c>
      <c r="T136" s="33">
        <f>L136/geg!$L$26</f>
        <v>0</v>
      </c>
      <c r="U136" s="33">
        <f>M136/geg!$L$26</f>
        <v>0</v>
      </c>
      <c r="V136" s="1"/>
      <c r="W136" s="14"/>
    </row>
    <row r="137" spans="2:23" ht="12" customHeight="1">
      <c r="B137" s="13"/>
      <c r="C137" s="1"/>
      <c r="D137" s="136"/>
      <c r="E137" s="136"/>
      <c r="F137" s="136"/>
      <c r="G137" s="136"/>
      <c r="H137" s="1"/>
      <c r="I137" s="175">
        <v>0</v>
      </c>
      <c r="J137" s="281">
        <f t="shared" si="12"/>
        <v>0</v>
      </c>
      <c r="K137" s="281">
        <f t="shared" si="12"/>
        <v>0</v>
      </c>
      <c r="L137" s="281">
        <f t="shared" si="12"/>
        <v>0</v>
      </c>
      <c r="M137" s="281">
        <f t="shared" si="12"/>
        <v>0</v>
      </c>
      <c r="N137" s="1"/>
      <c r="P137" s="1"/>
      <c r="Q137" s="33">
        <f>I137/geg!$I$26</f>
        <v>0</v>
      </c>
      <c r="R137" s="33">
        <f>J137/geg!$L$26</f>
        <v>0</v>
      </c>
      <c r="S137" s="33">
        <f>K137/geg!$L$26</f>
        <v>0</v>
      </c>
      <c r="T137" s="33">
        <f>L137/geg!$L$26</f>
        <v>0</v>
      </c>
      <c r="U137" s="33">
        <f>M137/geg!$L$26</f>
        <v>0</v>
      </c>
      <c r="V137" s="1"/>
      <c r="W137" s="14"/>
    </row>
    <row r="138" spans="2:23" ht="12" customHeight="1">
      <c r="B138" s="13"/>
      <c r="C138" s="1"/>
      <c r="D138" s="442"/>
      <c r="E138" s="1"/>
      <c r="F138" s="1"/>
      <c r="G138" s="1"/>
      <c r="H138" s="1"/>
      <c r="I138" s="195">
        <f>SUM(I133:I137)</f>
        <v>0</v>
      </c>
      <c r="J138" s="195">
        <f>SUM(J133:J137)</f>
        <v>0</v>
      </c>
      <c r="K138" s="195">
        <f>SUM(K133:K137)</f>
        <v>0</v>
      </c>
      <c r="L138" s="195">
        <f>SUM(L133:L137)</f>
        <v>0</v>
      </c>
      <c r="M138" s="195">
        <f>SUM(M133:M137)</f>
        <v>0</v>
      </c>
      <c r="N138" s="1"/>
      <c r="P138" s="1"/>
      <c r="Q138" s="436">
        <f>SUM(Q133:Q137)</f>
        <v>0</v>
      </c>
      <c r="R138" s="436">
        <f>SUM(R133:R137)</f>
        <v>0</v>
      </c>
      <c r="S138" s="436">
        <f>SUM(S133:S137)</f>
        <v>0</v>
      </c>
      <c r="T138" s="436">
        <f>SUM(T133:T137)</f>
        <v>0</v>
      </c>
      <c r="U138" s="436">
        <f>SUM(U133:U137)</f>
        <v>0</v>
      </c>
      <c r="V138" s="1"/>
      <c r="W138" s="14"/>
    </row>
    <row r="139" spans="2:23" ht="12" customHeight="1">
      <c r="B139" s="13"/>
      <c r="C139" s="1"/>
      <c r="D139" s="1"/>
      <c r="E139" s="1"/>
      <c r="F139" s="1"/>
      <c r="G139" s="1"/>
      <c r="H139" s="1"/>
      <c r="I139" s="158"/>
      <c r="J139" s="158"/>
      <c r="K139" s="158"/>
      <c r="L139" s="158"/>
      <c r="M139" s="158"/>
      <c r="N139" s="1"/>
      <c r="P139" s="1"/>
      <c r="Q139" s="182"/>
      <c r="R139" s="182"/>
      <c r="S139" s="182"/>
      <c r="T139" s="182"/>
      <c r="U139" s="182"/>
      <c r="V139" s="1"/>
      <c r="W139" s="14"/>
    </row>
    <row r="140" spans="2:23" ht="12" customHeight="1">
      <c r="B140" s="13"/>
      <c r="C140" s="1"/>
      <c r="D140" s="159" t="s">
        <v>247</v>
      </c>
      <c r="E140" s="1"/>
      <c r="F140" s="1"/>
      <c r="G140" s="1"/>
      <c r="H140" s="1"/>
      <c r="I140" s="178">
        <f>I131-I138</f>
        <v>41432.91582975999</v>
      </c>
      <c r="J140" s="178">
        <f>J131-J138</f>
        <v>41800.704207999996</v>
      </c>
      <c r="K140" s="178">
        <f>K131-K138</f>
        <v>41800.704207999996</v>
      </c>
      <c r="L140" s="178">
        <f>L131-L138</f>
        <v>41800.704207999996</v>
      </c>
      <c r="M140" s="178">
        <f>M131-M138</f>
        <v>41800.704207999996</v>
      </c>
      <c r="N140" s="1"/>
      <c r="P140" s="1"/>
      <c r="Q140" s="190">
        <f>Q131-Q138</f>
        <v>0</v>
      </c>
      <c r="R140" s="190">
        <f>R131-R138</f>
        <v>0</v>
      </c>
      <c r="S140" s="190">
        <f>S131-S138</f>
        <v>0</v>
      </c>
      <c r="T140" s="190">
        <f>T131-T138</f>
        <v>0</v>
      </c>
      <c r="U140" s="190">
        <f>U131-U138</f>
        <v>0</v>
      </c>
      <c r="V140" s="1"/>
      <c r="W140" s="14"/>
    </row>
    <row r="141" spans="2:23" ht="12" customHeight="1">
      <c r="B141" s="13"/>
      <c r="C141" s="1"/>
      <c r="D141" s="1"/>
      <c r="E141" s="1"/>
      <c r="F141" s="1"/>
      <c r="G141" s="1"/>
      <c r="H141" s="1"/>
      <c r="I141" s="158"/>
      <c r="J141" s="158"/>
      <c r="K141" s="158"/>
      <c r="L141" s="158"/>
      <c r="M141" s="158"/>
      <c r="N141" s="1"/>
      <c r="P141" s="1"/>
      <c r="Q141" s="182"/>
      <c r="R141" s="182"/>
      <c r="S141" s="182"/>
      <c r="T141" s="182"/>
      <c r="U141" s="182"/>
      <c r="V141" s="1"/>
      <c r="W141" s="14"/>
    </row>
    <row r="142" spans="2:23" ht="12" customHeight="1">
      <c r="B142" s="13"/>
      <c r="C142" s="1"/>
      <c r="D142" s="1"/>
      <c r="E142" s="1"/>
      <c r="F142" s="1"/>
      <c r="G142" s="1"/>
      <c r="H142" s="1"/>
      <c r="I142" s="158"/>
      <c r="J142" s="158"/>
      <c r="K142" s="158"/>
      <c r="L142" s="158"/>
      <c r="M142" s="158"/>
      <c r="N142" s="1"/>
      <c r="P142" s="1"/>
      <c r="Q142" s="182"/>
      <c r="R142" s="182"/>
      <c r="S142" s="182"/>
      <c r="T142" s="182"/>
      <c r="U142" s="182"/>
      <c r="V142" s="1"/>
      <c r="W142" s="14"/>
    </row>
    <row r="143" spans="2:23" ht="12" customHeight="1">
      <c r="B143" s="13"/>
      <c r="C143" s="1"/>
      <c r="D143" s="3" t="s">
        <v>667</v>
      </c>
      <c r="E143" s="1"/>
      <c r="F143" s="1"/>
      <c r="G143" s="1"/>
      <c r="H143" s="1"/>
      <c r="I143" s="177">
        <f>I99+I109+I119-I140</f>
        <v>2030500.2041702403</v>
      </c>
      <c r="J143" s="177">
        <f>J99+J109+J119-J140</f>
        <v>2048521.8357920002</v>
      </c>
      <c r="K143" s="177">
        <f>K99+K109+K119-K140</f>
        <v>2048521.8357920002</v>
      </c>
      <c r="L143" s="177">
        <f>L99+L109+L119-L140</f>
        <v>2048521.8357920002</v>
      </c>
      <c r="M143" s="177">
        <f>M99+M109+M119-M140</f>
        <v>2048521.8357920002</v>
      </c>
      <c r="N143" s="1"/>
      <c r="P143" s="1"/>
      <c r="Q143" s="319">
        <f>Q99+Q109+Q119-Q140</f>
        <v>33.66108333595475</v>
      </c>
      <c r="R143" s="319">
        <f>R99+R109+R119-R140</f>
        <v>33.95988333595475</v>
      </c>
      <c r="S143" s="319">
        <f>S99+S109+S119-S140</f>
        <v>33.95988333595475</v>
      </c>
      <c r="T143" s="319">
        <f>T99+T109+T119-T140</f>
        <v>33.95988333595475</v>
      </c>
      <c r="U143" s="319">
        <f>U99+U109+U119-U140</f>
        <v>33.95988333595475</v>
      </c>
      <c r="V143" s="1"/>
      <c r="W143" s="14"/>
    </row>
    <row r="144" spans="2:23" ht="12" customHeight="1">
      <c r="B144" s="13"/>
      <c r="C144" s="1"/>
      <c r="D144" s="1"/>
      <c r="E144" s="1"/>
      <c r="F144" s="1"/>
      <c r="G144" s="1"/>
      <c r="H144" s="1"/>
      <c r="I144" s="158"/>
      <c r="J144" s="158"/>
      <c r="K144" s="158"/>
      <c r="L144" s="158"/>
      <c r="M144" s="158"/>
      <c r="N144" s="1"/>
      <c r="P144" s="1"/>
      <c r="Q144" s="182"/>
      <c r="R144" s="182"/>
      <c r="S144" s="182"/>
      <c r="T144" s="182"/>
      <c r="U144" s="182"/>
      <c r="V144" s="1"/>
      <c r="W144" s="14"/>
    </row>
    <row r="145" spans="2:23" ht="12" customHeight="1">
      <c r="B145" s="13"/>
      <c r="D145" s="7"/>
      <c r="G145" s="122"/>
      <c r="I145" s="134"/>
      <c r="J145" s="134"/>
      <c r="K145" s="134"/>
      <c r="L145" s="134"/>
      <c r="M145" s="134"/>
      <c r="Q145" s="192"/>
      <c r="R145" s="192"/>
      <c r="S145" s="192"/>
      <c r="T145" s="192"/>
      <c r="U145" s="192"/>
      <c r="W145" s="14"/>
    </row>
    <row r="146" spans="2:23" ht="12" customHeight="1" thickBot="1">
      <c r="B146" s="48"/>
      <c r="C146" s="49"/>
      <c r="D146" s="49"/>
      <c r="E146" s="49"/>
      <c r="F146" s="49"/>
      <c r="G146" s="49"/>
      <c r="H146" s="49"/>
      <c r="I146" s="172"/>
      <c r="J146" s="172"/>
      <c r="K146" s="172"/>
      <c r="L146" s="172"/>
      <c r="M146" s="172"/>
      <c r="N146" s="49"/>
      <c r="O146" s="49"/>
      <c r="P146" s="49"/>
      <c r="Q146" s="455"/>
      <c r="R146" s="455"/>
      <c r="S146" s="455"/>
      <c r="T146" s="455"/>
      <c r="U146" s="455"/>
      <c r="V146" s="49"/>
      <c r="W146" s="51"/>
    </row>
    <row r="147" spans="2:23" ht="12" customHeight="1">
      <c r="B147" s="9"/>
      <c r="C147" s="10"/>
      <c r="D147" s="10"/>
      <c r="E147" s="10"/>
      <c r="F147" s="10"/>
      <c r="G147" s="166"/>
      <c r="H147" s="10"/>
      <c r="I147" s="173"/>
      <c r="J147" s="173"/>
      <c r="K147" s="173"/>
      <c r="L147" s="173"/>
      <c r="M147" s="173"/>
      <c r="N147" s="10"/>
      <c r="O147" s="10"/>
      <c r="P147" s="10"/>
      <c r="Q147" s="317"/>
      <c r="R147" s="317"/>
      <c r="S147" s="317"/>
      <c r="T147" s="317"/>
      <c r="U147" s="317"/>
      <c r="V147" s="10"/>
      <c r="W147" s="12"/>
    </row>
    <row r="148" spans="2:23" ht="12" customHeight="1">
      <c r="B148" s="13"/>
      <c r="D148" s="7"/>
      <c r="G148" s="122"/>
      <c r="I148" s="134"/>
      <c r="J148" s="134"/>
      <c r="K148" s="134"/>
      <c r="L148" s="134"/>
      <c r="M148" s="134"/>
      <c r="Q148" s="192"/>
      <c r="R148" s="192"/>
      <c r="S148" s="192"/>
      <c r="T148" s="192"/>
      <c r="U148" s="192"/>
      <c r="W148" s="14"/>
    </row>
    <row r="149" spans="2:37" ht="18">
      <c r="B149" s="13"/>
      <c r="C149" s="123" t="s">
        <v>243</v>
      </c>
      <c r="D149" s="7"/>
      <c r="P149" s="123"/>
      <c r="W149" s="14"/>
      <c r="Y149" s="62"/>
      <c r="Z149" s="62"/>
      <c r="AA149" s="62"/>
      <c r="AB149" s="62"/>
      <c r="AC149" s="62"/>
      <c r="AD149" s="62"/>
      <c r="AE149" s="62"/>
      <c r="AF149" s="62"/>
      <c r="AG149" s="62"/>
      <c r="AH149" s="62"/>
      <c r="AI149" s="62"/>
      <c r="AJ149" s="62"/>
      <c r="AK149" s="62"/>
    </row>
    <row r="150" spans="2:23" ht="12" customHeight="1">
      <c r="B150" s="13"/>
      <c r="D150" s="7"/>
      <c r="G150" s="122"/>
      <c r="I150" s="134"/>
      <c r="J150" s="134"/>
      <c r="K150" s="134"/>
      <c r="L150" s="134"/>
      <c r="M150" s="134"/>
      <c r="Q150" s="192"/>
      <c r="R150" s="192"/>
      <c r="S150" s="192"/>
      <c r="T150" s="192"/>
      <c r="U150" s="192"/>
      <c r="W150" s="14"/>
    </row>
    <row r="151" spans="2:23" ht="12" customHeight="1">
      <c r="B151" s="13"/>
      <c r="D151" s="7"/>
      <c r="G151" s="122"/>
      <c r="I151" s="134"/>
      <c r="J151" s="134"/>
      <c r="K151" s="134"/>
      <c r="L151" s="134"/>
      <c r="M151" s="134"/>
      <c r="Q151" s="192"/>
      <c r="R151" s="192"/>
      <c r="S151" s="192"/>
      <c r="T151" s="192"/>
      <c r="U151" s="192"/>
      <c r="W151" s="14"/>
    </row>
    <row r="152" spans="2:37" ht="12" customHeight="1">
      <c r="B152" s="13"/>
      <c r="I152" s="540" t="s">
        <v>739</v>
      </c>
      <c r="J152" s="540"/>
      <c r="K152" s="540"/>
      <c r="L152" s="540"/>
      <c r="M152" s="21"/>
      <c r="Q152" s="539" t="s">
        <v>124</v>
      </c>
      <c r="R152" s="539"/>
      <c r="S152" s="539"/>
      <c r="T152" s="539"/>
      <c r="U152" s="89"/>
      <c r="W152" s="14"/>
      <c r="Y152" s="62"/>
      <c r="Z152" s="62"/>
      <c r="AA152" s="62"/>
      <c r="AB152" s="62"/>
      <c r="AC152" s="62"/>
      <c r="AD152" s="62"/>
      <c r="AE152" s="62"/>
      <c r="AF152" s="62"/>
      <c r="AG152" s="62"/>
      <c r="AH152" s="62"/>
      <c r="AI152" s="62"/>
      <c r="AJ152" s="62"/>
      <c r="AK152" s="62"/>
    </row>
    <row r="153" spans="2:37" s="252" customFormat="1" ht="12" customHeight="1">
      <c r="B153" s="437"/>
      <c r="D153" s="438"/>
      <c r="I153" s="329" t="str">
        <f>I8</f>
        <v>2009/10</v>
      </c>
      <c r="J153" s="329" t="str">
        <f>J8</f>
        <v>2010/11</v>
      </c>
      <c r="K153" s="329" t="str">
        <f>K8</f>
        <v>2011/12</v>
      </c>
      <c r="L153" s="329" t="str">
        <f>L8</f>
        <v>2012/13</v>
      </c>
      <c r="M153" s="329" t="str">
        <f>M8</f>
        <v>2013/14</v>
      </c>
      <c r="Q153" s="21" t="str">
        <f>I153</f>
        <v>2009/10</v>
      </c>
      <c r="R153" s="21" t="str">
        <f>J153</f>
        <v>2010/11</v>
      </c>
      <c r="S153" s="21" t="str">
        <f>K153</f>
        <v>2011/12</v>
      </c>
      <c r="T153" s="21" t="str">
        <f>L153</f>
        <v>2012/13</v>
      </c>
      <c r="U153" s="21" t="str">
        <f>M153</f>
        <v>2013/14</v>
      </c>
      <c r="W153" s="439"/>
      <c r="Y153" s="440"/>
      <c r="Z153" s="440"/>
      <c r="AA153" s="440"/>
      <c r="AB153" s="440"/>
      <c r="AC153" s="440"/>
      <c r="AD153" s="440"/>
      <c r="AE153" s="440"/>
      <c r="AF153" s="440"/>
      <c r="AG153" s="440"/>
      <c r="AH153" s="440"/>
      <c r="AI153" s="440"/>
      <c r="AJ153" s="440"/>
      <c r="AK153" s="440"/>
    </row>
    <row r="154" spans="2:23" ht="12" customHeight="1">
      <c r="B154" s="13"/>
      <c r="I154" s="134"/>
      <c r="J154" s="134"/>
      <c r="K154" s="134"/>
      <c r="L154" s="134"/>
      <c r="M154" s="134"/>
      <c r="Q154" s="192"/>
      <c r="R154" s="192"/>
      <c r="S154" s="192"/>
      <c r="T154" s="192"/>
      <c r="U154" s="192"/>
      <c r="W154" s="14"/>
    </row>
    <row r="155" spans="2:23" ht="12" customHeight="1">
      <c r="B155" s="13"/>
      <c r="C155" s="1"/>
      <c r="D155" s="1"/>
      <c r="E155" s="1"/>
      <c r="F155" s="1"/>
      <c r="G155" s="1"/>
      <c r="H155" s="1"/>
      <c r="I155" s="158"/>
      <c r="J155" s="158"/>
      <c r="K155" s="158"/>
      <c r="L155" s="158"/>
      <c r="M155" s="158"/>
      <c r="N155" s="1"/>
      <c r="P155" s="1"/>
      <c r="Q155" s="182"/>
      <c r="R155" s="182"/>
      <c r="S155" s="182"/>
      <c r="T155" s="182"/>
      <c r="U155" s="182"/>
      <c r="V155" s="1"/>
      <c r="W155" s="14"/>
    </row>
    <row r="156" spans="2:23" ht="12" customHeight="1">
      <c r="B156" s="13"/>
      <c r="C156" s="1"/>
      <c r="D156" s="3" t="s">
        <v>249</v>
      </c>
      <c r="E156" s="1"/>
      <c r="F156" s="1"/>
      <c r="G156" s="1"/>
      <c r="H156" s="1"/>
      <c r="I156" s="158"/>
      <c r="J156" s="158"/>
      <c r="K156" s="158"/>
      <c r="L156" s="158"/>
      <c r="M156" s="158"/>
      <c r="N156" s="1"/>
      <c r="P156" s="1"/>
      <c r="Q156" s="182"/>
      <c r="R156" s="182"/>
      <c r="S156" s="182"/>
      <c r="T156" s="182"/>
      <c r="U156" s="182"/>
      <c r="V156" s="1"/>
      <c r="W156" s="14"/>
    </row>
    <row r="157" spans="2:23" ht="12" customHeight="1">
      <c r="B157" s="13"/>
      <c r="C157" s="1"/>
      <c r="D157" s="1"/>
      <c r="E157" s="1"/>
      <c r="F157" s="1"/>
      <c r="G157" s="1"/>
      <c r="H157" s="1"/>
      <c r="I157" s="158"/>
      <c r="J157" s="158"/>
      <c r="K157" s="158"/>
      <c r="L157" s="158"/>
      <c r="M157" s="158"/>
      <c r="N157" s="1"/>
      <c r="P157" s="1"/>
      <c r="Q157" s="182"/>
      <c r="R157" s="182"/>
      <c r="S157" s="182"/>
      <c r="T157" s="182"/>
      <c r="U157" s="182"/>
      <c r="V157" s="1"/>
      <c r="W157" s="14"/>
    </row>
    <row r="158" spans="2:23" ht="12" customHeight="1">
      <c r="B158" s="13"/>
      <c r="C158" s="1"/>
      <c r="D158" s="136"/>
      <c r="E158" s="136"/>
      <c r="F158" s="136"/>
      <c r="G158" s="136"/>
      <c r="H158" s="1"/>
      <c r="I158" s="175">
        <v>0</v>
      </c>
      <c r="J158" s="281">
        <f aca="true" t="shared" si="13" ref="J158:M160">+I158</f>
        <v>0</v>
      </c>
      <c r="K158" s="281">
        <f t="shared" si="13"/>
        <v>0</v>
      </c>
      <c r="L158" s="281">
        <f t="shared" si="13"/>
        <v>0</v>
      </c>
      <c r="M158" s="281">
        <f t="shared" si="13"/>
        <v>0</v>
      </c>
      <c r="N158" s="1"/>
      <c r="P158" s="1"/>
      <c r="Q158" s="33">
        <f>I158/geg!$I$26</f>
        <v>0</v>
      </c>
      <c r="R158" s="33">
        <f>J158/geg!$L$26</f>
        <v>0</v>
      </c>
      <c r="S158" s="33">
        <f>K158/geg!$L$26</f>
        <v>0</v>
      </c>
      <c r="T158" s="33">
        <f>L158/geg!$L$26</f>
        <v>0</v>
      </c>
      <c r="U158" s="33">
        <f>M158/geg!$L$26</f>
        <v>0</v>
      </c>
      <c r="V158" s="1"/>
      <c r="W158" s="14"/>
    </row>
    <row r="159" spans="2:23" ht="12" customHeight="1">
      <c r="B159" s="13"/>
      <c r="C159" s="1"/>
      <c r="D159" s="136"/>
      <c r="E159" s="136"/>
      <c r="F159" s="136"/>
      <c r="G159" s="136"/>
      <c r="H159" s="1"/>
      <c r="I159" s="175">
        <v>0</v>
      </c>
      <c r="J159" s="281">
        <f t="shared" si="13"/>
        <v>0</v>
      </c>
      <c r="K159" s="281">
        <f t="shared" si="13"/>
        <v>0</v>
      </c>
      <c r="L159" s="281">
        <f t="shared" si="13"/>
        <v>0</v>
      </c>
      <c r="M159" s="281">
        <f t="shared" si="13"/>
        <v>0</v>
      </c>
      <c r="N159" s="1"/>
      <c r="P159" s="1"/>
      <c r="Q159" s="33">
        <f>I159/geg!$I$26</f>
        <v>0</v>
      </c>
      <c r="R159" s="33">
        <f>J159/geg!$L$26</f>
        <v>0</v>
      </c>
      <c r="S159" s="33">
        <f>K159/geg!$L$26</f>
        <v>0</v>
      </c>
      <c r="T159" s="33">
        <f>L159/geg!$L$26</f>
        <v>0</v>
      </c>
      <c r="U159" s="33">
        <f>M159/geg!$L$26</f>
        <v>0</v>
      </c>
      <c r="V159" s="1"/>
      <c r="W159" s="14"/>
    </row>
    <row r="160" spans="2:23" ht="12" customHeight="1">
      <c r="B160" s="13"/>
      <c r="C160" s="1"/>
      <c r="D160" s="136"/>
      <c r="E160" s="136"/>
      <c r="F160" s="136"/>
      <c r="G160" s="136"/>
      <c r="H160" s="1"/>
      <c r="I160" s="175">
        <v>0</v>
      </c>
      <c r="J160" s="281">
        <f t="shared" si="13"/>
        <v>0</v>
      </c>
      <c r="K160" s="281">
        <f t="shared" si="13"/>
        <v>0</v>
      </c>
      <c r="L160" s="281">
        <f t="shared" si="13"/>
        <v>0</v>
      </c>
      <c r="M160" s="281">
        <f t="shared" si="13"/>
        <v>0</v>
      </c>
      <c r="N160" s="1"/>
      <c r="P160" s="1"/>
      <c r="Q160" s="33">
        <f>I160/geg!$I$26</f>
        <v>0</v>
      </c>
      <c r="R160" s="33">
        <f>J160/geg!$L$26</f>
        <v>0</v>
      </c>
      <c r="S160" s="33">
        <f>K160/geg!$L$26</f>
        <v>0</v>
      </c>
      <c r="T160" s="33">
        <f>L160/geg!$L$26</f>
        <v>0</v>
      </c>
      <c r="U160" s="33">
        <f>M160/geg!$L$26</f>
        <v>0</v>
      </c>
      <c r="V160" s="1"/>
      <c r="W160" s="14"/>
    </row>
    <row r="161" spans="2:23" ht="12" customHeight="1">
      <c r="B161" s="13"/>
      <c r="C161" s="1"/>
      <c r="D161" s="136"/>
      <c r="E161" s="136"/>
      <c r="F161" s="136"/>
      <c r="G161" s="136"/>
      <c r="H161" s="1"/>
      <c r="I161" s="175">
        <v>0</v>
      </c>
      <c r="J161" s="281">
        <f aca="true" t="shared" si="14" ref="J161:M162">+I161</f>
        <v>0</v>
      </c>
      <c r="K161" s="281">
        <f t="shared" si="14"/>
        <v>0</v>
      </c>
      <c r="L161" s="281">
        <f t="shared" si="14"/>
        <v>0</v>
      </c>
      <c r="M161" s="281">
        <f t="shared" si="14"/>
        <v>0</v>
      </c>
      <c r="N161" s="1"/>
      <c r="P161" s="1"/>
      <c r="Q161" s="33">
        <f>I161/geg!$I$26</f>
        <v>0</v>
      </c>
      <c r="R161" s="33">
        <f>J161/geg!$L$26</f>
        <v>0</v>
      </c>
      <c r="S161" s="33">
        <f>K161/geg!$L$26</f>
        <v>0</v>
      </c>
      <c r="T161" s="33">
        <f>L161/geg!$L$26</f>
        <v>0</v>
      </c>
      <c r="U161" s="33">
        <f>M161/geg!$L$26</f>
        <v>0</v>
      </c>
      <c r="V161" s="1"/>
      <c r="W161" s="14"/>
    </row>
    <row r="162" spans="2:23" ht="12" customHeight="1">
      <c r="B162" s="13"/>
      <c r="C162" s="1"/>
      <c r="D162" s="136"/>
      <c r="E162" s="136"/>
      <c r="F162" s="136"/>
      <c r="G162" s="136"/>
      <c r="H162" s="1"/>
      <c r="I162" s="175">
        <v>0</v>
      </c>
      <c r="J162" s="281">
        <f t="shared" si="14"/>
        <v>0</v>
      </c>
      <c r="K162" s="281">
        <f t="shared" si="14"/>
        <v>0</v>
      </c>
      <c r="L162" s="281">
        <f t="shared" si="14"/>
        <v>0</v>
      </c>
      <c r="M162" s="281">
        <f t="shared" si="14"/>
        <v>0</v>
      </c>
      <c r="N162" s="1"/>
      <c r="P162" s="1"/>
      <c r="Q162" s="33">
        <f>I162/geg!$I$26</f>
        <v>0</v>
      </c>
      <c r="R162" s="33">
        <f>J162/geg!$L$26</f>
        <v>0</v>
      </c>
      <c r="S162" s="33">
        <f>K162/geg!$L$26</f>
        <v>0</v>
      </c>
      <c r="T162" s="33">
        <f>L162/geg!$L$26</f>
        <v>0</v>
      </c>
      <c r="U162" s="33">
        <f>M162/geg!$L$26</f>
        <v>0</v>
      </c>
      <c r="V162" s="1"/>
      <c r="W162" s="14"/>
    </row>
    <row r="163" spans="2:23" ht="12" customHeight="1">
      <c r="B163" s="13"/>
      <c r="C163" s="1"/>
      <c r="D163" s="1"/>
      <c r="E163" s="1"/>
      <c r="F163" s="1"/>
      <c r="G163" s="1"/>
      <c r="H163" s="1"/>
      <c r="I163" s="158"/>
      <c r="J163" s="158"/>
      <c r="K163" s="158"/>
      <c r="L163" s="158"/>
      <c r="M163" s="158"/>
      <c r="N163" s="1"/>
      <c r="P163" s="1"/>
      <c r="Q163" s="182"/>
      <c r="R163" s="182"/>
      <c r="S163" s="182"/>
      <c r="T163" s="182"/>
      <c r="U163" s="182"/>
      <c r="V163" s="1"/>
      <c r="W163" s="14"/>
    </row>
    <row r="164" spans="2:23" ht="12" customHeight="1">
      <c r="B164" s="13"/>
      <c r="C164" s="1"/>
      <c r="D164" s="3" t="s">
        <v>700</v>
      </c>
      <c r="E164" s="1"/>
      <c r="F164" s="1"/>
      <c r="G164" s="84"/>
      <c r="H164" s="1"/>
      <c r="I164" s="177">
        <f>SUM(I158:I162)</f>
        <v>0</v>
      </c>
      <c r="J164" s="177">
        <f>SUM(J158:J162)</f>
        <v>0</v>
      </c>
      <c r="K164" s="177">
        <f>SUM(K158:K162)</f>
        <v>0</v>
      </c>
      <c r="L164" s="177">
        <f>SUM(L158:L162)</f>
        <v>0</v>
      </c>
      <c r="M164" s="177">
        <f>SUM(M158:M162)</f>
        <v>0</v>
      </c>
      <c r="N164" s="1"/>
      <c r="P164" s="1"/>
      <c r="Q164" s="42">
        <f>SUM(Q158:Q162)</f>
        <v>0</v>
      </c>
      <c r="R164" s="42">
        <f>SUM(R158:R162)</f>
        <v>0</v>
      </c>
      <c r="S164" s="42">
        <f>SUM(S158:S162)</f>
        <v>0</v>
      </c>
      <c r="T164" s="42">
        <f>SUM(T158:T162)</f>
        <v>0</v>
      </c>
      <c r="U164" s="42">
        <f>SUM(U158:U162)</f>
        <v>0</v>
      </c>
      <c r="V164" s="1"/>
      <c r="W164" s="14"/>
    </row>
    <row r="165" spans="2:23" ht="12" customHeight="1">
      <c r="B165" s="13"/>
      <c r="C165" s="1"/>
      <c r="D165" s="1"/>
      <c r="E165" s="1"/>
      <c r="F165" s="1"/>
      <c r="G165" s="1"/>
      <c r="H165" s="1"/>
      <c r="I165" s="158"/>
      <c r="J165" s="158"/>
      <c r="K165" s="158"/>
      <c r="L165" s="158"/>
      <c r="M165" s="158"/>
      <c r="N165" s="1"/>
      <c r="P165" s="1"/>
      <c r="Q165" s="182"/>
      <c r="R165" s="182"/>
      <c r="S165" s="182"/>
      <c r="T165" s="182"/>
      <c r="U165" s="182"/>
      <c r="V165" s="1"/>
      <c r="W165" s="14"/>
    </row>
    <row r="166" spans="2:23" ht="12" customHeight="1">
      <c r="B166" s="13"/>
      <c r="D166" s="7"/>
      <c r="I166" s="134"/>
      <c r="J166" s="134"/>
      <c r="K166" s="134"/>
      <c r="L166" s="134"/>
      <c r="M166" s="134"/>
      <c r="Q166" s="192"/>
      <c r="R166" s="192"/>
      <c r="S166" s="192"/>
      <c r="T166" s="192"/>
      <c r="U166" s="192"/>
      <c r="W166" s="14"/>
    </row>
    <row r="167" spans="2:23" ht="12" customHeight="1">
      <c r="B167" s="13"/>
      <c r="C167" s="1"/>
      <c r="D167" s="1"/>
      <c r="E167" s="1"/>
      <c r="F167" s="1"/>
      <c r="G167" s="1"/>
      <c r="H167" s="1"/>
      <c r="I167" s="158"/>
      <c r="J167" s="158"/>
      <c r="K167" s="158"/>
      <c r="L167" s="158"/>
      <c r="M167" s="158"/>
      <c r="N167" s="1"/>
      <c r="P167" s="1"/>
      <c r="Q167" s="182"/>
      <c r="R167" s="182"/>
      <c r="S167" s="182"/>
      <c r="T167" s="182"/>
      <c r="U167" s="182"/>
      <c r="V167" s="1"/>
      <c r="W167" s="14"/>
    </row>
    <row r="168" spans="2:23" ht="12" customHeight="1">
      <c r="B168" s="13"/>
      <c r="C168" s="1"/>
      <c r="D168" s="3" t="s">
        <v>612</v>
      </c>
      <c r="E168" s="1"/>
      <c r="F168" s="1"/>
      <c r="G168" s="1"/>
      <c r="H168" s="1"/>
      <c r="I168" s="158"/>
      <c r="J168" s="158"/>
      <c r="K168" s="158"/>
      <c r="L168" s="158"/>
      <c r="M168" s="158"/>
      <c r="N168" s="1"/>
      <c r="P168" s="1"/>
      <c r="Q168" s="182"/>
      <c r="R168" s="182"/>
      <c r="S168" s="182"/>
      <c r="T168" s="182"/>
      <c r="U168" s="182"/>
      <c r="V168" s="1"/>
      <c r="W168" s="14"/>
    </row>
    <row r="169" spans="2:23" ht="12" customHeight="1">
      <c r="B169" s="13"/>
      <c r="C169" s="1"/>
      <c r="D169" s="1"/>
      <c r="E169" s="1"/>
      <c r="F169" s="1"/>
      <c r="G169" s="1"/>
      <c r="H169" s="1"/>
      <c r="I169" s="158"/>
      <c r="J169" s="158"/>
      <c r="K169" s="158"/>
      <c r="L169" s="158"/>
      <c r="M169" s="158"/>
      <c r="N169" s="1"/>
      <c r="P169" s="1"/>
      <c r="Q169" s="182"/>
      <c r="R169" s="182"/>
      <c r="S169" s="182"/>
      <c r="T169" s="182"/>
      <c r="U169" s="182"/>
      <c r="V169" s="1"/>
      <c r="W169" s="14"/>
    </row>
    <row r="170" spans="2:23" ht="12" customHeight="1">
      <c r="B170" s="13"/>
      <c r="C170" s="1"/>
      <c r="D170" s="1" t="s">
        <v>248</v>
      </c>
      <c r="E170" s="1"/>
      <c r="F170" s="1"/>
      <c r="G170" s="1"/>
      <c r="H170" s="1"/>
      <c r="I170" s="175">
        <v>0</v>
      </c>
      <c r="J170" s="281">
        <f aca="true" t="shared" si="15" ref="J170:M182">+I170</f>
        <v>0</v>
      </c>
      <c r="K170" s="281">
        <f t="shared" si="15"/>
        <v>0</v>
      </c>
      <c r="L170" s="281">
        <f t="shared" si="15"/>
        <v>0</v>
      </c>
      <c r="M170" s="281">
        <f t="shared" si="15"/>
        <v>0</v>
      </c>
      <c r="N170" s="1"/>
      <c r="P170" s="1"/>
      <c r="Q170" s="33">
        <f>I170/geg!$I$26</f>
        <v>0</v>
      </c>
      <c r="R170" s="33">
        <f>J170/geg!$L$26</f>
        <v>0</v>
      </c>
      <c r="S170" s="33">
        <f>K170/geg!$L$26</f>
        <v>0</v>
      </c>
      <c r="T170" s="33">
        <f>L170/geg!$L$26</f>
        <v>0</v>
      </c>
      <c r="U170" s="33">
        <f>M170/geg!$L$26</f>
        <v>0</v>
      </c>
      <c r="V170" s="1"/>
      <c r="W170" s="14"/>
    </row>
    <row r="171" spans="2:23" ht="12" customHeight="1">
      <c r="B171" s="13"/>
      <c r="C171" s="1"/>
      <c r="D171" s="1" t="s">
        <v>253</v>
      </c>
      <c r="E171" s="1"/>
      <c r="F171" s="1"/>
      <c r="G171" s="1"/>
      <c r="H171" s="1"/>
      <c r="I171" s="175">
        <v>0</v>
      </c>
      <c r="J171" s="281">
        <f t="shared" si="15"/>
        <v>0</v>
      </c>
      <c r="K171" s="281">
        <f t="shared" si="15"/>
        <v>0</v>
      </c>
      <c r="L171" s="281">
        <f t="shared" si="15"/>
        <v>0</v>
      </c>
      <c r="M171" s="281">
        <f t="shared" si="15"/>
        <v>0</v>
      </c>
      <c r="N171" s="1"/>
      <c r="P171" s="1"/>
      <c r="Q171" s="33">
        <f>I171/geg!$I$26</f>
        <v>0</v>
      </c>
      <c r="R171" s="33">
        <f>J171/geg!$L$26</f>
        <v>0</v>
      </c>
      <c r="S171" s="33">
        <f>K171/geg!$L$26</f>
        <v>0</v>
      </c>
      <c r="T171" s="33">
        <f>L171/geg!$L$26</f>
        <v>0</v>
      </c>
      <c r="U171" s="33">
        <f>M171/geg!$L$26</f>
        <v>0</v>
      </c>
      <c r="V171" s="1"/>
      <c r="W171" s="14"/>
    </row>
    <row r="172" spans="2:23" ht="12" customHeight="1">
      <c r="B172" s="13"/>
      <c r="C172" s="1"/>
      <c r="D172" s="1" t="s">
        <v>254</v>
      </c>
      <c r="E172" s="1"/>
      <c r="F172" s="1"/>
      <c r="G172" s="1"/>
      <c r="H172" s="1"/>
      <c r="I172" s="175">
        <v>0</v>
      </c>
      <c r="J172" s="281">
        <f t="shared" si="15"/>
        <v>0</v>
      </c>
      <c r="K172" s="281">
        <f t="shared" si="15"/>
        <v>0</v>
      </c>
      <c r="L172" s="281">
        <f t="shared" si="15"/>
        <v>0</v>
      </c>
      <c r="M172" s="281">
        <f t="shared" si="15"/>
        <v>0</v>
      </c>
      <c r="N172" s="1"/>
      <c r="P172" s="1"/>
      <c r="Q172" s="33">
        <f>I172/geg!$I$26</f>
        <v>0</v>
      </c>
      <c r="R172" s="33">
        <f>J172/geg!$L$26</f>
        <v>0</v>
      </c>
      <c r="S172" s="33">
        <f>K172/geg!$L$26</f>
        <v>0</v>
      </c>
      <c r="T172" s="33">
        <f>L172/geg!$L$26</f>
        <v>0</v>
      </c>
      <c r="U172" s="33">
        <f>M172/geg!$L$26</f>
        <v>0</v>
      </c>
      <c r="V172" s="1"/>
      <c r="W172" s="14"/>
    </row>
    <row r="173" spans="2:23" ht="12" customHeight="1">
      <c r="B173" s="13"/>
      <c r="C173" s="1"/>
      <c r="D173" s="136" t="s">
        <v>630</v>
      </c>
      <c r="E173" s="136"/>
      <c r="F173" s="136"/>
      <c r="G173" s="136"/>
      <c r="H173" s="1"/>
      <c r="I173" s="175">
        <v>0</v>
      </c>
      <c r="J173" s="281">
        <f t="shared" si="15"/>
        <v>0</v>
      </c>
      <c r="K173" s="281">
        <f t="shared" si="15"/>
        <v>0</v>
      </c>
      <c r="L173" s="281">
        <f t="shared" si="15"/>
        <v>0</v>
      </c>
      <c r="M173" s="281">
        <f t="shared" si="15"/>
        <v>0</v>
      </c>
      <c r="N173" s="1"/>
      <c r="P173" s="1"/>
      <c r="Q173" s="33">
        <f>I173/geg!$I$26</f>
        <v>0</v>
      </c>
      <c r="R173" s="33">
        <f>J173/geg!$L$26</f>
        <v>0</v>
      </c>
      <c r="S173" s="33">
        <f>K173/geg!$L$26</f>
        <v>0</v>
      </c>
      <c r="T173" s="33">
        <f>L173/geg!$L$26</f>
        <v>0</v>
      </c>
      <c r="U173" s="33">
        <f>M173/geg!$L$26</f>
        <v>0</v>
      </c>
      <c r="V173" s="1"/>
      <c r="W173" s="14"/>
    </row>
    <row r="174" spans="2:23" ht="12" customHeight="1">
      <c r="B174" s="13"/>
      <c r="C174" s="1"/>
      <c r="D174" s="136" t="s">
        <v>614</v>
      </c>
      <c r="E174" s="136"/>
      <c r="F174" s="136"/>
      <c r="G174" s="136"/>
      <c r="H174" s="1"/>
      <c r="I174" s="175">
        <v>0</v>
      </c>
      <c r="J174" s="281">
        <f t="shared" si="15"/>
        <v>0</v>
      </c>
      <c r="K174" s="281">
        <f t="shared" si="15"/>
        <v>0</v>
      </c>
      <c r="L174" s="281">
        <f t="shared" si="15"/>
        <v>0</v>
      </c>
      <c r="M174" s="281">
        <f t="shared" si="15"/>
        <v>0</v>
      </c>
      <c r="N174" s="1"/>
      <c r="P174" s="1"/>
      <c r="Q174" s="33">
        <f>I174/geg!$I$26</f>
        <v>0</v>
      </c>
      <c r="R174" s="33">
        <f>J174/geg!$L$26</f>
        <v>0</v>
      </c>
      <c r="S174" s="33">
        <f>K174/geg!$L$26</f>
        <v>0</v>
      </c>
      <c r="T174" s="33">
        <f>L174/geg!$L$26</f>
        <v>0</v>
      </c>
      <c r="U174" s="33">
        <f>M174/geg!$L$26</f>
        <v>0</v>
      </c>
      <c r="V174" s="1"/>
      <c r="W174" s="14"/>
    </row>
    <row r="175" spans="2:23" ht="12" customHeight="1">
      <c r="B175" s="13"/>
      <c r="C175" s="1"/>
      <c r="D175" s="136" t="s">
        <v>628</v>
      </c>
      <c r="E175" s="136"/>
      <c r="F175" s="136"/>
      <c r="G175" s="136"/>
      <c r="H175" s="1"/>
      <c r="I175" s="175">
        <v>0</v>
      </c>
      <c r="J175" s="281">
        <f t="shared" si="15"/>
        <v>0</v>
      </c>
      <c r="K175" s="281">
        <f t="shared" si="15"/>
        <v>0</v>
      </c>
      <c r="L175" s="281">
        <f t="shared" si="15"/>
        <v>0</v>
      </c>
      <c r="M175" s="281">
        <f t="shared" si="15"/>
        <v>0</v>
      </c>
      <c r="N175" s="1"/>
      <c r="P175" s="1"/>
      <c r="Q175" s="33">
        <f>I175/geg!$I$26</f>
        <v>0</v>
      </c>
      <c r="R175" s="33">
        <f>J175/geg!$L$26</f>
        <v>0</v>
      </c>
      <c r="S175" s="33">
        <f>K175/geg!$L$26</f>
        <v>0</v>
      </c>
      <c r="T175" s="33">
        <f>L175/geg!$L$26</f>
        <v>0</v>
      </c>
      <c r="U175" s="33">
        <f>M175/geg!$L$26</f>
        <v>0</v>
      </c>
      <c r="V175" s="1"/>
      <c r="W175" s="14"/>
    </row>
    <row r="176" spans="2:23" ht="12" customHeight="1">
      <c r="B176" s="13"/>
      <c r="C176" s="1"/>
      <c r="D176" s="136"/>
      <c r="E176" s="136"/>
      <c r="F176" s="136"/>
      <c r="G176" s="136"/>
      <c r="H176" s="1"/>
      <c r="I176" s="175">
        <v>0</v>
      </c>
      <c r="J176" s="281">
        <f t="shared" si="15"/>
        <v>0</v>
      </c>
      <c r="K176" s="281">
        <f t="shared" si="15"/>
        <v>0</v>
      </c>
      <c r="L176" s="281">
        <f t="shared" si="15"/>
        <v>0</v>
      </c>
      <c r="M176" s="281">
        <f t="shared" si="15"/>
        <v>0</v>
      </c>
      <c r="N176" s="1"/>
      <c r="P176" s="1"/>
      <c r="Q176" s="33">
        <f>I176/geg!$I$26</f>
        <v>0</v>
      </c>
      <c r="R176" s="33">
        <f>J176/geg!$L$26</f>
        <v>0</v>
      </c>
      <c r="S176" s="33">
        <f>K176/geg!$L$26</f>
        <v>0</v>
      </c>
      <c r="T176" s="33">
        <f>L176/geg!$L$26</f>
        <v>0</v>
      </c>
      <c r="U176" s="33">
        <f>M176/geg!$L$26</f>
        <v>0</v>
      </c>
      <c r="V176" s="1"/>
      <c r="W176" s="14"/>
    </row>
    <row r="177" spans="2:23" ht="12" customHeight="1">
      <c r="B177" s="13"/>
      <c r="C177" s="1"/>
      <c r="D177" s="136"/>
      <c r="E177" s="136"/>
      <c r="F177" s="136"/>
      <c r="G177" s="136"/>
      <c r="H177" s="1"/>
      <c r="I177" s="175">
        <v>0</v>
      </c>
      <c r="J177" s="281">
        <f t="shared" si="15"/>
        <v>0</v>
      </c>
      <c r="K177" s="281">
        <f t="shared" si="15"/>
        <v>0</v>
      </c>
      <c r="L177" s="281">
        <f t="shared" si="15"/>
        <v>0</v>
      </c>
      <c r="M177" s="281">
        <f t="shared" si="15"/>
        <v>0</v>
      </c>
      <c r="N177" s="1"/>
      <c r="P177" s="1"/>
      <c r="Q177" s="33">
        <f>I177/geg!$I$26</f>
        <v>0</v>
      </c>
      <c r="R177" s="33">
        <f>J177/geg!$L$26</f>
        <v>0</v>
      </c>
      <c r="S177" s="33">
        <f>K177/geg!$L$26</f>
        <v>0</v>
      </c>
      <c r="T177" s="33">
        <f>L177/geg!$L$26</f>
        <v>0</v>
      </c>
      <c r="U177" s="33">
        <f>M177/geg!$L$26</f>
        <v>0</v>
      </c>
      <c r="V177" s="1"/>
      <c r="W177" s="14"/>
    </row>
    <row r="178" spans="2:23" ht="12" customHeight="1">
      <c r="B178" s="13"/>
      <c r="C178" s="1"/>
      <c r="D178" s="136"/>
      <c r="E178" s="136"/>
      <c r="F178" s="136"/>
      <c r="G178" s="136"/>
      <c r="H178" s="1"/>
      <c r="I178" s="175">
        <v>0</v>
      </c>
      <c r="J178" s="281">
        <f t="shared" si="15"/>
        <v>0</v>
      </c>
      <c r="K178" s="281">
        <f t="shared" si="15"/>
        <v>0</v>
      </c>
      <c r="L178" s="281">
        <f t="shared" si="15"/>
        <v>0</v>
      </c>
      <c r="M178" s="281">
        <f t="shared" si="15"/>
        <v>0</v>
      </c>
      <c r="N178" s="1"/>
      <c r="P178" s="1"/>
      <c r="Q178" s="33">
        <f>I178/geg!$I$26</f>
        <v>0</v>
      </c>
      <c r="R178" s="33">
        <f>J178/geg!$L$26</f>
        <v>0</v>
      </c>
      <c r="S178" s="33">
        <f>K178/geg!$L$26</f>
        <v>0</v>
      </c>
      <c r="T178" s="33">
        <f>L178/geg!$L$26</f>
        <v>0</v>
      </c>
      <c r="U178" s="33">
        <f>M178/geg!$L$26</f>
        <v>0</v>
      </c>
      <c r="V178" s="1"/>
      <c r="W178" s="14"/>
    </row>
    <row r="179" spans="2:23" ht="12" customHeight="1">
      <c r="B179" s="13"/>
      <c r="C179" s="1"/>
      <c r="D179" s="136"/>
      <c r="E179" s="136"/>
      <c r="F179" s="136"/>
      <c r="G179" s="136"/>
      <c r="H179" s="1"/>
      <c r="I179" s="175">
        <v>0</v>
      </c>
      <c r="J179" s="281">
        <f t="shared" si="15"/>
        <v>0</v>
      </c>
      <c r="K179" s="281">
        <f t="shared" si="15"/>
        <v>0</v>
      </c>
      <c r="L179" s="281">
        <f t="shared" si="15"/>
        <v>0</v>
      </c>
      <c r="M179" s="281">
        <f t="shared" si="15"/>
        <v>0</v>
      </c>
      <c r="N179" s="1"/>
      <c r="P179" s="1"/>
      <c r="Q179" s="33">
        <f>I179/geg!$I$26</f>
        <v>0</v>
      </c>
      <c r="R179" s="33">
        <f>J179/geg!$L$26</f>
        <v>0</v>
      </c>
      <c r="S179" s="33">
        <f>K179/geg!$L$26</f>
        <v>0</v>
      </c>
      <c r="T179" s="33">
        <f>L179/geg!$L$26</f>
        <v>0</v>
      </c>
      <c r="U179" s="33">
        <f>M179/geg!$L$26</f>
        <v>0</v>
      </c>
      <c r="V179" s="1"/>
      <c r="W179" s="14"/>
    </row>
    <row r="180" spans="2:23" ht="12" customHeight="1">
      <c r="B180" s="13"/>
      <c r="C180" s="1"/>
      <c r="D180" s="136"/>
      <c r="E180" s="136"/>
      <c r="F180" s="136"/>
      <c r="G180" s="136"/>
      <c r="H180" s="1"/>
      <c r="I180" s="175">
        <v>0</v>
      </c>
      <c r="J180" s="281">
        <f t="shared" si="15"/>
        <v>0</v>
      </c>
      <c r="K180" s="281">
        <f t="shared" si="15"/>
        <v>0</v>
      </c>
      <c r="L180" s="281">
        <f t="shared" si="15"/>
        <v>0</v>
      </c>
      <c r="M180" s="281">
        <f t="shared" si="15"/>
        <v>0</v>
      </c>
      <c r="N180" s="1"/>
      <c r="P180" s="1"/>
      <c r="Q180" s="33">
        <f>I180/geg!$I$26</f>
        <v>0</v>
      </c>
      <c r="R180" s="33">
        <f>J180/geg!$L$26</f>
        <v>0</v>
      </c>
      <c r="S180" s="33">
        <f>K180/geg!$L$26</f>
        <v>0</v>
      </c>
      <c r="T180" s="33">
        <f>L180/geg!$L$26</f>
        <v>0</v>
      </c>
      <c r="U180" s="33">
        <f>M180/geg!$L$26</f>
        <v>0</v>
      </c>
      <c r="V180" s="1"/>
      <c r="W180" s="14"/>
    </row>
    <row r="181" spans="2:23" ht="12" customHeight="1">
      <c r="B181" s="13"/>
      <c r="C181" s="1"/>
      <c r="D181" s="136"/>
      <c r="E181" s="136"/>
      <c r="F181" s="136"/>
      <c r="G181" s="136"/>
      <c r="H181" s="1"/>
      <c r="I181" s="175">
        <v>0</v>
      </c>
      <c r="J181" s="281">
        <f t="shared" si="15"/>
        <v>0</v>
      </c>
      <c r="K181" s="281">
        <f t="shared" si="15"/>
        <v>0</v>
      </c>
      <c r="L181" s="281">
        <f t="shared" si="15"/>
        <v>0</v>
      </c>
      <c r="M181" s="281">
        <f t="shared" si="15"/>
        <v>0</v>
      </c>
      <c r="N181" s="1"/>
      <c r="P181" s="1"/>
      <c r="Q181" s="33">
        <f>I181/geg!$I$26</f>
        <v>0</v>
      </c>
      <c r="R181" s="33">
        <f>J181/geg!$L$26</f>
        <v>0</v>
      </c>
      <c r="S181" s="33">
        <f>K181/geg!$L$26</f>
        <v>0</v>
      </c>
      <c r="T181" s="33">
        <f>L181/geg!$L$26</f>
        <v>0</v>
      </c>
      <c r="U181" s="33">
        <f>M181/geg!$L$26</f>
        <v>0</v>
      </c>
      <c r="V181" s="1"/>
      <c r="W181" s="14"/>
    </row>
    <row r="182" spans="2:23" ht="12" customHeight="1">
      <c r="B182" s="13"/>
      <c r="C182" s="1"/>
      <c r="D182" s="136"/>
      <c r="E182" s="136"/>
      <c r="F182" s="136"/>
      <c r="G182" s="136"/>
      <c r="H182" s="1"/>
      <c r="I182" s="175">
        <v>0</v>
      </c>
      <c r="J182" s="281">
        <f t="shared" si="15"/>
        <v>0</v>
      </c>
      <c r="K182" s="281">
        <f t="shared" si="15"/>
        <v>0</v>
      </c>
      <c r="L182" s="281">
        <f t="shared" si="15"/>
        <v>0</v>
      </c>
      <c r="M182" s="281">
        <f t="shared" si="15"/>
        <v>0</v>
      </c>
      <c r="N182" s="1"/>
      <c r="P182" s="1"/>
      <c r="Q182" s="33">
        <f>I182/geg!$I$26</f>
        <v>0</v>
      </c>
      <c r="R182" s="33">
        <f>J182/geg!$L$26</f>
        <v>0</v>
      </c>
      <c r="S182" s="33">
        <f>K182/geg!$L$26</f>
        <v>0</v>
      </c>
      <c r="T182" s="33">
        <f>L182/geg!$L$26</f>
        <v>0</v>
      </c>
      <c r="U182" s="33">
        <f>M182/geg!$L$26</f>
        <v>0</v>
      </c>
      <c r="V182" s="1"/>
      <c r="W182" s="14"/>
    </row>
    <row r="183" spans="2:23" ht="12" customHeight="1">
      <c r="B183" s="13"/>
      <c r="C183" s="1"/>
      <c r="D183" s="136"/>
      <c r="E183" s="136"/>
      <c r="F183" s="136"/>
      <c r="G183" s="136"/>
      <c r="H183" s="1"/>
      <c r="I183" s="175">
        <v>0</v>
      </c>
      <c r="J183" s="281">
        <f aca="true" t="shared" si="16" ref="J183:M184">+I183</f>
        <v>0</v>
      </c>
      <c r="K183" s="281">
        <f t="shared" si="16"/>
        <v>0</v>
      </c>
      <c r="L183" s="281">
        <f t="shared" si="16"/>
        <v>0</v>
      </c>
      <c r="M183" s="281">
        <f t="shared" si="16"/>
        <v>0</v>
      </c>
      <c r="N183" s="1"/>
      <c r="P183" s="1"/>
      <c r="Q183" s="33">
        <f>I183/geg!$I$26</f>
        <v>0</v>
      </c>
      <c r="R183" s="33">
        <f>J183/geg!$L$26</f>
        <v>0</v>
      </c>
      <c r="S183" s="33">
        <f>K183/geg!$L$26</f>
        <v>0</v>
      </c>
      <c r="T183" s="33">
        <f>L183/geg!$L$26</f>
        <v>0</v>
      </c>
      <c r="U183" s="33">
        <f>M183/geg!$L$26</f>
        <v>0</v>
      </c>
      <c r="V183" s="1"/>
      <c r="W183" s="14"/>
    </row>
    <row r="184" spans="2:23" ht="12" customHeight="1">
      <c r="B184" s="13"/>
      <c r="C184" s="1"/>
      <c r="D184" s="136"/>
      <c r="E184" s="136"/>
      <c r="F184" s="136"/>
      <c r="G184" s="136"/>
      <c r="H184" s="1"/>
      <c r="I184" s="175">
        <v>0</v>
      </c>
      <c r="J184" s="281">
        <f t="shared" si="16"/>
        <v>0</v>
      </c>
      <c r="K184" s="281">
        <f t="shared" si="16"/>
        <v>0</v>
      </c>
      <c r="L184" s="281">
        <f t="shared" si="16"/>
        <v>0</v>
      </c>
      <c r="M184" s="281">
        <f t="shared" si="16"/>
        <v>0</v>
      </c>
      <c r="N184" s="1"/>
      <c r="P184" s="1"/>
      <c r="Q184" s="33">
        <f>I184/geg!$I$26</f>
        <v>0</v>
      </c>
      <c r="R184" s="33">
        <f>J184/geg!$L$26</f>
        <v>0</v>
      </c>
      <c r="S184" s="33">
        <f>K184/geg!$L$26</f>
        <v>0</v>
      </c>
      <c r="T184" s="33">
        <f>L184/geg!$L$26</f>
        <v>0</v>
      </c>
      <c r="U184" s="33">
        <f>M184/geg!$L$26</f>
        <v>0</v>
      </c>
      <c r="V184" s="1"/>
      <c r="W184" s="14"/>
    </row>
    <row r="185" spans="2:23" ht="12" customHeight="1">
      <c r="B185" s="13"/>
      <c r="C185" s="1"/>
      <c r="D185" s="1"/>
      <c r="E185" s="1"/>
      <c r="F185" s="1"/>
      <c r="G185" s="1"/>
      <c r="H185" s="1"/>
      <c r="I185" s="158"/>
      <c r="J185" s="158"/>
      <c r="K185" s="158"/>
      <c r="L185" s="158"/>
      <c r="M185" s="158"/>
      <c r="N185" s="1"/>
      <c r="P185" s="1"/>
      <c r="Q185" s="182"/>
      <c r="R185" s="182"/>
      <c r="S185" s="182"/>
      <c r="T185" s="182"/>
      <c r="U185" s="182"/>
      <c r="V185" s="1"/>
      <c r="W185" s="14"/>
    </row>
    <row r="186" spans="2:23" ht="12" customHeight="1">
      <c r="B186" s="13"/>
      <c r="C186" s="1"/>
      <c r="D186" s="3" t="s">
        <v>700</v>
      </c>
      <c r="E186" s="1"/>
      <c r="F186" s="1"/>
      <c r="G186" s="84"/>
      <c r="H186" s="1"/>
      <c r="I186" s="177">
        <f>SUM(I170:I184)</f>
        <v>0</v>
      </c>
      <c r="J186" s="177">
        <f>SUM(J170:J184)</f>
        <v>0</v>
      </c>
      <c r="K186" s="177">
        <f>SUM(K170:K184)</f>
        <v>0</v>
      </c>
      <c r="L186" s="177">
        <f>SUM(L170:L184)</f>
        <v>0</v>
      </c>
      <c r="M186" s="177">
        <f>SUM(M170:M184)</f>
        <v>0</v>
      </c>
      <c r="N186" s="1"/>
      <c r="P186" s="1"/>
      <c r="Q186" s="42">
        <f>SUM(Q170:Q184)</f>
        <v>0</v>
      </c>
      <c r="R186" s="42">
        <f>SUM(R170:R184)</f>
        <v>0</v>
      </c>
      <c r="S186" s="42">
        <f>SUM(S170:S184)</f>
        <v>0</v>
      </c>
      <c r="T186" s="42">
        <f>SUM(T170:T184)</f>
        <v>0</v>
      </c>
      <c r="U186" s="42">
        <f>SUM(U170:U184)</f>
        <v>0</v>
      </c>
      <c r="V186" s="1"/>
      <c r="W186" s="14"/>
    </row>
    <row r="187" spans="2:23" ht="12" customHeight="1">
      <c r="B187" s="13"/>
      <c r="C187" s="1"/>
      <c r="D187" s="1"/>
      <c r="E187" s="1"/>
      <c r="F187" s="1"/>
      <c r="G187" s="84"/>
      <c r="H187" s="1"/>
      <c r="I187" s="158"/>
      <c r="J187" s="158"/>
      <c r="K187" s="158"/>
      <c r="L187" s="158"/>
      <c r="M187" s="158"/>
      <c r="N187" s="1"/>
      <c r="P187" s="1"/>
      <c r="Q187" s="182"/>
      <c r="R187" s="182"/>
      <c r="S187" s="182"/>
      <c r="T187" s="182"/>
      <c r="U187" s="182"/>
      <c r="V187" s="1"/>
      <c r="W187" s="14"/>
    </row>
    <row r="188" spans="2:23" ht="12" customHeight="1">
      <c r="B188" s="13"/>
      <c r="D188" s="7"/>
      <c r="G188" s="122"/>
      <c r="I188" s="134"/>
      <c r="J188" s="134"/>
      <c r="K188" s="134"/>
      <c r="L188" s="134"/>
      <c r="M188" s="134"/>
      <c r="Q188" s="192"/>
      <c r="R188" s="192"/>
      <c r="S188" s="192"/>
      <c r="T188" s="192"/>
      <c r="U188" s="192"/>
      <c r="W188" s="14"/>
    </row>
    <row r="189" spans="2:23" ht="12" customHeight="1">
      <c r="B189" s="13"/>
      <c r="C189" s="1"/>
      <c r="D189" s="84"/>
      <c r="E189" s="1"/>
      <c r="F189" s="1"/>
      <c r="G189" s="1"/>
      <c r="H189" s="1"/>
      <c r="I189" s="179"/>
      <c r="J189" s="179"/>
      <c r="K189" s="179"/>
      <c r="L189" s="179"/>
      <c r="M189" s="179"/>
      <c r="N189" s="1"/>
      <c r="P189" s="1"/>
      <c r="Q189" s="182"/>
      <c r="R189" s="182"/>
      <c r="S189" s="182"/>
      <c r="T189" s="182"/>
      <c r="U189" s="182"/>
      <c r="V189" s="1"/>
      <c r="W189" s="14"/>
    </row>
    <row r="190" spans="2:23" ht="12" customHeight="1">
      <c r="B190" s="13"/>
      <c r="C190" s="1"/>
      <c r="D190" s="3" t="s">
        <v>250</v>
      </c>
      <c r="E190" s="1"/>
      <c r="F190" s="1"/>
      <c r="G190" s="1"/>
      <c r="H190" s="1"/>
      <c r="I190" s="43">
        <f>I143+I164+I186</f>
        <v>2030500.2041702403</v>
      </c>
      <c r="J190" s="43">
        <f>J143+J164+J186</f>
        <v>2048521.8357920002</v>
      </c>
      <c r="K190" s="43">
        <f>K143+K164+K186</f>
        <v>2048521.8357920002</v>
      </c>
      <c r="L190" s="43">
        <f>L143+L164+L186</f>
        <v>2048521.8357920002</v>
      </c>
      <c r="M190" s="43">
        <f>M143+M164+M186</f>
        <v>2048521.8357920002</v>
      </c>
      <c r="N190" s="1"/>
      <c r="P190" s="1"/>
      <c r="Q190" s="42">
        <f>Q143+Q164+Q186</f>
        <v>33.66108333595475</v>
      </c>
      <c r="R190" s="42">
        <f>R143+R164+R186</f>
        <v>33.95988333595475</v>
      </c>
      <c r="S190" s="42">
        <f>S143+S164+S186</f>
        <v>33.95988333595475</v>
      </c>
      <c r="T190" s="42">
        <f>T143+T164+T186</f>
        <v>33.95988333595475</v>
      </c>
      <c r="U190" s="42">
        <f>U143+U164+U186</f>
        <v>33.95988333595475</v>
      </c>
      <c r="V190" s="1"/>
      <c r="W190" s="14"/>
    </row>
    <row r="191" spans="2:23" ht="12" customHeight="1">
      <c r="B191" s="13"/>
      <c r="C191" s="1"/>
      <c r="D191" s="1"/>
      <c r="E191" s="1"/>
      <c r="F191" s="1"/>
      <c r="G191" s="1"/>
      <c r="H191" s="1"/>
      <c r="I191" s="179"/>
      <c r="J191" s="179"/>
      <c r="K191" s="179"/>
      <c r="L191" s="179"/>
      <c r="M191" s="179"/>
      <c r="N191" s="1"/>
      <c r="P191" s="1"/>
      <c r="Q191" s="182"/>
      <c r="R191" s="182"/>
      <c r="S191" s="182"/>
      <c r="T191" s="182"/>
      <c r="U191" s="182"/>
      <c r="V191" s="1"/>
      <c r="W191" s="14"/>
    </row>
    <row r="192" spans="2:23" ht="12" customHeight="1">
      <c r="B192" s="13"/>
      <c r="C192" s="1"/>
      <c r="D192" s="1" t="s">
        <v>170</v>
      </c>
      <c r="E192" s="1"/>
      <c r="F192" s="1"/>
      <c r="G192" s="1"/>
      <c r="H192" s="1"/>
      <c r="I192" s="175">
        <v>0</v>
      </c>
      <c r="J192" s="281">
        <f aca="true" t="shared" si="17" ref="J192:M193">+I192</f>
        <v>0</v>
      </c>
      <c r="K192" s="281">
        <f t="shared" si="17"/>
        <v>0</v>
      </c>
      <c r="L192" s="281">
        <f t="shared" si="17"/>
        <v>0</v>
      </c>
      <c r="M192" s="281">
        <f t="shared" si="17"/>
        <v>0</v>
      </c>
      <c r="N192" s="1"/>
      <c r="P192" s="1"/>
      <c r="Q192" s="33">
        <f>I192/geg!$I$26</f>
        <v>0</v>
      </c>
      <c r="R192" s="33">
        <f>J192/geg!$I$26</f>
        <v>0</v>
      </c>
      <c r="S192" s="33">
        <f>K192/geg!$I$26</f>
        <v>0</v>
      </c>
      <c r="T192" s="33">
        <f>L192/geg!$I$26</f>
        <v>0</v>
      </c>
      <c r="U192" s="33">
        <f>M192/geg!$I$26</f>
        <v>0</v>
      </c>
      <c r="V192" s="1"/>
      <c r="W192" s="14"/>
    </row>
    <row r="193" spans="2:23" ht="12" customHeight="1">
      <c r="B193" s="13"/>
      <c r="C193" s="1"/>
      <c r="D193" s="1" t="s">
        <v>171</v>
      </c>
      <c r="E193" s="1"/>
      <c r="F193" s="1"/>
      <c r="G193" s="1"/>
      <c r="H193" s="1"/>
      <c r="I193" s="175">
        <v>0</v>
      </c>
      <c r="J193" s="281">
        <f t="shared" si="17"/>
        <v>0</v>
      </c>
      <c r="K193" s="281">
        <f t="shared" si="17"/>
        <v>0</v>
      </c>
      <c r="L193" s="281">
        <f t="shared" si="17"/>
        <v>0</v>
      </c>
      <c r="M193" s="281">
        <f t="shared" si="17"/>
        <v>0</v>
      </c>
      <c r="N193" s="1"/>
      <c r="P193" s="1"/>
      <c r="Q193" s="33">
        <f>I193/geg!$I$26</f>
        <v>0</v>
      </c>
      <c r="R193" s="33">
        <f>J193/geg!$I$26</f>
        <v>0</v>
      </c>
      <c r="S193" s="33">
        <f>K193/geg!$I$26</f>
        <v>0</v>
      </c>
      <c r="T193" s="33">
        <f>L193/geg!$I$26</f>
        <v>0</v>
      </c>
      <c r="U193" s="33">
        <f>M193/geg!$I$26</f>
        <v>0</v>
      </c>
      <c r="V193" s="1"/>
      <c r="W193" s="14"/>
    </row>
    <row r="194" spans="2:23" ht="12" customHeight="1">
      <c r="B194" s="13"/>
      <c r="C194" s="1"/>
      <c r="D194" s="1" t="s">
        <v>172</v>
      </c>
      <c r="E194" s="1"/>
      <c r="F194" s="1"/>
      <c r="G194" s="1"/>
      <c r="H194" s="1"/>
      <c r="I194" s="175">
        <v>0</v>
      </c>
      <c r="J194" s="281">
        <f aca="true" t="shared" si="18" ref="J194:M195">+I194</f>
        <v>0</v>
      </c>
      <c r="K194" s="281">
        <f t="shared" si="18"/>
        <v>0</v>
      </c>
      <c r="L194" s="281">
        <f t="shared" si="18"/>
        <v>0</v>
      </c>
      <c r="M194" s="281">
        <f t="shared" si="18"/>
        <v>0</v>
      </c>
      <c r="N194" s="1"/>
      <c r="P194" s="1"/>
      <c r="Q194" s="33">
        <f>I194/geg!$I$26</f>
        <v>0</v>
      </c>
      <c r="R194" s="33">
        <f>J194/geg!$I$26</f>
        <v>0</v>
      </c>
      <c r="S194" s="33">
        <f>K194/geg!$I$26</f>
        <v>0</v>
      </c>
      <c r="T194" s="33">
        <f>L194/geg!$I$26</f>
        <v>0</v>
      </c>
      <c r="U194" s="33">
        <f>M194/geg!$I$26</f>
        <v>0</v>
      </c>
      <c r="V194" s="1"/>
      <c r="W194" s="14"/>
    </row>
    <row r="195" spans="2:23" ht="12" customHeight="1">
      <c r="B195" s="13"/>
      <c r="C195" s="1"/>
      <c r="D195" s="1" t="s">
        <v>173</v>
      </c>
      <c r="E195" s="1"/>
      <c r="F195" s="1"/>
      <c r="G195" s="1"/>
      <c r="H195" s="1"/>
      <c r="I195" s="175">
        <v>0</v>
      </c>
      <c r="J195" s="281">
        <f t="shared" si="18"/>
        <v>0</v>
      </c>
      <c r="K195" s="281">
        <f t="shared" si="18"/>
        <v>0</v>
      </c>
      <c r="L195" s="281">
        <f t="shared" si="18"/>
        <v>0</v>
      </c>
      <c r="M195" s="281">
        <f t="shared" si="18"/>
        <v>0</v>
      </c>
      <c r="N195" s="1"/>
      <c r="P195" s="1"/>
      <c r="Q195" s="33">
        <f>I195/geg!$I$26</f>
        <v>0</v>
      </c>
      <c r="R195" s="33">
        <f>J195/geg!$I$26</f>
        <v>0</v>
      </c>
      <c r="S195" s="33">
        <f>K195/geg!$I$26</f>
        <v>0</v>
      </c>
      <c r="T195" s="33">
        <f>L195/geg!$I$26</f>
        <v>0</v>
      </c>
      <c r="U195" s="33">
        <f>M195/geg!$I$26</f>
        <v>0</v>
      </c>
      <c r="V195" s="1"/>
      <c r="W195" s="14"/>
    </row>
    <row r="196" spans="2:23" ht="12" customHeight="1">
      <c r="B196" s="13"/>
      <c r="C196" s="1"/>
      <c r="D196" s="1"/>
      <c r="E196" s="1"/>
      <c r="F196" s="1"/>
      <c r="G196" s="1"/>
      <c r="H196" s="1"/>
      <c r="I196" s="179"/>
      <c r="J196" s="179"/>
      <c r="K196" s="179"/>
      <c r="L196" s="179"/>
      <c r="M196" s="179"/>
      <c r="N196" s="1"/>
      <c r="P196" s="1"/>
      <c r="Q196" s="182"/>
      <c r="R196" s="182"/>
      <c r="S196" s="182"/>
      <c r="T196" s="182"/>
      <c r="U196" s="182"/>
      <c r="V196" s="1"/>
      <c r="W196" s="14"/>
    </row>
    <row r="197" spans="2:23" ht="12" customHeight="1">
      <c r="B197" s="13"/>
      <c r="C197" s="1"/>
      <c r="D197" s="3" t="s">
        <v>174</v>
      </c>
      <c r="E197" s="1"/>
      <c r="F197" s="1"/>
      <c r="G197" s="1"/>
      <c r="H197" s="1"/>
      <c r="I197" s="205">
        <f>SUM(I190:I193)-SUM(I194:I195)</f>
        <v>2030500.2041702403</v>
      </c>
      <c r="J197" s="205">
        <f>SUM(J190:J193)-SUM(J194:J195)</f>
        <v>2048521.8357920002</v>
      </c>
      <c r="K197" s="205">
        <f>SUM(K190:K193)-SUM(K194:K195)</f>
        <v>2048521.8357920002</v>
      </c>
      <c r="L197" s="205">
        <f>SUM(L190:L193)-SUM(L194:L195)</f>
        <v>2048521.8357920002</v>
      </c>
      <c r="M197" s="205">
        <f>SUM(M190:M193)-SUM(M194:M195)</f>
        <v>2048521.8357920002</v>
      </c>
      <c r="N197" s="3"/>
      <c r="O197" s="36"/>
      <c r="P197" s="3"/>
      <c r="Q197" s="319">
        <f>SUM(Q190:Q193)-SUM(Q194:Q195)</f>
        <v>33.66108333595475</v>
      </c>
      <c r="R197" s="319">
        <f>SUM(R190:R193)-SUM(R194:R195)</f>
        <v>33.95988333595475</v>
      </c>
      <c r="S197" s="319">
        <f>SUM(S190:S193)-SUM(S194:S195)</f>
        <v>33.95988333595475</v>
      </c>
      <c r="T197" s="319">
        <f>SUM(T190:T193)-SUM(T194:T195)</f>
        <v>33.95988333595475</v>
      </c>
      <c r="U197" s="319">
        <f>SUM(U190:U193)-SUM(U194:U195)</f>
        <v>33.95988333595475</v>
      </c>
      <c r="V197" s="1"/>
      <c r="W197" s="14"/>
    </row>
    <row r="198" spans="2:23" ht="12" customHeight="1">
      <c r="B198" s="13"/>
      <c r="C198" s="1"/>
      <c r="D198" s="84"/>
      <c r="E198" s="1"/>
      <c r="F198" s="1"/>
      <c r="G198" s="1"/>
      <c r="H198" s="1"/>
      <c r="I198" s="163"/>
      <c r="J198" s="163"/>
      <c r="K198" s="163"/>
      <c r="L198" s="163"/>
      <c r="M198" s="163"/>
      <c r="N198" s="3"/>
      <c r="O198" s="36"/>
      <c r="P198" s="3"/>
      <c r="Q198" s="191"/>
      <c r="R198" s="191"/>
      <c r="S198" s="191"/>
      <c r="T198" s="191"/>
      <c r="U198" s="191"/>
      <c r="V198" s="1"/>
      <c r="W198" s="14"/>
    </row>
    <row r="199" spans="2:23" ht="12" customHeight="1">
      <c r="B199" s="13"/>
      <c r="D199" s="7"/>
      <c r="G199" s="122"/>
      <c r="I199" s="134"/>
      <c r="J199" s="134"/>
      <c r="K199" s="134"/>
      <c r="L199" s="134"/>
      <c r="M199" s="134"/>
      <c r="Q199" s="192"/>
      <c r="R199" s="192"/>
      <c r="S199" s="192"/>
      <c r="T199" s="192"/>
      <c r="U199" s="192"/>
      <c r="W199" s="14"/>
    </row>
    <row r="200" spans="2:23" ht="12" customHeight="1">
      <c r="B200" s="13"/>
      <c r="D200" s="7"/>
      <c r="G200" s="122"/>
      <c r="I200" s="134"/>
      <c r="J200" s="134"/>
      <c r="K200" s="134"/>
      <c r="L200" s="134"/>
      <c r="M200" s="134"/>
      <c r="Q200" s="192"/>
      <c r="R200" s="192"/>
      <c r="S200" s="192"/>
      <c r="T200" s="192"/>
      <c r="U200" s="192"/>
      <c r="W200" s="14"/>
    </row>
    <row r="201" spans="2:23" ht="12" customHeight="1">
      <c r="B201" s="13"/>
      <c r="C201" s="1"/>
      <c r="D201" s="84"/>
      <c r="E201" s="1"/>
      <c r="F201" s="1"/>
      <c r="G201" s="1"/>
      <c r="H201" s="1"/>
      <c r="I201" s="179"/>
      <c r="J201" s="179"/>
      <c r="K201" s="179"/>
      <c r="L201" s="179"/>
      <c r="M201" s="179"/>
      <c r="N201" s="1"/>
      <c r="P201" s="1"/>
      <c r="Q201" s="182"/>
      <c r="R201" s="182"/>
      <c r="S201" s="182"/>
      <c r="T201" s="182"/>
      <c r="U201" s="182"/>
      <c r="V201" s="1"/>
      <c r="W201" s="14"/>
    </row>
    <row r="202" spans="2:23" ht="12" customHeight="1">
      <c r="B202" s="13"/>
      <c r="C202" s="1"/>
      <c r="D202" s="2" t="s">
        <v>444</v>
      </c>
      <c r="E202" s="1"/>
      <c r="F202" s="1"/>
      <c r="G202" s="1"/>
      <c r="H202" s="1"/>
      <c r="I202" s="43">
        <f>+fiebouw!L108</f>
        <v>1990340.7216</v>
      </c>
      <c r="J202" s="43">
        <f>+fiebouw!T108</f>
        <v>1990340.7216</v>
      </c>
      <c r="K202" s="43">
        <f>+fiebouw!AB108</f>
        <v>1990340.7216</v>
      </c>
      <c r="L202" s="43">
        <f>+fiebouw!AJ108</f>
        <v>1990340.7216</v>
      </c>
      <c r="M202" s="43">
        <f>fiebouw!AR108</f>
        <v>1990340.7216</v>
      </c>
      <c r="N202" s="3"/>
      <c r="O202" s="36"/>
      <c r="P202" s="3"/>
      <c r="Q202" s="42">
        <f>fiebouw!J108</f>
        <v>33</v>
      </c>
      <c r="R202" s="42">
        <f>fiebouw!R108</f>
        <v>33</v>
      </c>
      <c r="S202" s="42">
        <f>fiebouw!Z108</f>
        <v>33</v>
      </c>
      <c r="T202" s="42">
        <f>fiebouw!AH108</f>
        <v>33</v>
      </c>
      <c r="U202" s="42">
        <f>fiebouw!AP108</f>
        <v>33</v>
      </c>
      <c r="V202" s="1"/>
      <c r="W202" s="14"/>
    </row>
    <row r="203" spans="2:23" ht="12" customHeight="1">
      <c r="B203" s="13"/>
      <c r="C203" s="1"/>
      <c r="D203" s="84"/>
      <c r="E203" s="1"/>
      <c r="F203" s="1"/>
      <c r="G203" s="1"/>
      <c r="H203" s="1"/>
      <c r="I203" s="163"/>
      <c r="J203" s="163"/>
      <c r="K203" s="163"/>
      <c r="L203" s="163"/>
      <c r="M203" s="163"/>
      <c r="N203" s="3"/>
      <c r="O203" s="36"/>
      <c r="P203" s="3"/>
      <c r="Q203" s="191"/>
      <c r="R203" s="191"/>
      <c r="S203" s="191"/>
      <c r="T203" s="191"/>
      <c r="U203" s="191"/>
      <c r="V203" s="1"/>
      <c r="W203" s="14"/>
    </row>
    <row r="204" spans="2:23" ht="12" customHeight="1">
      <c r="B204" s="13"/>
      <c r="D204" s="67"/>
      <c r="I204" s="141"/>
      <c r="J204" s="141"/>
      <c r="K204" s="141"/>
      <c r="L204" s="141"/>
      <c r="M204" s="141"/>
      <c r="N204" s="36"/>
      <c r="O204" s="36"/>
      <c r="P204" s="36"/>
      <c r="Q204" s="193"/>
      <c r="R204" s="193"/>
      <c r="S204" s="193"/>
      <c r="T204" s="193"/>
      <c r="U204" s="193"/>
      <c r="W204" s="14"/>
    </row>
    <row r="205" spans="2:23" ht="12" customHeight="1">
      <c r="B205" s="13"/>
      <c r="D205" s="67"/>
      <c r="I205" s="141"/>
      <c r="J205" s="141"/>
      <c r="K205" s="141"/>
      <c r="L205" s="141"/>
      <c r="M205" s="141"/>
      <c r="N205" s="36"/>
      <c r="O205" s="36"/>
      <c r="P205" s="36"/>
      <c r="Q205" s="193"/>
      <c r="R205" s="193"/>
      <c r="S205" s="193"/>
      <c r="T205" s="193"/>
      <c r="U205" s="193"/>
      <c r="W205" s="14"/>
    </row>
    <row r="206" spans="2:23" ht="12" customHeight="1">
      <c r="B206" s="13"/>
      <c r="C206" s="1"/>
      <c r="D206" s="95"/>
      <c r="E206" s="1"/>
      <c r="F206" s="1"/>
      <c r="G206" s="1"/>
      <c r="H206" s="1"/>
      <c r="I206" s="163"/>
      <c r="J206" s="163"/>
      <c r="K206" s="163"/>
      <c r="L206" s="163"/>
      <c r="M206" s="163"/>
      <c r="N206" s="3"/>
      <c r="O206" s="36"/>
      <c r="P206" s="3"/>
      <c r="Q206" s="191"/>
      <c r="R206" s="191"/>
      <c r="S206" s="191"/>
      <c r="T206" s="191"/>
      <c r="U206" s="191"/>
      <c r="V206" s="1"/>
      <c r="W206" s="14"/>
    </row>
    <row r="207" spans="2:23" ht="12" customHeight="1">
      <c r="B207" s="13"/>
      <c r="C207" s="1"/>
      <c r="D207" s="2" t="s">
        <v>251</v>
      </c>
      <c r="E207" s="1"/>
      <c r="F207" s="1"/>
      <c r="G207" s="1"/>
      <c r="H207" s="1"/>
      <c r="I207" s="43">
        <f>I197-I202</f>
        <v>40159.482570240274</v>
      </c>
      <c r="J207" s="43">
        <f>J197-J202</f>
        <v>58181.114192000125</v>
      </c>
      <c r="K207" s="43">
        <f>K197-K202</f>
        <v>58181.114192000125</v>
      </c>
      <c r="L207" s="43">
        <f>L197-L202</f>
        <v>58181.114192000125</v>
      </c>
      <c r="M207" s="43">
        <f>M197-M202</f>
        <v>58181.114192000125</v>
      </c>
      <c r="N207" s="3"/>
      <c r="O207" s="36"/>
      <c r="P207" s="3"/>
      <c r="Q207" s="319">
        <f>Q197-Q202</f>
        <v>0.6610833359547499</v>
      </c>
      <c r="R207" s="319">
        <f>R197-R202</f>
        <v>0.9598833359547498</v>
      </c>
      <c r="S207" s="319">
        <f>S197-S202</f>
        <v>0.9598833359547498</v>
      </c>
      <c r="T207" s="319">
        <f>T197-T202</f>
        <v>0.9598833359547498</v>
      </c>
      <c r="U207" s="319">
        <f>U197-U202</f>
        <v>0.9598833359547498</v>
      </c>
      <c r="V207" s="1"/>
      <c r="W207" s="14"/>
    </row>
    <row r="208" spans="2:23" ht="12" customHeight="1">
      <c r="B208" s="13"/>
      <c r="C208" s="1"/>
      <c r="D208" s="95"/>
      <c r="E208" s="1"/>
      <c r="F208" s="1"/>
      <c r="G208" s="1"/>
      <c r="H208" s="1"/>
      <c r="I208" s="4"/>
      <c r="J208" s="4"/>
      <c r="K208" s="4"/>
      <c r="L208" s="4"/>
      <c r="M208" s="4"/>
      <c r="N208" s="3"/>
      <c r="O208" s="36"/>
      <c r="P208" s="3"/>
      <c r="Q208" s="182"/>
      <c r="R208" s="182"/>
      <c r="S208" s="182"/>
      <c r="T208" s="182"/>
      <c r="U208" s="182"/>
      <c r="V208" s="1"/>
      <c r="W208" s="14"/>
    </row>
    <row r="209" spans="2:23" ht="12" customHeight="1">
      <c r="B209" s="13"/>
      <c r="D209" s="67"/>
      <c r="I209" s="8"/>
      <c r="J209" s="8"/>
      <c r="K209" s="8"/>
      <c r="L209" s="8"/>
      <c r="M209" s="8"/>
      <c r="W209" s="14"/>
    </row>
    <row r="210" spans="2:23" ht="12" customHeight="1" thickBot="1">
      <c r="B210" s="48"/>
      <c r="C210" s="49"/>
      <c r="D210" s="169"/>
      <c r="E210" s="49"/>
      <c r="F210" s="49"/>
      <c r="G210" s="49"/>
      <c r="H210" s="49"/>
      <c r="I210" s="50"/>
      <c r="J210" s="50"/>
      <c r="K210" s="50"/>
      <c r="L210" s="50"/>
      <c r="M210" s="50"/>
      <c r="N210" s="49"/>
      <c r="O210" s="49"/>
      <c r="P210" s="49"/>
      <c r="Q210" s="50"/>
      <c r="R210" s="50"/>
      <c r="S210" s="50"/>
      <c r="T210" s="50"/>
      <c r="U210" s="50"/>
      <c r="V210" s="49"/>
      <c r="W210" s="51"/>
    </row>
    <row r="211" spans="9:13" ht="12" customHeight="1">
      <c r="I211" s="8"/>
      <c r="J211" s="8"/>
      <c r="K211" s="8"/>
      <c r="L211" s="8"/>
      <c r="M211" s="8"/>
    </row>
    <row r="212" ht="12" customHeight="1"/>
    <row r="213" ht="12" customHeight="1"/>
    <row r="214" ht="12" customHeight="1"/>
    <row r="215" ht="12" customHeight="1"/>
    <row r="216" spans="4:13" ht="12" customHeight="1">
      <c r="D216" s="338" t="s">
        <v>313</v>
      </c>
      <c r="E216" s="6"/>
      <c r="J216" s="88">
        <f>tabel!D4</f>
        <v>2010</v>
      </c>
      <c r="K216" s="88">
        <f>tabel!E4</f>
        <v>2011</v>
      </c>
      <c r="L216" s="88">
        <f>tabel!F4</f>
        <v>2012</v>
      </c>
      <c r="M216" s="88">
        <f>tabel!G4</f>
        <v>2013</v>
      </c>
    </row>
    <row r="217" spans="4:5" ht="12" customHeight="1">
      <c r="D217" s="339"/>
      <c r="E217" s="6"/>
    </row>
    <row r="218" spans="4:13" ht="12" customHeight="1">
      <c r="D218" s="7" t="s">
        <v>380</v>
      </c>
      <c r="E218" s="6"/>
      <c r="J218" s="134">
        <f>7/12*I143+5/12*J143</f>
        <v>2038009.217345974</v>
      </c>
      <c r="K218" s="134">
        <f>7/12*J143+5/12*K143</f>
        <v>2048521.8357920004</v>
      </c>
      <c r="L218" s="134">
        <f>7/12*K143+5/12*L143</f>
        <v>2048521.8357920004</v>
      </c>
      <c r="M218" s="134">
        <f>7/12*L143+5/12*M143</f>
        <v>2048521.8357920004</v>
      </c>
    </row>
    <row r="219" spans="4:13" ht="12" customHeight="1">
      <c r="D219" s="7" t="s">
        <v>370</v>
      </c>
      <c r="E219" s="6"/>
      <c r="J219" s="134">
        <f>7/12*I164+5/12*J164</f>
        <v>0</v>
      </c>
      <c r="K219" s="134">
        <f>7/12*J164+5/12*K164</f>
        <v>0</v>
      </c>
      <c r="L219" s="134">
        <f>7/12*K164+5/12*L164</f>
        <v>0</v>
      </c>
      <c r="M219" s="134">
        <f>7/12*L164+5/12*M164</f>
        <v>0</v>
      </c>
    </row>
    <row r="220" spans="4:13" ht="12" customHeight="1">
      <c r="D220" s="7" t="s">
        <v>248</v>
      </c>
      <c r="E220" s="6"/>
      <c r="J220" s="134">
        <f aca="true" t="shared" si="19" ref="J220:M222">(7/12*I170+5/12*J170)</f>
        <v>0</v>
      </c>
      <c r="K220" s="134">
        <f t="shared" si="19"/>
        <v>0</v>
      </c>
      <c r="L220" s="134">
        <f t="shared" si="19"/>
        <v>0</v>
      </c>
      <c r="M220" s="134">
        <f t="shared" si="19"/>
        <v>0</v>
      </c>
    </row>
    <row r="221" spans="4:13" ht="12" customHeight="1">
      <c r="D221" s="7" t="s">
        <v>431</v>
      </c>
      <c r="E221" s="6"/>
      <c r="J221" s="134">
        <f t="shared" si="19"/>
        <v>0</v>
      </c>
      <c r="K221" s="134">
        <f t="shared" si="19"/>
        <v>0</v>
      </c>
      <c r="L221" s="134">
        <f t="shared" si="19"/>
        <v>0</v>
      </c>
      <c r="M221" s="134">
        <f t="shared" si="19"/>
        <v>0</v>
      </c>
    </row>
    <row r="222" spans="4:13" ht="12" customHeight="1">
      <c r="D222" s="7" t="s">
        <v>615</v>
      </c>
      <c r="E222" s="6"/>
      <c r="J222" s="134">
        <f t="shared" si="19"/>
        <v>0</v>
      </c>
      <c r="K222" s="134">
        <f t="shared" si="19"/>
        <v>0</v>
      </c>
      <c r="L222" s="134">
        <f t="shared" si="19"/>
        <v>0</v>
      </c>
      <c r="M222" s="134">
        <f t="shared" si="19"/>
        <v>0</v>
      </c>
    </row>
    <row r="223" spans="4:13" ht="12" customHeight="1">
      <c r="D223" s="7" t="s">
        <v>612</v>
      </c>
      <c r="E223" s="6"/>
      <c r="J223" s="134">
        <f>7/12*I186+5/12*J186-J220</f>
        <v>0</v>
      </c>
      <c r="K223" s="134">
        <f>7/12*J186+5/12*K186-K220</f>
        <v>0</v>
      </c>
      <c r="L223" s="134">
        <f>7/12*K186+5/12*L186-L220</f>
        <v>0</v>
      </c>
      <c r="M223" s="134">
        <f>7/12*L186+5/12*M186-M220</f>
        <v>0</v>
      </c>
    </row>
    <row r="224" spans="4:13" ht="12" customHeight="1">
      <c r="D224" s="7" t="s">
        <v>314</v>
      </c>
      <c r="E224" s="6"/>
      <c r="J224" s="134">
        <f>7/12*I140+5/12*J140</f>
        <v>41586.160987359995</v>
      </c>
      <c r="K224" s="134">
        <f>7/12*J140+5/12*K140</f>
        <v>41800.704207999996</v>
      </c>
      <c r="L224" s="134">
        <f>7/12*K140+5/12*L140</f>
        <v>41800.704207999996</v>
      </c>
      <c r="M224" s="134">
        <f>7/12*L140+5/12*M140</f>
        <v>41800.704207999996</v>
      </c>
    </row>
    <row r="225" spans="4:13" ht="12" customHeight="1">
      <c r="D225" s="7" t="s">
        <v>182</v>
      </c>
      <c r="E225" s="6"/>
      <c r="J225" s="134">
        <f>7/12*I202+5/12*J202</f>
        <v>1990340.7216000003</v>
      </c>
      <c r="K225" s="134">
        <f>7/12*J202+5/12*K202</f>
        <v>1990340.7216000003</v>
      </c>
      <c r="L225" s="134">
        <f>7/12*K202+5/12*L202</f>
        <v>1990340.7216000003</v>
      </c>
      <c r="M225" s="134">
        <f>7/12*L202+5/12*M202</f>
        <v>1990340.7216000003</v>
      </c>
    </row>
    <row r="226" spans="4:13" ht="12" customHeight="1">
      <c r="D226" s="7" t="s">
        <v>315</v>
      </c>
      <c r="E226" s="6"/>
      <c r="J226" s="134">
        <f>7/12*(I67+I68+I69+I70)+5/12*(J67+J68+J69+J70)</f>
        <v>189836.40000000002</v>
      </c>
      <c r="K226" s="134">
        <f>7/12*(J67+J68+J69+J70)+5/12*(K67+K68+K69+K70)</f>
        <v>189836.40000000002</v>
      </c>
      <c r="L226" s="134">
        <f>7/12*(K67+K68+K69+K70)+5/12*(L67+L68+L69+L70)</f>
        <v>189836.40000000002</v>
      </c>
      <c r="M226" s="134">
        <f>7/12*(L67+L68+L69+L70)+5/12*(M67+M68+M69+M70)</f>
        <v>189836.40000000002</v>
      </c>
    </row>
    <row r="227" spans="4:10" ht="12" customHeight="1">
      <c r="D227" s="7" t="s">
        <v>316</v>
      </c>
      <c r="E227" s="6"/>
      <c r="J227" s="134">
        <f>7/12*'form t'!T110+5/12*'form t+1'!T110</f>
        <v>0</v>
      </c>
    </row>
    <row r="228" spans="4:13" ht="12" customHeight="1">
      <c r="D228" s="7" t="s">
        <v>255</v>
      </c>
      <c r="J228" s="340">
        <f>7/12*Q197+5/12*R197</f>
        <v>33.785583335954755</v>
      </c>
      <c r="K228" s="340">
        <f>7/12*R197+5/12*S197</f>
        <v>33.95988333595475</v>
      </c>
      <c r="L228" s="340">
        <f>7/12*S197+5/12*T197</f>
        <v>33.95988333595475</v>
      </c>
      <c r="M228" s="340">
        <f>7/12*T197+5/12*U197</f>
        <v>33.95988333595475</v>
      </c>
    </row>
    <row r="229" spans="4:13" ht="12" customHeight="1">
      <c r="D229" s="7" t="s">
        <v>256</v>
      </c>
      <c r="J229" s="340">
        <f>7/12*Q202+5/12*R202</f>
        <v>33</v>
      </c>
      <c r="K229" s="340">
        <f>7/12*R202+5/12*S202</f>
        <v>33</v>
      </c>
      <c r="L229" s="340">
        <f>7/12*S202+5/12*T202</f>
        <v>33</v>
      </c>
      <c r="M229" s="340">
        <f>7/12*T202+5/12*U202</f>
        <v>33</v>
      </c>
    </row>
    <row r="230" ht="12" customHeight="1"/>
    <row r="231" ht="12" customHeight="1">
      <c r="D231" s="7"/>
    </row>
    <row r="232" ht="12" customHeight="1">
      <c r="D232" s="7"/>
    </row>
    <row r="233" ht="12" customHeight="1">
      <c r="D233" s="7"/>
    </row>
    <row r="234" ht="12" customHeight="1">
      <c r="D234" s="7"/>
    </row>
    <row r="235" ht="12" customHeight="1">
      <c r="D235" s="7"/>
    </row>
    <row r="236" ht="12" customHeight="1">
      <c r="D236" s="7"/>
    </row>
    <row r="237" ht="12" customHeight="1">
      <c r="D237" s="7"/>
    </row>
    <row r="238" ht="12" customHeight="1">
      <c r="D238" s="7"/>
    </row>
    <row r="239" ht="12" customHeight="1">
      <c r="D239" s="7"/>
    </row>
    <row r="240" ht="12" customHeight="1">
      <c r="D240" s="7"/>
    </row>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sheetData>
  <sheetProtection password="DE55" sheet="1" objects="1" scenarios="1"/>
  <mergeCells count="6">
    <mergeCell ref="I152:L152"/>
    <mergeCell ref="Q152:T152"/>
    <mergeCell ref="Q7:T7"/>
    <mergeCell ref="I7:L7"/>
    <mergeCell ref="I80:L80"/>
    <mergeCell ref="Q80:T80"/>
  </mergeCells>
  <printOptions/>
  <pageMargins left="0.75" right="0.75" top="1" bottom="1" header="0.5" footer="0.5"/>
  <pageSetup horizontalDpi="600" verticalDpi="600" orientation="landscape" paperSize="9" scale="50" r:id="rId4"/>
  <headerFooter alignWithMargins="0">
    <oddHeader>&amp;L&amp;"Arial,Vet"&amp;F&amp;R&amp;"Arial,Vet"&amp;A</oddHeader>
    <oddFooter>&amp;L&amp;"Arial,Vet"keizer / goedhart&amp;C&amp;"Arial,Vet"&amp;D&amp;R&amp;"Arial,Vet"pagina &amp;P</oddFooter>
  </headerFooter>
  <rowBreaks count="2" manualBreakCount="2">
    <brk id="74" min="1" max="20" man="1"/>
    <brk id="146" min="1" max="22" man="1"/>
  </rowBreaks>
  <drawing r:id="rId3"/>
  <legacyDrawing r:id="rId2"/>
</worksheet>
</file>

<file path=xl/worksheets/sheet5.xml><?xml version="1.0" encoding="utf-8"?>
<worksheet xmlns="http://schemas.openxmlformats.org/spreadsheetml/2006/main" xmlns:r="http://schemas.openxmlformats.org/officeDocument/2006/relationships">
  <dimension ref="B2:V112"/>
  <sheetViews>
    <sheetView zoomScale="85" zoomScaleNormal="85" workbookViewId="0" topLeftCell="A1">
      <pane ySplit="9" topLeftCell="BM10" activePane="bottomLeft" state="frozen"/>
      <selection pane="topLeft" activeCell="A1" sqref="A1"/>
      <selection pane="bottomLeft" activeCell="B2" sqref="B2"/>
    </sheetView>
  </sheetViews>
  <sheetFormatPr defaultColWidth="9.140625" defaultRowHeight="12.75"/>
  <cols>
    <col min="1" max="1" width="3.7109375" style="7" customWidth="1"/>
    <col min="2" max="3" width="2.7109375" style="7" customWidth="1"/>
    <col min="4" max="4" width="30.7109375" style="8" customWidth="1"/>
    <col min="5" max="5" width="12.7109375" style="7" customWidth="1"/>
    <col min="6" max="7" width="12.7109375" style="8" customWidth="1"/>
    <col min="8" max="8" width="1.7109375" style="7" customWidth="1"/>
    <col min="9" max="10" width="12.7109375" style="8" customWidth="1"/>
    <col min="11" max="11" width="14.7109375" style="8" hidden="1" customWidth="1"/>
    <col min="12" max="12" width="1.7109375" style="7" customWidth="1"/>
    <col min="13" max="14" width="10.7109375" style="8" customWidth="1"/>
    <col min="15" max="15" width="1.7109375" style="7" customWidth="1"/>
    <col min="16" max="16" width="12.8515625" style="8" customWidth="1"/>
    <col min="17" max="17" width="1.7109375" style="7" customWidth="1"/>
    <col min="18" max="18" width="12.8515625" style="8" customWidth="1"/>
    <col min="19" max="19" width="12.8515625" style="7" customWidth="1"/>
    <col min="20" max="20" width="16.7109375" style="8" hidden="1" customWidth="1"/>
    <col min="21" max="23" width="2.7109375" style="7" customWidth="1"/>
    <col min="24" max="25" width="13.8515625" style="7" bestFit="1" customWidth="1"/>
    <col min="26" max="16384" width="9.140625" style="7" customWidth="1"/>
  </cols>
  <sheetData>
    <row r="1" ht="12.75" customHeight="1" thickBot="1"/>
    <row r="2" spans="2:22" ht="12.75">
      <c r="B2" s="9" t="s">
        <v>101</v>
      </c>
      <c r="C2" s="10"/>
      <c r="D2" s="11"/>
      <c r="E2" s="10"/>
      <c r="F2" s="11"/>
      <c r="G2" s="11"/>
      <c r="H2" s="10"/>
      <c r="I2" s="11"/>
      <c r="J2" s="11"/>
      <c r="K2" s="11"/>
      <c r="L2" s="10"/>
      <c r="M2" s="11"/>
      <c r="N2" s="11"/>
      <c r="O2" s="10"/>
      <c r="P2" s="11"/>
      <c r="Q2" s="10"/>
      <c r="R2" s="11"/>
      <c r="S2" s="10"/>
      <c r="T2" s="11"/>
      <c r="U2" s="10"/>
      <c r="V2" s="12"/>
    </row>
    <row r="3" spans="2:22" ht="12.75" customHeight="1">
      <c r="B3" s="13"/>
      <c r="V3" s="14"/>
    </row>
    <row r="4" spans="2:22" s="15" customFormat="1" ht="18" customHeight="1">
      <c r="B4" s="16"/>
      <c r="C4" s="17" t="s">
        <v>102</v>
      </c>
      <c r="D4" s="18"/>
      <c r="E4" s="19" t="str">
        <f>geg!I7</f>
        <v>2009/10</v>
      </c>
      <c r="F4" s="18"/>
      <c r="G4" s="18"/>
      <c r="J4" s="18"/>
      <c r="K4" s="18"/>
      <c r="M4" s="18"/>
      <c r="N4" s="18"/>
      <c r="P4" s="18"/>
      <c r="R4" s="18"/>
      <c r="T4" s="18"/>
      <c r="V4" s="20"/>
    </row>
    <row r="5" spans="2:22" ht="12.75" customHeight="1">
      <c r="B5" s="13"/>
      <c r="V5" s="14"/>
    </row>
    <row r="6" spans="2:22" ht="12.75" customHeight="1">
      <c r="B6" s="13"/>
      <c r="V6" s="14"/>
    </row>
    <row r="7" spans="2:22" ht="12.75" customHeight="1">
      <c r="B7" s="13"/>
      <c r="D7" s="21" t="s">
        <v>103</v>
      </c>
      <c r="E7" s="21" t="s">
        <v>104</v>
      </c>
      <c r="F7" s="21" t="s">
        <v>105</v>
      </c>
      <c r="G7" s="21" t="s">
        <v>106</v>
      </c>
      <c r="H7" s="21"/>
      <c r="I7" s="21" t="s">
        <v>105</v>
      </c>
      <c r="J7" s="21" t="s">
        <v>106</v>
      </c>
      <c r="K7" s="21" t="s">
        <v>107</v>
      </c>
      <c r="L7" s="21"/>
      <c r="M7" s="21" t="s">
        <v>108</v>
      </c>
      <c r="N7" s="21" t="s">
        <v>737</v>
      </c>
      <c r="O7" s="21"/>
      <c r="P7" s="21" t="s">
        <v>737</v>
      </c>
      <c r="Q7" s="21"/>
      <c r="R7" s="21" t="s">
        <v>109</v>
      </c>
      <c r="S7" s="21" t="s">
        <v>109</v>
      </c>
      <c r="T7" s="21" t="s">
        <v>110</v>
      </c>
      <c r="U7" s="102"/>
      <c r="V7" s="14"/>
    </row>
    <row r="8" spans="2:22" ht="12.75" customHeight="1">
      <c r="B8" s="13"/>
      <c r="D8" s="22"/>
      <c r="E8" s="22"/>
      <c r="F8" s="468" t="s">
        <v>111</v>
      </c>
      <c r="G8" s="334" t="s">
        <v>111</v>
      </c>
      <c r="H8" s="22"/>
      <c r="I8" s="52">
        <f>+tabel!C5</f>
        <v>40026</v>
      </c>
      <c r="J8" s="24">
        <f>+tabel!C6</f>
        <v>40390</v>
      </c>
      <c r="K8" s="54">
        <f>J8-I8+1</f>
        <v>365</v>
      </c>
      <c r="L8" s="22"/>
      <c r="M8" s="22"/>
      <c r="N8" s="22"/>
      <c r="O8" s="22"/>
      <c r="P8" s="22" t="s">
        <v>112</v>
      </c>
      <c r="Q8" s="22"/>
      <c r="R8" s="22" t="s">
        <v>113</v>
      </c>
      <c r="S8" s="22" t="s">
        <v>114</v>
      </c>
      <c r="T8" s="327">
        <v>0.727</v>
      </c>
      <c r="U8" s="102"/>
      <c r="V8" s="14"/>
    </row>
    <row r="9" spans="2:22" ht="12.75" customHeight="1">
      <c r="B9" s="13"/>
      <c r="V9" s="14"/>
    </row>
    <row r="10" spans="2:22" ht="12.75" customHeight="1">
      <c r="B10" s="13"/>
      <c r="C10" s="1"/>
      <c r="D10" s="25"/>
      <c r="E10" s="1"/>
      <c r="F10" s="25"/>
      <c r="G10" s="25"/>
      <c r="H10" s="1"/>
      <c r="I10" s="25"/>
      <c r="J10" s="25"/>
      <c r="K10" s="25"/>
      <c r="L10" s="1"/>
      <c r="M10" s="25"/>
      <c r="N10" s="25"/>
      <c r="O10" s="1"/>
      <c r="P10" s="25"/>
      <c r="Q10" s="1"/>
      <c r="R10" s="25"/>
      <c r="S10" s="1"/>
      <c r="T10" s="25"/>
      <c r="U10" s="1"/>
      <c r="V10" s="14"/>
    </row>
    <row r="11" spans="2:22" ht="12.75" customHeight="1">
      <c r="B11" s="13"/>
      <c r="C11" s="1"/>
      <c r="D11" s="27"/>
      <c r="E11" s="27"/>
      <c r="F11" s="28"/>
      <c r="G11" s="28"/>
      <c r="H11" s="25"/>
      <c r="I11" s="29">
        <f aca="true" t="shared" si="0" ref="I11:I72">IF(F11=0,$I$8,F11)</f>
        <v>40026</v>
      </c>
      <c r="J11" s="29">
        <f aca="true" t="shared" si="1" ref="J11:J72">IF(G11=0,$J$8,G11)</f>
        <v>40390</v>
      </c>
      <c r="K11" s="30">
        <f>J11-I11+1</f>
        <v>365</v>
      </c>
      <c r="L11" s="25"/>
      <c r="M11" s="27" t="s">
        <v>670</v>
      </c>
      <c r="N11" s="31">
        <v>33</v>
      </c>
      <c r="O11" s="25"/>
      <c r="P11" s="32">
        <f>N11*K11/$K$8</f>
        <v>33</v>
      </c>
      <c r="Q11" s="25"/>
      <c r="R11" s="33">
        <f>IF(P11=0,"",(VLOOKUP(M11,kosten_functies_LB,2,FALSE))*P11)</f>
        <v>33</v>
      </c>
      <c r="S11" s="34">
        <f>IF(P11=0,"",(IF(R11=0,0,R11*geg!$I$27)))</f>
        <v>1990340.7216</v>
      </c>
      <c r="T11" s="35" t="str">
        <f>IF(S11&gt;=0," ",-S11*$T$8)</f>
        <v> </v>
      </c>
      <c r="U11" s="1"/>
      <c r="V11" s="14"/>
    </row>
    <row r="12" spans="2:22" ht="12.75" customHeight="1">
      <c r="B12" s="13"/>
      <c r="C12" s="1"/>
      <c r="D12" s="27"/>
      <c r="E12" s="27"/>
      <c r="F12" s="28"/>
      <c r="G12" s="28"/>
      <c r="H12" s="1"/>
      <c r="I12" s="29">
        <f t="shared" si="0"/>
        <v>40026</v>
      </c>
      <c r="J12" s="29">
        <f t="shared" si="1"/>
        <v>40390</v>
      </c>
      <c r="K12" s="30">
        <f aca="true" t="shared" si="2" ref="K12:K73">J12-I12+1</f>
        <v>365</v>
      </c>
      <c r="L12" s="1"/>
      <c r="M12" s="27"/>
      <c r="N12" s="31"/>
      <c r="O12" s="1"/>
      <c r="P12" s="32">
        <f aca="true" t="shared" si="3" ref="P12:P61">N12*K12/$K$8</f>
        <v>0</v>
      </c>
      <c r="Q12" s="1"/>
      <c r="R12" s="33">
        <f aca="true" t="shared" si="4" ref="R12:R73">IF(P12=0,"",(VLOOKUP(M12,kosten_functies_LB,2,FALSE))*P12)</f>
      </c>
      <c r="S12" s="34">
        <f>IF(P12=0,"",(IF(R12=0,0,R12*geg!$I$27)))</f>
      </c>
      <c r="T12" s="35" t="str">
        <f aca="true" t="shared" si="5" ref="T12:T60">IF(S12&gt;=0," ",-S12*$T$8)</f>
        <v> </v>
      </c>
      <c r="U12" s="1"/>
      <c r="V12" s="14"/>
    </row>
    <row r="13" spans="2:22" ht="12.75" customHeight="1">
      <c r="B13" s="13"/>
      <c r="C13" s="1"/>
      <c r="D13" s="27"/>
      <c r="E13" s="27"/>
      <c r="F13" s="28"/>
      <c r="G13" s="28"/>
      <c r="H13" s="1"/>
      <c r="I13" s="29">
        <f t="shared" si="0"/>
        <v>40026</v>
      </c>
      <c r="J13" s="29">
        <f t="shared" si="1"/>
        <v>40390</v>
      </c>
      <c r="K13" s="30">
        <f t="shared" si="2"/>
        <v>365</v>
      </c>
      <c r="L13" s="1"/>
      <c r="M13" s="27"/>
      <c r="N13" s="31"/>
      <c r="O13" s="1"/>
      <c r="P13" s="32">
        <f t="shared" si="3"/>
        <v>0</v>
      </c>
      <c r="Q13" s="1"/>
      <c r="R13" s="33">
        <f t="shared" si="4"/>
      </c>
      <c r="S13" s="34">
        <f>IF(P13=0,"",(IF(R13=0,0,R13*geg!$I$27)))</f>
      </c>
      <c r="T13" s="35" t="str">
        <f t="shared" si="5"/>
        <v> </v>
      </c>
      <c r="U13" s="1"/>
      <c r="V13" s="14"/>
    </row>
    <row r="14" spans="2:22" ht="12.75" customHeight="1">
      <c r="B14" s="13"/>
      <c r="C14" s="1"/>
      <c r="D14" s="27"/>
      <c r="E14" s="27"/>
      <c r="F14" s="28"/>
      <c r="G14" s="28"/>
      <c r="H14" s="1"/>
      <c r="I14" s="29">
        <f t="shared" si="0"/>
        <v>40026</v>
      </c>
      <c r="J14" s="29">
        <f t="shared" si="1"/>
        <v>40390</v>
      </c>
      <c r="K14" s="30">
        <f t="shared" si="2"/>
        <v>365</v>
      </c>
      <c r="L14" s="1"/>
      <c r="M14" s="27"/>
      <c r="N14" s="31"/>
      <c r="O14" s="1"/>
      <c r="P14" s="32">
        <f t="shared" si="3"/>
        <v>0</v>
      </c>
      <c r="Q14" s="1"/>
      <c r="R14" s="33">
        <f t="shared" si="4"/>
      </c>
      <c r="S14" s="34">
        <f>IF(P14=0,"",(IF(R14=0,0,R14*geg!$I$27)))</f>
      </c>
      <c r="T14" s="35" t="str">
        <f t="shared" si="5"/>
        <v> </v>
      </c>
      <c r="U14" s="1"/>
      <c r="V14" s="14"/>
    </row>
    <row r="15" spans="2:22" ht="12.75" customHeight="1">
      <c r="B15" s="13"/>
      <c r="C15" s="1"/>
      <c r="D15" s="27"/>
      <c r="E15" s="27"/>
      <c r="F15" s="28"/>
      <c r="G15" s="28"/>
      <c r="H15" s="1"/>
      <c r="I15" s="29">
        <f t="shared" si="0"/>
        <v>40026</v>
      </c>
      <c r="J15" s="29">
        <f t="shared" si="1"/>
        <v>40390</v>
      </c>
      <c r="K15" s="30">
        <f t="shared" si="2"/>
        <v>365</v>
      </c>
      <c r="L15" s="1"/>
      <c r="M15" s="27"/>
      <c r="N15" s="31"/>
      <c r="O15" s="1"/>
      <c r="P15" s="32">
        <f t="shared" si="3"/>
        <v>0</v>
      </c>
      <c r="Q15" s="1"/>
      <c r="R15" s="33">
        <f t="shared" si="4"/>
      </c>
      <c r="S15" s="34">
        <f>IF(P15=0,"",(IF(R15=0,0,R15*geg!$I$27)))</f>
      </c>
      <c r="T15" s="35" t="str">
        <f t="shared" si="5"/>
        <v> </v>
      </c>
      <c r="U15" s="1"/>
      <c r="V15" s="14"/>
    </row>
    <row r="16" spans="2:22" ht="12.75" customHeight="1">
      <c r="B16" s="13"/>
      <c r="C16" s="1"/>
      <c r="D16" s="27"/>
      <c r="E16" s="27"/>
      <c r="F16" s="28"/>
      <c r="G16" s="28"/>
      <c r="H16" s="1"/>
      <c r="I16" s="29">
        <f t="shared" si="0"/>
        <v>40026</v>
      </c>
      <c r="J16" s="29">
        <f t="shared" si="1"/>
        <v>40390</v>
      </c>
      <c r="K16" s="30">
        <f t="shared" si="2"/>
        <v>365</v>
      </c>
      <c r="L16" s="1"/>
      <c r="M16" s="27"/>
      <c r="N16" s="31"/>
      <c r="O16" s="1"/>
      <c r="P16" s="32">
        <f t="shared" si="3"/>
        <v>0</v>
      </c>
      <c r="Q16" s="1"/>
      <c r="R16" s="33">
        <f t="shared" si="4"/>
      </c>
      <c r="S16" s="34">
        <f>IF(P16=0,"",(IF(R16=0,0,R16*geg!$I$27)))</f>
      </c>
      <c r="T16" s="35" t="str">
        <f t="shared" si="5"/>
        <v> </v>
      </c>
      <c r="U16" s="1"/>
      <c r="V16" s="14"/>
    </row>
    <row r="17" spans="2:22" ht="12.75" customHeight="1">
      <c r="B17" s="13"/>
      <c r="C17" s="1"/>
      <c r="D17" s="27"/>
      <c r="E17" s="27"/>
      <c r="F17" s="28"/>
      <c r="G17" s="28"/>
      <c r="H17" s="1"/>
      <c r="I17" s="29">
        <f t="shared" si="0"/>
        <v>40026</v>
      </c>
      <c r="J17" s="29">
        <f t="shared" si="1"/>
        <v>40390</v>
      </c>
      <c r="K17" s="30">
        <f t="shared" si="2"/>
        <v>365</v>
      </c>
      <c r="L17" s="1"/>
      <c r="M17" s="27"/>
      <c r="N17" s="31"/>
      <c r="O17" s="1"/>
      <c r="P17" s="32">
        <f t="shared" si="3"/>
        <v>0</v>
      </c>
      <c r="Q17" s="1"/>
      <c r="R17" s="33">
        <f t="shared" si="4"/>
      </c>
      <c r="S17" s="34">
        <f>IF(P17=0,"",(IF(R17=0,0,R17*geg!$I$27)))</f>
      </c>
      <c r="T17" s="35" t="str">
        <f t="shared" si="5"/>
        <v> </v>
      </c>
      <c r="U17" s="1"/>
      <c r="V17" s="14"/>
    </row>
    <row r="18" spans="2:22" ht="12.75" customHeight="1">
      <c r="B18" s="13"/>
      <c r="C18" s="1"/>
      <c r="D18" s="27"/>
      <c r="E18" s="27"/>
      <c r="F18" s="28"/>
      <c r="G18" s="28"/>
      <c r="H18" s="1"/>
      <c r="I18" s="29">
        <f t="shared" si="0"/>
        <v>40026</v>
      </c>
      <c r="J18" s="29">
        <f t="shared" si="1"/>
        <v>40390</v>
      </c>
      <c r="K18" s="30">
        <f t="shared" si="2"/>
        <v>365</v>
      </c>
      <c r="L18" s="1"/>
      <c r="M18" s="27"/>
      <c r="N18" s="31"/>
      <c r="O18" s="1"/>
      <c r="P18" s="32">
        <f t="shared" si="3"/>
        <v>0</v>
      </c>
      <c r="Q18" s="1"/>
      <c r="R18" s="33">
        <f t="shared" si="4"/>
      </c>
      <c r="S18" s="34">
        <f>IF(P18=0,"",(IF(R18=0,0,R18*geg!$I$27)))</f>
      </c>
      <c r="T18" s="35" t="str">
        <f t="shared" si="5"/>
        <v> </v>
      </c>
      <c r="U18" s="1"/>
      <c r="V18" s="14"/>
    </row>
    <row r="19" spans="2:22" ht="12.75" customHeight="1">
      <c r="B19" s="13"/>
      <c r="C19" s="1"/>
      <c r="D19" s="27"/>
      <c r="E19" s="27"/>
      <c r="F19" s="28"/>
      <c r="G19" s="28"/>
      <c r="H19" s="1"/>
      <c r="I19" s="29">
        <f t="shared" si="0"/>
        <v>40026</v>
      </c>
      <c r="J19" s="29">
        <f t="shared" si="1"/>
        <v>40390</v>
      </c>
      <c r="K19" s="30">
        <f t="shared" si="2"/>
        <v>365</v>
      </c>
      <c r="L19" s="1"/>
      <c r="M19" s="27"/>
      <c r="N19" s="31"/>
      <c r="O19" s="1"/>
      <c r="P19" s="32">
        <f t="shared" si="3"/>
        <v>0</v>
      </c>
      <c r="Q19" s="1"/>
      <c r="R19" s="33">
        <f t="shared" si="4"/>
      </c>
      <c r="S19" s="34">
        <f>IF(P19=0,"",(IF(R19=0,0,R19*geg!$I$27)))</f>
      </c>
      <c r="T19" s="35" t="str">
        <f t="shared" si="5"/>
        <v> </v>
      </c>
      <c r="U19" s="1"/>
      <c r="V19" s="14"/>
    </row>
    <row r="20" spans="2:22" ht="12.75" customHeight="1">
      <c r="B20" s="13"/>
      <c r="C20" s="1"/>
      <c r="D20" s="27"/>
      <c r="E20" s="27"/>
      <c r="F20" s="28"/>
      <c r="G20" s="28"/>
      <c r="H20" s="1"/>
      <c r="I20" s="29">
        <f t="shared" si="0"/>
        <v>40026</v>
      </c>
      <c r="J20" s="29">
        <f t="shared" si="1"/>
        <v>40390</v>
      </c>
      <c r="K20" s="30">
        <f t="shared" si="2"/>
        <v>365</v>
      </c>
      <c r="L20" s="1"/>
      <c r="M20" s="27"/>
      <c r="N20" s="31"/>
      <c r="O20" s="1"/>
      <c r="P20" s="32">
        <f t="shared" si="3"/>
        <v>0</v>
      </c>
      <c r="Q20" s="1"/>
      <c r="R20" s="33">
        <f t="shared" si="4"/>
      </c>
      <c r="S20" s="34">
        <f>IF(P20=0,"",(IF(R20=0,0,R20*geg!$I$27)))</f>
      </c>
      <c r="T20" s="35" t="str">
        <f t="shared" si="5"/>
        <v> </v>
      </c>
      <c r="U20" s="1"/>
      <c r="V20" s="14"/>
    </row>
    <row r="21" spans="2:22" ht="12.75" customHeight="1">
      <c r="B21" s="13"/>
      <c r="C21" s="1"/>
      <c r="D21" s="27"/>
      <c r="E21" s="27"/>
      <c r="F21" s="28"/>
      <c r="G21" s="28"/>
      <c r="H21" s="1"/>
      <c r="I21" s="29">
        <f t="shared" si="0"/>
        <v>40026</v>
      </c>
      <c r="J21" s="29">
        <f t="shared" si="1"/>
        <v>40390</v>
      </c>
      <c r="K21" s="30">
        <f t="shared" si="2"/>
        <v>365</v>
      </c>
      <c r="L21" s="1"/>
      <c r="M21" s="27"/>
      <c r="N21" s="31"/>
      <c r="O21" s="1"/>
      <c r="P21" s="32">
        <f t="shared" si="3"/>
        <v>0</v>
      </c>
      <c r="Q21" s="1"/>
      <c r="R21" s="33">
        <f t="shared" si="4"/>
      </c>
      <c r="S21" s="34">
        <f>IF(P21=0,"",(IF(R21=0,0,R21*geg!$I$27)))</f>
      </c>
      <c r="T21" s="35" t="str">
        <f t="shared" si="5"/>
        <v> </v>
      </c>
      <c r="U21" s="1"/>
      <c r="V21" s="14"/>
    </row>
    <row r="22" spans="2:22" ht="12.75" customHeight="1">
      <c r="B22" s="13"/>
      <c r="C22" s="1"/>
      <c r="D22" s="27"/>
      <c r="E22" s="27"/>
      <c r="F22" s="28"/>
      <c r="G22" s="28"/>
      <c r="H22" s="1"/>
      <c r="I22" s="29">
        <f t="shared" si="0"/>
        <v>40026</v>
      </c>
      <c r="J22" s="29">
        <f t="shared" si="1"/>
        <v>40390</v>
      </c>
      <c r="K22" s="30">
        <f t="shared" si="2"/>
        <v>365</v>
      </c>
      <c r="L22" s="1"/>
      <c r="M22" s="27"/>
      <c r="N22" s="31"/>
      <c r="O22" s="1"/>
      <c r="P22" s="32">
        <f t="shared" si="3"/>
        <v>0</v>
      </c>
      <c r="Q22" s="1"/>
      <c r="R22" s="33">
        <f t="shared" si="4"/>
      </c>
      <c r="S22" s="34">
        <f>IF(P22=0,"",(IF(R22=0,0,R22*geg!$I$27)))</f>
      </c>
      <c r="T22" s="35" t="str">
        <f t="shared" si="5"/>
        <v> </v>
      </c>
      <c r="U22" s="1"/>
      <c r="V22" s="14"/>
    </row>
    <row r="23" spans="2:22" ht="12.75" customHeight="1">
      <c r="B23" s="13"/>
      <c r="C23" s="1"/>
      <c r="D23" s="27"/>
      <c r="E23" s="27"/>
      <c r="F23" s="28"/>
      <c r="G23" s="28"/>
      <c r="H23" s="1"/>
      <c r="I23" s="29">
        <f t="shared" si="0"/>
        <v>40026</v>
      </c>
      <c r="J23" s="29">
        <f t="shared" si="1"/>
        <v>40390</v>
      </c>
      <c r="K23" s="30">
        <f t="shared" si="2"/>
        <v>365</v>
      </c>
      <c r="L23" s="1"/>
      <c r="M23" s="27"/>
      <c r="N23" s="31"/>
      <c r="O23" s="1"/>
      <c r="P23" s="32">
        <f t="shared" si="3"/>
        <v>0</v>
      </c>
      <c r="Q23" s="1"/>
      <c r="R23" s="33">
        <f t="shared" si="4"/>
      </c>
      <c r="S23" s="34">
        <f>IF(P23=0,"",(IF(R23=0,0,R23*geg!$I$27)))</f>
      </c>
      <c r="T23" s="35" t="str">
        <f t="shared" si="5"/>
        <v> </v>
      </c>
      <c r="U23" s="1"/>
      <c r="V23" s="14"/>
    </row>
    <row r="24" spans="2:22" ht="12.75" customHeight="1">
      <c r="B24" s="13"/>
      <c r="C24" s="1"/>
      <c r="D24" s="27"/>
      <c r="E24" s="27"/>
      <c r="F24" s="28"/>
      <c r="G24" s="28"/>
      <c r="H24" s="1"/>
      <c r="I24" s="29">
        <f t="shared" si="0"/>
        <v>40026</v>
      </c>
      <c r="J24" s="29">
        <f t="shared" si="1"/>
        <v>40390</v>
      </c>
      <c r="K24" s="30">
        <f t="shared" si="2"/>
        <v>365</v>
      </c>
      <c r="L24" s="1"/>
      <c r="M24" s="27"/>
      <c r="N24" s="31"/>
      <c r="O24" s="1"/>
      <c r="P24" s="32">
        <f t="shared" si="3"/>
        <v>0</v>
      </c>
      <c r="Q24" s="1"/>
      <c r="R24" s="33">
        <f t="shared" si="4"/>
      </c>
      <c r="S24" s="34">
        <f>IF(P24=0,"",(IF(R24=0,0,R24*geg!$I$27)))</f>
      </c>
      <c r="T24" s="35" t="str">
        <f t="shared" si="5"/>
        <v> </v>
      </c>
      <c r="U24" s="1"/>
      <c r="V24" s="14"/>
    </row>
    <row r="25" spans="2:22" ht="12.75" customHeight="1">
      <c r="B25" s="13"/>
      <c r="C25" s="1"/>
      <c r="D25" s="27"/>
      <c r="E25" s="27"/>
      <c r="F25" s="28"/>
      <c r="G25" s="28"/>
      <c r="H25" s="1"/>
      <c r="I25" s="29">
        <f t="shared" si="0"/>
        <v>40026</v>
      </c>
      <c r="J25" s="29">
        <f t="shared" si="1"/>
        <v>40390</v>
      </c>
      <c r="K25" s="30">
        <f t="shared" si="2"/>
        <v>365</v>
      </c>
      <c r="L25" s="1"/>
      <c r="M25" s="27"/>
      <c r="N25" s="31"/>
      <c r="O25" s="1"/>
      <c r="P25" s="32">
        <f t="shared" si="3"/>
        <v>0</v>
      </c>
      <c r="Q25" s="1"/>
      <c r="R25" s="33">
        <f t="shared" si="4"/>
      </c>
      <c r="S25" s="34">
        <f>IF(P25=0,"",(IF(R25=0,0,R25*geg!$I$27)))</f>
      </c>
      <c r="T25" s="35" t="str">
        <f t="shared" si="5"/>
        <v> </v>
      </c>
      <c r="U25" s="1"/>
      <c r="V25" s="14"/>
    </row>
    <row r="26" spans="2:22" ht="12.75" customHeight="1">
      <c r="B26" s="13"/>
      <c r="C26" s="1"/>
      <c r="D26" s="27"/>
      <c r="E26" s="27"/>
      <c r="F26" s="28"/>
      <c r="G26" s="28"/>
      <c r="H26" s="1"/>
      <c r="I26" s="29">
        <f t="shared" si="0"/>
        <v>40026</v>
      </c>
      <c r="J26" s="29">
        <f t="shared" si="1"/>
        <v>40390</v>
      </c>
      <c r="K26" s="30">
        <f t="shared" si="2"/>
        <v>365</v>
      </c>
      <c r="L26" s="1"/>
      <c r="M26" s="27"/>
      <c r="N26" s="31"/>
      <c r="O26" s="1"/>
      <c r="P26" s="32">
        <f t="shared" si="3"/>
        <v>0</v>
      </c>
      <c r="Q26" s="1"/>
      <c r="R26" s="33">
        <f t="shared" si="4"/>
      </c>
      <c r="S26" s="34">
        <f>IF(P26=0,"",(IF(R26=0,0,R26*geg!$I$27)))</f>
      </c>
      <c r="T26" s="35" t="str">
        <f t="shared" si="5"/>
        <v> </v>
      </c>
      <c r="U26" s="1"/>
      <c r="V26" s="14"/>
    </row>
    <row r="27" spans="2:22" ht="12.75" customHeight="1">
      <c r="B27" s="13"/>
      <c r="C27" s="1"/>
      <c r="D27" s="27"/>
      <c r="E27" s="27"/>
      <c r="F27" s="28"/>
      <c r="G27" s="28"/>
      <c r="H27" s="1"/>
      <c r="I27" s="29">
        <f t="shared" si="0"/>
        <v>40026</v>
      </c>
      <c r="J27" s="29">
        <f t="shared" si="1"/>
        <v>40390</v>
      </c>
      <c r="K27" s="30">
        <f t="shared" si="2"/>
        <v>365</v>
      </c>
      <c r="L27" s="1"/>
      <c r="M27" s="27"/>
      <c r="N27" s="31"/>
      <c r="O27" s="1"/>
      <c r="P27" s="32">
        <f t="shared" si="3"/>
        <v>0</v>
      </c>
      <c r="Q27" s="1"/>
      <c r="R27" s="33">
        <f t="shared" si="4"/>
      </c>
      <c r="S27" s="34">
        <f>IF(P27=0,"",(IF(R27=0,0,R27*geg!$I$27)))</f>
      </c>
      <c r="T27" s="35" t="str">
        <f t="shared" si="5"/>
        <v> </v>
      </c>
      <c r="U27" s="1"/>
      <c r="V27" s="14"/>
    </row>
    <row r="28" spans="2:22" ht="12.75" customHeight="1">
      <c r="B28" s="13"/>
      <c r="C28" s="1"/>
      <c r="D28" s="27"/>
      <c r="E28" s="27"/>
      <c r="F28" s="28"/>
      <c r="G28" s="28"/>
      <c r="H28" s="1"/>
      <c r="I28" s="29">
        <f t="shared" si="0"/>
        <v>40026</v>
      </c>
      <c r="J28" s="29">
        <f t="shared" si="1"/>
        <v>40390</v>
      </c>
      <c r="K28" s="30">
        <f t="shared" si="2"/>
        <v>365</v>
      </c>
      <c r="L28" s="1"/>
      <c r="M28" s="27"/>
      <c r="N28" s="31"/>
      <c r="O28" s="1"/>
      <c r="P28" s="32">
        <f t="shared" si="3"/>
        <v>0</v>
      </c>
      <c r="Q28" s="1"/>
      <c r="R28" s="33">
        <f t="shared" si="4"/>
      </c>
      <c r="S28" s="34">
        <f>IF(P28=0,"",(IF(R28=0,0,R28*geg!$I$27)))</f>
      </c>
      <c r="T28" s="35" t="str">
        <f t="shared" si="5"/>
        <v> </v>
      </c>
      <c r="U28" s="1"/>
      <c r="V28" s="14"/>
    </row>
    <row r="29" spans="2:22" ht="12.75" customHeight="1">
      <c r="B29" s="13"/>
      <c r="C29" s="1"/>
      <c r="D29" s="27"/>
      <c r="E29" s="27"/>
      <c r="F29" s="28"/>
      <c r="G29" s="28"/>
      <c r="H29" s="1"/>
      <c r="I29" s="29">
        <f t="shared" si="0"/>
        <v>40026</v>
      </c>
      <c r="J29" s="29">
        <f t="shared" si="1"/>
        <v>40390</v>
      </c>
      <c r="K29" s="30">
        <f t="shared" si="2"/>
        <v>365</v>
      </c>
      <c r="L29" s="1"/>
      <c r="M29" s="27"/>
      <c r="N29" s="31"/>
      <c r="O29" s="1"/>
      <c r="P29" s="32">
        <f t="shared" si="3"/>
        <v>0</v>
      </c>
      <c r="Q29" s="1"/>
      <c r="R29" s="33">
        <f t="shared" si="4"/>
      </c>
      <c r="S29" s="34">
        <f>IF(P29=0,"",(IF(R29=0,0,R29*geg!$I$27)))</f>
      </c>
      <c r="T29" s="35" t="str">
        <f t="shared" si="5"/>
        <v> </v>
      </c>
      <c r="U29" s="1"/>
      <c r="V29" s="14"/>
    </row>
    <row r="30" spans="2:22" ht="12.75" customHeight="1">
      <c r="B30" s="13"/>
      <c r="C30" s="1"/>
      <c r="D30" s="27"/>
      <c r="E30" s="27"/>
      <c r="F30" s="28"/>
      <c r="G30" s="28"/>
      <c r="H30" s="1"/>
      <c r="I30" s="29">
        <f t="shared" si="0"/>
        <v>40026</v>
      </c>
      <c r="J30" s="29">
        <f t="shared" si="1"/>
        <v>40390</v>
      </c>
      <c r="K30" s="30">
        <f t="shared" si="2"/>
        <v>365</v>
      </c>
      <c r="L30" s="1"/>
      <c r="M30" s="27"/>
      <c r="N30" s="31"/>
      <c r="O30" s="1"/>
      <c r="P30" s="32">
        <f t="shared" si="3"/>
        <v>0</v>
      </c>
      <c r="Q30" s="1"/>
      <c r="R30" s="33">
        <f t="shared" si="4"/>
      </c>
      <c r="S30" s="34">
        <f>IF(P30=0,"",(IF(R30=0,0,R30*geg!$I$27)))</f>
      </c>
      <c r="T30" s="35" t="str">
        <f t="shared" si="5"/>
        <v> </v>
      </c>
      <c r="U30" s="1"/>
      <c r="V30" s="14"/>
    </row>
    <row r="31" spans="2:22" ht="12.75" customHeight="1">
      <c r="B31" s="13"/>
      <c r="C31" s="1"/>
      <c r="D31" s="27"/>
      <c r="E31" s="27"/>
      <c r="F31" s="28"/>
      <c r="G31" s="28"/>
      <c r="H31" s="1"/>
      <c r="I31" s="29">
        <f t="shared" si="0"/>
        <v>40026</v>
      </c>
      <c r="J31" s="29">
        <f t="shared" si="1"/>
        <v>40390</v>
      </c>
      <c r="K31" s="30">
        <f t="shared" si="2"/>
        <v>365</v>
      </c>
      <c r="L31" s="1"/>
      <c r="M31" s="27"/>
      <c r="N31" s="31"/>
      <c r="O31" s="1"/>
      <c r="P31" s="32">
        <f t="shared" si="3"/>
        <v>0</v>
      </c>
      <c r="Q31" s="1"/>
      <c r="R31" s="33">
        <f t="shared" si="4"/>
      </c>
      <c r="S31" s="34">
        <f>IF(P31=0,"",(IF(R31=0,0,R31*geg!$I$27)))</f>
      </c>
      <c r="T31" s="35" t="str">
        <f t="shared" si="5"/>
        <v> </v>
      </c>
      <c r="U31" s="1"/>
      <c r="V31" s="14"/>
    </row>
    <row r="32" spans="2:22" ht="12.75" customHeight="1">
      <c r="B32" s="13"/>
      <c r="C32" s="1"/>
      <c r="D32" s="27"/>
      <c r="E32" s="27"/>
      <c r="F32" s="28"/>
      <c r="G32" s="28"/>
      <c r="H32" s="1"/>
      <c r="I32" s="29">
        <f t="shared" si="0"/>
        <v>40026</v>
      </c>
      <c r="J32" s="29">
        <f t="shared" si="1"/>
        <v>40390</v>
      </c>
      <c r="K32" s="30">
        <f t="shared" si="2"/>
        <v>365</v>
      </c>
      <c r="L32" s="1"/>
      <c r="M32" s="27"/>
      <c r="N32" s="31"/>
      <c r="O32" s="1"/>
      <c r="P32" s="32">
        <f t="shared" si="3"/>
        <v>0</v>
      </c>
      <c r="Q32" s="1"/>
      <c r="R32" s="33">
        <f t="shared" si="4"/>
      </c>
      <c r="S32" s="34">
        <f>IF(P32=0,"",(IF(R32=0,0,R32*geg!$I$27)))</f>
      </c>
      <c r="T32" s="35" t="str">
        <f t="shared" si="5"/>
        <v> </v>
      </c>
      <c r="U32" s="1"/>
      <c r="V32" s="14"/>
    </row>
    <row r="33" spans="2:22" ht="12.75" customHeight="1">
      <c r="B33" s="13"/>
      <c r="C33" s="1"/>
      <c r="D33" s="27"/>
      <c r="E33" s="27"/>
      <c r="F33" s="28"/>
      <c r="G33" s="28"/>
      <c r="H33" s="1"/>
      <c r="I33" s="29">
        <f t="shared" si="0"/>
        <v>40026</v>
      </c>
      <c r="J33" s="29">
        <f t="shared" si="1"/>
        <v>40390</v>
      </c>
      <c r="K33" s="30">
        <f t="shared" si="2"/>
        <v>365</v>
      </c>
      <c r="L33" s="1"/>
      <c r="M33" s="27"/>
      <c r="N33" s="31"/>
      <c r="O33" s="1"/>
      <c r="P33" s="32">
        <f t="shared" si="3"/>
        <v>0</v>
      </c>
      <c r="Q33" s="1"/>
      <c r="R33" s="33">
        <f t="shared" si="4"/>
      </c>
      <c r="S33" s="34">
        <f>IF(P33=0,"",(IF(R33=0,0,R33*geg!$I$27)))</f>
      </c>
      <c r="T33" s="35" t="str">
        <f t="shared" si="5"/>
        <v> </v>
      </c>
      <c r="U33" s="1"/>
      <c r="V33" s="14"/>
    </row>
    <row r="34" spans="2:22" ht="12.75" customHeight="1">
      <c r="B34" s="13"/>
      <c r="C34" s="1"/>
      <c r="D34" s="27"/>
      <c r="E34" s="27"/>
      <c r="F34" s="28"/>
      <c r="G34" s="28"/>
      <c r="H34" s="1"/>
      <c r="I34" s="29">
        <f t="shared" si="0"/>
        <v>40026</v>
      </c>
      <c r="J34" s="29">
        <f t="shared" si="1"/>
        <v>40390</v>
      </c>
      <c r="K34" s="30">
        <f t="shared" si="2"/>
        <v>365</v>
      </c>
      <c r="L34" s="1"/>
      <c r="M34" s="27"/>
      <c r="N34" s="31"/>
      <c r="O34" s="1"/>
      <c r="P34" s="32">
        <f t="shared" si="3"/>
        <v>0</v>
      </c>
      <c r="Q34" s="1"/>
      <c r="R34" s="33">
        <f t="shared" si="4"/>
      </c>
      <c r="S34" s="34">
        <f>IF(P34=0,"",(IF(R34=0,0,R34*geg!$I$27)))</f>
      </c>
      <c r="T34" s="35" t="str">
        <f t="shared" si="5"/>
        <v> </v>
      </c>
      <c r="U34" s="1"/>
      <c r="V34" s="14"/>
    </row>
    <row r="35" spans="2:22" ht="12.75" customHeight="1">
      <c r="B35" s="13"/>
      <c r="C35" s="1"/>
      <c r="D35" s="27"/>
      <c r="E35" s="27"/>
      <c r="F35" s="28"/>
      <c r="G35" s="28"/>
      <c r="H35" s="1"/>
      <c r="I35" s="29">
        <f t="shared" si="0"/>
        <v>40026</v>
      </c>
      <c r="J35" s="29">
        <f t="shared" si="1"/>
        <v>40390</v>
      </c>
      <c r="K35" s="30">
        <f t="shared" si="2"/>
        <v>365</v>
      </c>
      <c r="L35" s="1"/>
      <c r="M35" s="27"/>
      <c r="N35" s="31"/>
      <c r="O35" s="1"/>
      <c r="P35" s="32">
        <f t="shared" si="3"/>
        <v>0</v>
      </c>
      <c r="Q35" s="1"/>
      <c r="R35" s="33">
        <f t="shared" si="4"/>
      </c>
      <c r="S35" s="34">
        <f>IF(P35=0,"",(IF(R35=0,0,R35*geg!$I$27)))</f>
      </c>
      <c r="T35" s="35" t="str">
        <f t="shared" si="5"/>
        <v> </v>
      </c>
      <c r="U35" s="1"/>
      <c r="V35" s="14"/>
    </row>
    <row r="36" spans="2:22" ht="12.75" customHeight="1">
      <c r="B36" s="13"/>
      <c r="C36" s="1"/>
      <c r="D36" s="27"/>
      <c r="E36" s="27"/>
      <c r="F36" s="28"/>
      <c r="G36" s="28"/>
      <c r="H36" s="1"/>
      <c r="I36" s="29">
        <f t="shared" si="0"/>
        <v>40026</v>
      </c>
      <c r="J36" s="29">
        <f t="shared" si="1"/>
        <v>40390</v>
      </c>
      <c r="K36" s="30">
        <f t="shared" si="2"/>
        <v>365</v>
      </c>
      <c r="L36" s="1"/>
      <c r="M36" s="27"/>
      <c r="N36" s="31"/>
      <c r="O36" s="1"/>
      <c r="P36" s="32">
        <f t="shared" si="3"/>
        <v>0</v>
      </c>
      <c r="Q36" s="1"/>
      <c r="R36" s="33">
        <f t="shared" si="4"/>
      </c>
      <c r="S36" s="34">
        <f>IF(P36=0,"",(IF(R36=0,0,R36*geg!$I$27)))</f>
      </c>
      <c r="T36" s="35" t="str">
        <f t="shared" si="5"/>
        <v> </v>
      </c>
      <c r="U36" s="1"/>
      <c r="V36" s="14"/>
    </row>
    <row r="37" spans="2:22" ht="12.75" customHeight="1">
      <c r="B37" s="13"/>
      <c r="C37" s="1"/>
      <c r="D37" s="27"/>
      <c r="E37" s="27"/>
      <c r="F37" s="28"/>
      <c r="G37" s="28"/>
      <c r="H37" s="1"/>
      <c r="I37" s="29">
        <f t="shared" si="0"/>
        <v>40026</v>
      </c>
      <c r="J37" s="29">
        <f t="shared" si="1"/>
        <v>40390</v>
      </c>
      <c r="K37" s="30">
        <f t="shared" si="2"/>
        <v>365</v>
      </c>
      <c r="L37" s="1"/>
      <c r="M37" s="27"/>
      <c r="N37" s="31"/>
      <c r="O37" s="1"/>
      <c r="P37" s="32">
        <f t="shared" si="3"/>
        <v>0</v>
      </c>
      <c r="Q37" s="1"/>
      <c r="R37" s="33">
        <f t="shared" si="4"/>
      </c>
      <c r="S37" s="34">
        <f>IF(P37=0,"",(IF(R37=0,0,R37*geg!$I$27)))</f>
      </c>
      <c r="T37" s="35" t="str">
        <f t="shared" si="5"/>
        <v> </v>
      </c>
      <c r="U37" s="1"/>
      <c r="V37" s="14"/>
    </row>
    <row r="38" spans="2:22" ht="12.75" customHeight="1">
      <c r="B38" s="13"/>
      <c r="C38" s="1"/>
      <c r="D38" s="27"/>
      <c r="E38" s="27"/>
      <c r="F38" s="28"/>
      <c r="G38" s="28"/>
      <c r="H38" s="1"/>
      <c r="I38" s="29">
        <f t="shared" si="0"/>
        <v>40026</v>
      </c>
      <c r="J38" s="29">
        <f t="shared" si="1"/>
        <v>40390</v>
      </c>
      <c r="K38" s="30">
        <f t="shared" si="2"/>
        <v>365</v>
      </c>
      <c r="L38" s="1"/>
      <c r="M38" s="27"/>
      <c r="N38" s="31"/>
      <c r="O38" s="1"/>
      <c r="P38" s="32">
        <f t="shared" si="3"/>
        <v>0</v>
      </c>
      <c r="Q38" s="1"/>
      <c r="R38" s="33">
        <f t="shared" si="4"/>
      </c>
      <c r="S38" s="34">
        <f>IF(P38=0,"",(IF(R38=0,0,R38*geg!$I$27)))</f>
      </c>
      <c r="T38" s="35" t="str">
        <f t="shared" si="5"/>
        <v> </v>
      </c>
      <c r="U38" s="1"/>
      <c r="V38" s="14"/>
    </row>
    <row r="39" spans="2:22" ht="12.75" customHeight="1">
      <c r="B39" s="13"/>
      <c r="C39" s="1"/>
      <c r="D39" s="27"/>
      <c r="E39" s="27"/>
      <c r="F39" s="28"/>
      <c r="G39" s="28"/>
      <c r="H39" s="1"/>
      <c r="I39" s="29">
        <f t="shared" si="0"/>
        <v>40026</v>
      </c>
      <c r="J39" s="29">
        <f t="shared" si="1"/>
        <v>40390</v>
      </c>
      <c r="K39" s="30">
        <f t="shared" si="2"/>
        <v>365</v>
      </c>
      <c r="L39" s="1"/>
      <c r="M39" s="27"/>
      <c r="N39" s="31"/>
      <c r="O39" s="1"/>
      <c r="P39" s="32">
        <f t="shared" si="3"/>
        <v>0</v>
      </c>
      <c r="Q39" s="1"/>
      <c r="R39" s="33">
        <f t="shared" si="4"/>
      </c>
      <c r="S39" s="34">
        <f>IF(P39=0,"",(IF(R39=0,0,R39*geg!$I$27)))</f>
      </c>
      <c r="T39" s="35" t="str">
        <f t="shared" si="5"/>
        <v> </v>
      </c>
      <c r="U39" s="1"/>
      <c r="V39" s="14"/>
    </row>
    <row r="40" spans="2:22" ht="12.75" customHeight="1">
      <c r="B40" s="13"/>
      <c r="C40" s="1"/>
      <c r="D40" s="27"/>
      <c r="E40" s="27"/>
      <c r="F40" s="28"/>
      <c r="G40" s="28"/>
      <c r="H40" s="1"/>
      <c r="I40" s="29">
        <f t="shared" si="0"/>
        <v>40026</v>
      </c>
      <c r="J40" s="29">
        <f t="shared" si="1"/>
        <v>40390</v>
      </c>
      <c r="K40" s="30">
        <f t="shared" si="2"/>
        <v>365</v>
      </c>
      <c r="L40" s="1"/>
      <c r="M40" s="27"/>
      <c r="N40" s="31"/>
      <c r="O40" s="1"/>
      <c r="P40" s="32">
        <f t="shared" si="3"/>
        <v>0</v>
      </c>
      <c r="Q40" s="1"/>
      <c r="R40" s="33">
        <f t="shared" si="4"/>
      </c>
      <c r="S40" s="34">
        <f>IF(P40=0,"",(IF(R40=0,0,R40*geg!$I$27)))</f>
      </c>
      <c r="T40" s="35" t="str">
        <f t="shared" si="5"/>
        <v> </v>
      </c>
      <c r="U40" s="1"/>
      <c r="V40" s="14"/>
    </row>
    <row r="41" spans="2:22" ht="12.75" customHeight="1">
      <c r="B41" s="13"/>
      <c r="C41" s="1"/>
      <c r="D41" s="27"/>
      <c r="E41" s="27"/>
      <c r="F41" s="28"/>
      <c r="G41" s="28"/>
      <c r="H41" s="1"/>
      <c r="I41" s="29">
        <f t="shared" si="0"/>
        <v>40026</v>
      </c>
      <c r="J41" s="29">
        <f t="shared" si="1"/>
        <v>40390</v>
      </c>
      <c r="K41" s="30">
        <f t="shared" si="2"/>
        <v>365</v>
      </c>
      <c r="L41" s="1"/>
      <c r="M41" s="27"/>
      <c r="N41" s="31"/>
      <c r="O41" s="1"/>
      <c r="P41" s="32">
        <f t="shared" si="3"/>
        <v>0</v>
      </c>
      <c r="Q41" s="1"/>
      <c r="R41" s="33">
        <f t="shared" si="4"/>
      </c>
      <c r="S41" s="34">
        <f>IF(P41=0,"",(IF(R41=0,0,R41*geg!$I$27)))</f>
      </c>
      <c r="T41" s="35" t="str">
        <f t="shared" si="5"/>
        <v> </v>
      </c>
      <c r="U41" s="1"/>
      <c r="V41" s="14"/>
    </row>
    <row r="42" spans="2:22" ht="12.75" customHeight="1">
      <c r="B42" s="13"/>
      <c r="C42" s="1"/>
      <c r="D42" s="27"/>
      <c r="E42" s="27"/>
      <c r="F42" s="28"/>
      <c r="G42" s="28"/>
      <c r="H42" s="1"/>
      <c r="I42" s="29">
        <f t="shared" si="0"/>
        <v>40026</v>
      </c>
      <c r="J42" s="29">
        <f t="shared" si="1"/>
        <v>40390</v>
      </c>
      <c r="K42" s="30">
        <f t="shared" si="2"/>
        <v>365</v>
      </c>
      <c r="L42" s="1"/>
      <c r="M42" s="27"/>
      <c r="N42" s="31"/>
      <c r="O42" s="1"/>
      <c r="P42" s="32">
        <f t="shared" si="3"/>
        <v>0</v>
      </c>
      <c r="Q42" s="1"/>
      <c r="R42" s="33">
        <f t="shared" si="4"/>
      </c>
      <c r="S42" s="34">
        <f>IF(P42=0,"",(IF(R42=0,0,R42*geg!$I$27)))</f>
      </c>
      <c r="T42" s="35" t="str">
        <f t="shared" si="5"/>
        <v> </v>
      </c>
      <c r="U42" s="1"/>
      <c r="V42" s="14"/>
    </row>
    <row r="43" spans="2:22" ht="12.75" customHeight="1">
      <c r="B43" s="13"/>
      <c r="C43" s="1"/>
      <c r="D43" s="27"/>
      <c r="E43" s="27"/>
      <c r="F43" s="28"/>
      <c r="G43" s="28"/>
      <c r="H43" s="1"/>
      <c r="I43" s="29">
        <f t="shared" si="0"/>
        <v>40026</v>
      </c>
      <c r="J43" s="29">
        <f t="shared" si="1"/>
        <v>40390</v>
      </c>
      <c r="K43" s="30">
        <f t="shared" si="2"/>
        <v>365</v>
      </c>
      <c r="L43" s="1"/>
      <c r="M43" s="27"/>
      <c r="N43" s="31"/>
      <c r="O43" s="1"/>
      <c r="P43" s="32">
        <f t="shared" si="3"/>
        <v>0</v>
      </c>
      <c r="Q43" s="1"/>
      <c r="R43" s="33">
        <f t="shared" si="4"/>
      </c>
      <c r="S43" s="34">
        <f>IF(P43=0,"",(IF(R43=0,0,R43*geg!$I$27)))</f>
      </c>
      <c r="T43" s="35" t="str">
        <f t="shared" si="5"/>
        <v> </v>
      </c>
      <c r="U43" s="1"/>
      <c r="V43" s="14"/>
    </row>
    <row r="44" spans="2:22" ht="12.75" customHeight="1">
      <c r="B44" s="13"/>
      <c r="C44" s="1"/>
      <c r="D44" s="27"/>
      <c r="E44" s="27"/>
      <c r="F44" s="28"/>
      <c r="G44" s="28"/>
      <c r="H44" s="1"/>
      <c r="I44" s="29">
        <f t="shared" si="0"/>
        <v>40026</v>
      </c>
      <c r="J44" s="29">
        <f t="shared" si="1"/>
        <v>40390</v>
      </c>
      <c r="K44" s="30">
        <f t="shared" si="2"/>
        <v>365</v>
      </c>
      <c r="L44" s="1"/>
      <c r="M44" s="27"/>
      <c r="N44" s="31"/>
      <c r="O44" s="1"/>
      <c r="P44" s="32">
        <f t="shared" si="3"/>
        <v>0</v>
      </c>
      <c r="Q44" s="1"/>
      <c r="R44" s="33">
        <f t="shared" si="4"/>
      </c>
      <c r="S44" s="34">
        <f>IF(P44=0,"",(IF(R44=0,0,R44*geg!$I$27)))</f>
      </c>
      <c r="T44" s="35" t="str">
        <f t="shared" si="5"/>
        <v> </v>
      </c>
      <c r="U44" s="1"/>
      <c r="V44" s="14"/>
    </row>
    <row r="45" spans="2:22" ht="12.75" customHeight="1">
      <c r="B45" s="13"/>
      <c r="C45" s="1"/>
      <c r="D45" s="27"/>
      <c r="E45" s="27"/>
      <c r="F45" s="28"/>
      <c r="G45" s="28"/>
      <c r="H45" s="1"/>
      <c r="I45" s="29">
        <f t="shared" si="0"/>
        <v>40026</v>
      </c>
      <c r="J45" s="29">
        <f t="shared" si="1"/>
        <v>40390</v>
      </c>
      <c r="K45" s="30">
        <f t="shared" si="2"/>
        <v>365</v>
      </c>
      <c r="L45" s="1"/>
      <c r="M45" s="27"/>
      <c r="N45" s="31"/>
      <c r="O45" s="1"/>
      <c r="P45" s="32">
        <f t="shared" si="3"/>
        <v>0</v>
      </c>
      <c r="Q45" s="1"/>
      <c r="R45" s="33">
        <f t="shared" si="4"/>
      </c>
      <c r="S45" s="34">
        <f>IF(P45=0,"",(IF(R45=0,0,R45*geg!$I$27)))</f>
      </c>
      <c r="T45" s="35" t="str">
        <f t="shared" si="5"/>
        <v> </v>
      </c>
      <c r="U45" s="1"/>
      <c r="V45" s="14"/>
    </row>
    <row r="46" spans="2:22" ht="12.75" customHeight="1">
      <c r="B46" s="13"/>
      <c r="C46" s="1"/>
      <c r="D46" s="27"/>
      <c r="E46" s="27"/>
      <c r="F46" s="28"/>
      <c r="G46" s="28"/>
      <c r="H46" s="1"/>
      <c r="I46" s="29">
        <f t="shared" si="0"/>
        <v>40026</v>
      </c>
      <c r="J46" s="29">
        <f t="shared" si="1"/>
        <v>40390</v>
      </c>
      <c r="K46" s="30">
        <f t="shared" si="2"/>
        <v>365</v>
      </c>
      <c r="L46" s="1"/>
      <c r="M46" s="27"/>
      <c r="N46" s="31"/>
      <c r="O46" s="1"/>
      <c r="P46" s="32">
        <f t="shared" si="3"/>
        <v>0</v>
      </c>
      <c r="Q46" s="1"/>
      <c r="R46" s="33">
        <f t="shared" si="4"/>
      </c>
      <c r="S46" s="34">
        <f>IF(P46=0,"",(IF(R46=0,0,R46*geg!$I$27)))</f>
      </c>
      <c r="T46" s="35" t="str">
        <f t="shared" si="5"/>
        <v> </v>
      </c>
      <c r="U46" s="1"/>
      <c r="V46" s="14"/>
    </row>
    <row r="47" spans="2:22" ht="12.75" customHeight="1">
      <c r="B47" s="13"/>
      <c r="C47" s="1"/>
      <c r="D47" s="27"/>
      <c r="E47" s="27"/>
      <c r="F47" s="28"/>
      <c r="G47" s="28"/>
      <c r="H47" s="1"/>
      <c r="I47" s="29">
        <f t="shared" si="0"/>
        <v>40026</v>
      </c>
      <c r="J47" s="29">
        <f t="shared" si="1"/>
        <v>40390</v>
      </c>
      <c r="K47" s="30">
        <f t="shared" si="2"/>
        <v>365</v>
      </c>
      <c r="L47" s="1"/>
      <c r="M47" s="27"/>
      <c r="N47" s="31"/>
      <c r="O47" s="1"/>
      <c r="P47" s="32">
        <f t="shared" si="3"/>
        <v>0</v>
      </c>
      <c r="Q47" s="1"/>
      <c r="R47" s="33">
        <f t="shared" si="4"/>
      </c>
      <c r="S47" s="34">
        <f>IF(P47=0,"",(IF(R47=0,0,R47*geg!$I$27)))</f>
      </c>
      <c r="T47" s="35" t="str">
        <f t="shared" si="5"/>
        <v> </v>
      </c>
      <c r="U47" s="1"/>
      <c r="V47" s="14"/>
    </row>
    <row r="48" spans="2:22" ht="12.75" customHeight="1">
      <c r="B48" s="13"/>
      <c r="C48" s="1"/>
      <c r="D48" s="27"/>
      <c r="E48" s="27"/>
      <c r="F48" s="28"/>
      <c r="G48" s="28"/>
      <c r="H48" s="1"/>
      <c r="I48" s="29">
        <f t="shared" si="0"/>
        <v>40026</v>
      </c>
      <c r="J48" s="29">
        <f t="shared" si="1"/>
        <v>40390</v>
      </c>
      <c r="K48" s="30">
        <f t="shared" si="2"/>
        <v>365</v>
      </c>
      <c r="L48" s="1"/>
      <c r="M48" s="27"/>
      <c r="N48" s="31"/>
      <c r="O48" s="1"/>
      <c r="P48" s="32">
        <f t="shared" si="3"/>
        <v>0</v>
      </c>
      <c r="Q48" s="1"/>
      <c r="R48" s="33">
        <f t="shared" si="4"/>
      </c>
      <c r="S48" s="34">
        <f>IF(P48=0,"",(IF(R48=0,0,R48*geg!$I$27)))</f>
      </c>
      <c r="T48" s="35" t="str">
        <f t="shared" si="5"/>
        <v> </v>
      </c>
      <c r="U48" s="1"/>
      <c r="V48" s="14"/>
    </row>
    <row r="49" spans="2:22" ht="12.75" customHeight="1">
      <c r="B49" s="13"/>
      <c r="C49" s="1"/>
      <c r="D49" s="27"/>
      <c r="E49" s="27"/>
      <c r="F49" s="28"/>
      <c r="G49" s="28"/>
      <c r="H49" s="1"/>
      <c r="I49" s="29">
        <f t="shared" si="0"/>
        <v>40026</v>
      </c>
      <c r="J49" s="29">
        <f t="shared" si="1"/>
        <v>40390</v>
      </c>
      <c r="K49" s="30">
        <f t="shared" si="2"/>
        <v>365</v>
      </c>
      <c r="L49" s="1"/>
      <c r="M49" s="27"/>
      <c r="N49" s="31"/>
      <c r="O49" s="1"/>
      <c r="P49" s="32">
        <f t="shared" si="3"/>
        <v>0</v>
      </c>
      <c r="Q49" s="1"/>
      <c r="R49" s="33">
        <f t="shared" si="4"/>
      </c>
      <c r="S49" s="34">
        <f>IF(P49=0,"",(IF(R49=0,0,R49*geg!$I$27)))</f>
      </c>
      <c r="T49" s="35" t="str">
        <f t="shared" si="5"/>
        <v> </v>
      </c>
      <c r="U49" s="1"/>
      <c r="V49" s="14"/>
    </row>
    <row r="50" spans="2:22" ht="12.75" customHeight="1">
      <c r="B50" s="13"/>
      <c r="C50" s="1"/>
      <c r="D50" s="27"/>
      <c r="E50" s="27"/>
      <c r="F50" s="28"/>
      <c r="G50" s="28"/>
      <c r="H50" s="1"/>
      <c r="I50" s="29">
        <f t="shared" si="0"/>
        <v>40026</v>
      </c>
      <c r="J50" s="29">
        <f t="shared" si="1"/>
        <v>40390</v>
      </c>
      <c r="K50" s="30">
        <f t="shared" si="2"/>
        <v>365</v>
      </c>
      <c r="L50" s="1"/>
      <c r="M50" s="27"/>
      <c r="N50" s="31"/>
      <c r="O50" s="1"/>
      <c r="P50" s="32">
        <f t="shared" si="3"/>
        <v>0</v>
      </c>
      <c r="Q50" s="1"/>
      <c r="R50" s="33">
        <f t="shared" si="4"/>
      </c>
      <c r="S50" s="34">
        <f>IF(P50=0,"",(IF(R50=0,0,R50*geg!$I$27)))</f>
      </c>
      <c r="T50" s="35" t="str">
        <f t="shared" si="5"/>
        <v> </v>
      </c>
      <c r="U50" s="1"/>
      <c r="V50" s="14"/>
    </row>
    <row r="51" spans="2:22" ht="12.75" customHeight="1">
      <c r="B51" s="13"/>
      <c r="C51" s="1"/>
      <c r="D51" s="27"/>
      <c r="E51" s="27"/>
      <c r="F51" s="28"/>
      <c r="G51" s="28"/>
      <c r="H51" s="1"/>
      <c r="I51" s="29">
        <f t="shared" si="0"/>
        <v>40026</v>
      </c>
      <c r="J51" s="29">
        <f t="shared" si="1"/>
        <v>40390</v>
      </c>
      <c r="K51" s="30">
        <f t="shared" si="2"/>
        <v>365</v>
      </c>
      <c r="L51" s="1"/>
      <c r="M51" s="27"/>
      <c r="N51" s="31"/>
      <c r="O51" s="1"/>
      <c r="P51" s="32">
        <f t="shared" si="3"/>
        <v>0</v>
      </c>
      <c r="Q51" s="1"/>
      <c r="R51" s="33">
        <f t="shared" si="4"/>
      </c>
      <c r="S51" s="34">
        <f>IF(P51=0,"",(IF(R51=0,0,R51*geg!$I$27)))</f>
      </c>
      <c r="T51" s="35" t="str">
        <f t="shared" si="5"/>
        <v> </v>
      </c>
      <c r="U51" s="1"/>
      <c r="V51" s="14"/>
    </row>
    <row r="52" spans="2:22" ht="12.75" customHeight="1">
      <c r="B52" s="13"/>
      <c r="C52" s="1"/>
      <c r="D52" s="27"/>
      <c r="E52" s="27"/>
      <c r="F52" s="28"/>
      <c r="G52" s="28"/>
      <c r="H52" s="1"/>
      <c r="I52" s="29">
        <f t="shared" si="0"/>
        <v>40026</v>
      </c>
      <c r="J52" s="29">
        <f t="shared" si="1"/>
        <v>40390</v>
      </c>
      <c r="K52" s="30">
        <f t="shared" si="2"/>
        <v>365</v>
      </c>
      <c r="L52" s="1"/>
      <c r="M52" s="27"/>
      <c r="N52" s="31"/>
      <c r="O52" s="1"/>
      <c r="P52" s="32">
        <f t="shared" si="3"/>
        <v>0</v>
      </c>
      <c r="Q52" s="1"/>
      <c r="R52" s="33">
        <f t="shared" si="4"/>
      </c>
      <c r="S52" s="34">
        <f>IF(P52=0,"",(IF(R52=0,0,R52*geg!$I$27)))</f>
      </c>
      <c r="T52" s="35" t="str">
        <f t="shared" si="5"/>
        <v> </v>
      </c>
      <c r="U52" s="1"/>
      <c r="V52" s="14"/>
    </row>
    <row r="53" spans="2:22" ht="12.75" customHeight="1">
      <c r="B53" s="13"/>
      <c r="C53" s="1"/>
      <c r="D53" s="27"/>
      <c r="E53" s="27"/>
      <c r="F53" s="28"/>
      <c r="G53" s="28"/>
      <c r="H53" s="1"/>
      <c r="I53" s="29">
        <f t="shared" si="0"/>
        <v>40026</v>
      </c>
      <c r="J53" s="29">
        <f t="shared" si="1"/>
        <v>40390</v>
      </c>
      <c r="K53" s="30">
        <f t="shared" si="2"/>
        <v>365</v>
      </c>
      <c r="L53" s="1"/>
      <c r="M53" s="27"/>
      <c r="N53" s="31"/>
      <c r="O53" s="1"/>
      <c r="P53" s="32">
        <f t="shared" si="3"/>
        <v>0</v>
      </c>
      <c r="Q53" s="1"/>
      <c r="R53" s="33">
        <f t="shared" si="4"/>
      </c>
      <c r="S53" s="34">
        <f>IF(P53=0,"",(IF(R53=0,0,R53*geg!$I$27)))</f>
      </c>
      <c r="T53" s="35" t="str">
        <f t="shared" si="5"/>
        <v> </v>
      </c>
      <c r="U53" s="1"/>
      <c r="V53" s="14"/>
    </row>
    <row r="54" spans="2:22" ht="12.75" customHeight="1">
      <c r="B54" s="13"/>
      <c r="C54" s="1"/>
      <c r="D54" s="27"/>
      <c r="E54" s="27"/>
      <c r="F54" s="28"/>
      <c r="G54" s="28"/>
      <c r="H54" s="1"/>
      <c r="I54" s="29">
        <f t="shared" si="0"/>
        <v>40026</v>
      </c>
      <c r="J54" s="29">
        <f t="shared" si="1"/>
        <v>40390</v>
      </c>
      <c r="K54" s="30">
        <f t="shared" si="2"/>
        <v>365</v>
      </c>
      <c r="L54" s="1"/>
      <c r="M54" s="27"/>
      <c r="N54" s="31"/>
      <c r="O54" s="1"/>
      <c r="P54" s="32">
        <f t="shared" si="3"/>
        <v>0</v>
      </c>
      <c r="Q54" s="1"/>
      <c r="R54" s="33">
        <f t="shared" si="4"/>
      </c>
      <c r="S54" s="34">
        <f>IF(P54=0,"",(IF(R54=0,0,R54*geg!$I$27)))</f>
      </c>
      <c r="T54" s="35" t="str">
        <f t="shared" si="5"/>
        <v> </v>
      </c>
      <c r="U54" s="1"/>
      <c r="V54" s="14"/>
    </row>
    <row r="55" spans="2:22" ht="12.75" customHeight="1">
      <c r="B55" s="13"/>
      <c r="C55" s="1"/>
      <c r="D55" s="27"/>
      <c r="E55" s="27"/>
      <c r="F55" s="28"/>
      <c r="G55" s="28"/>
      <c r="H55" s="1"/>
      <c r="I55" s="29">
        <f t="shared" si="0"/>
        <v>40026</v>
      </c>
      <c r="J55" s="29">
        <f t="shared" si="1"/>
        <v>40390</v>
      </c>
      <c r="K55" s="30">
        <f t="shared" si="2"/>
        <v>365</v>
      </c>
      <c r="L55" s="1"/>
      <c r="M55" s="27"/>
      <c r="N55" s="31"/>
      <c r="O55" s="1"/>
      <c r="P55" s="32">
        <f t="shared" si="3"/>
        <v>0</v>
      </c>
      <c r="Q55" s="1"/>
      <c r="R55" s="33">
        <f t="shared" si="4"/>
      </c>
      <c r="S55" s="34">
        <f>IF(P55=0,"",(IF(R55=0,0,R55*geg!$I$27)))</f>
      </c>
      <c r="T55" s="35" t="str">
        <f t="shared" si="5"/>
        <v> </v>
      </c>
      <c r="U55" s="1"/>
      <c r="V55" s="14"/>
    </row>
    <row r="56" spans="2:22" ht="12.75" customHeight="1">
      <c r="B56" s="13"/>
      <c r="C56" s="1"/>
      <c r="D56" s="27"/>
      <c r="E56" s="27"/>
      <c r="F56" s="28"/>
      <c r="G56" s="28"/>
      <c r="H56" s="1"/>
      <c r="I56" s="29">
        <f t="shared" si="0"/>
        <v>40026</v>
      </c>
      <c r="J56" s="29">
        <f t="shared" si="1"/>
        <v>40390</v>
      </c>
      <c r="K56" s="30">
        <f t="shared" si="2"/>
        <v>365</v>
      </c>
      <c r="L56" s="1"/>
      <c r="M56" s="27"/>
      <c r="N56" s="31"/>
      <c r="O56" s="1"/>
      <c r="P56" s="32">
        <f t="shared" si="3"/>
        <v>0</v>
      </c>
      <c r="Q56" s="1"/>
      <c r="R56" s="33">
        <f t="shared" si="4"/>
      </c>
      <c r="S56" s="34">
        <f>IF(P56=0,"",(IF(R56=0,0,R56*geg!$I$27)))</f>
      </c>
      <c r="T56" s="35" t="str">
        <f t="shared" si="5"/>
        <v> </v>
      </c>
      <c r="U56" s="1"/>
      <c r="V56" s="14"/>
    </row>
    <row r="57" spans="2:22" ht="12.75" customHeight="1">
      <c r="B57" s="13"/>
      <c r="C57" s="1"/>
      <c r="D57" s="27"/>
      <c r="E57" s="27"/>
      <c r="F57" s="28"/>
      <c r="G57" s="28"/>
      <c r="H57" s="1"/>
      <c r="I57" s="29">
        <f t="shared" si="0"/>
        <v>40026</v>
      </c>
      <c r="J57" s="29">
        <f t="shared" si="1"/>
        <v>40390</v>
      </c>
      <c r="K57" s="30">
        <f t="shared" si="2"/>
        <v>365</v>
      </c>
      <c r="L57" s="1"/>
      <c r="M57" s="27"/>
      <c r="N57" s="31"/>
      <c r="O57" s="1"/>
      <c r="P57" s="32">
        <f t="shared" si="3"/>
        <v>0</v>
      </c>
      <c r="Q57" s="1"/>
      <c r="R57" s="33">
        <f t="shared" si="4"/>
      </c>
      <c r="S57" s="34">
        <f>IF(P57=0,"",(IF(R57=0,0,R57*geg!$I$27)))</f>
      </c>
      <c r="T57" s="35" t="str">
        <f t="shared" si="5"/>
        <v> </v>
      </c>
      <c r="U57" s="1"/>
      <c r="V57" s="14"/>
    </row>
    <row r="58" spans="2:22" ht="12.75" customHeight="1">
      <c r="B58" s="13"/>
      <c r="C58" s="1"/>
      <c r="D58" s="27"/>
      <c r="E58" s="27"/>
      <c r="F58" s="28"/>
      <c r="G58" s="28"/>
      <c r="H58" s="1"/>
      <c r="I58" s="29">
        <f t="shared" si="0"/>
        <v>40026</v>
      </c>
      <c r="J58" s="29">
        <f t="shared" si="1"/>
        <v>40390</v>
      </c>
      <c r="K58" s="30">
        <f t="shared" si="2"/>
        <v>365</v>
      </c>
      <c r="L58" s="1"/>
      <c r="M58" s="27"/>
      <c r="N58" s="31"/>
      <c r="O58" s="1"/>
      <c r="P58" s="32">
        <f t="shared" si="3"/>
        <v>0</v>
      </c>
      <c r="Q58" s="1"/>
      <c r="R58" s="33">
        <f t="shared" si="4"/>
      </c>
      <c r="S58" s="34">
        <f>IF(P58=0,"",(IF(R58=0,0,R58*geg!$I$27)))</f>
      </c>
      <c r="T58" s="35" t="str">
        <f t="shared" si="5"/>
        <v> </v>
      </c>
      <c r="U58" s="1"/>
      <c r="V58" s="14"/>
    </row>
    <row r="59" spans="2:22" ht="12.75" customHeight="1">
      <c r="B59" s="13"/>
      <c r="C59" s="1"/>
      <c r="D59" s="27"/>
      <c r="E59" s="27"/>
      <c r="F59" s="28"/>
      <c r="G59" s="28"/>
      <c r="H59" s="1"/>
      <c r="I59" s="29">
        <f t="shared" si="0"/>
        <v>40026</v>
      </c>
      <c r="J59" s="29">
        <f t="shared" si="1"/>
        <v>40390</v>
      </c>
      <c r="K59" s="30">
        <f t="shared" si="2"/>
        <v>365</v>
      </c>
      <c r="L59" s="1"/>
      <c r="M59" s="27"/>
      <c r="N59" s="31"/>
      <c r="O59" s="1"/>
      <c r="P59" s="32">
        <f t="shared" si="3"/>
        <v>0</v>
      </c>
      <c r="Q59" s="1"/>
      <c r="R59" s="33">
        <f t="shared" si="4"/>
      </c>
      <c r="S59" s="34">
        <f>IF(P59=0,"",(IF(R59=0,0,R59*geg!$I$27)))</f>
      </c>
      <c r="T59" s="35" t="str">
        <f t="shared" si="5"/>
        <v> </v>
      </c>
      <c r="U59" s="1"/>
      <c r="V59" s="14"/>
    </row>
    <row r="60" spans="2:22" ht="12.75" customHeight="1">
      <c r="B60" s="13"/>
      <c r="C60" s="1"/>
      <c r="D60" s="27"/>
      <c r="E60" s="27"/>
      <c r="F60" s="28"/>
      <c r="G60" s="28"/>
      <c r="H60" s="1"/>
      <c r="I60" s="29">
        <f t="shared" si="0"/>
        <v>40026</v>
      </c>
      <c r="J60" s="29">
        <f t="shared" si="1"/>
        <v>40390</v>
      </c>
      <c r="K60" s="30">
        <f t="shared" si="2"/>
        <v>365</v>
      </c>
      <c r="L60" s="1"/>
      <c r="M60" s="27"/>
      <c r="N60" s="31"/>
      <c r="O60" s="1"/>
      <c r="P60" s="32">
        <f t="shared" si="3"/>
        <v>0</v>
      </c>
      <c r="Q60" s="1"/>
      <c r="R60" s="33">
        <f t="shared" si="4"/>
      </c>
      <c r="S60" s="34">
        <f>IF(P60=0,"",(IF(R60=0,0,R60*geg!$I$27)))</f>
      </c>
      <c r="T60" s="35" t="str">
        <f t="shared" si="5"/>
        <v> </v>
      </c>
      <c r="U60" s="1"/>
      <c r="V60" s="14"/>
    </row>
    <row r="61" spans="2:22" ht="12.75" customHeight="1">
      <c r="B61" s="13"/>
      <c r="C61" s="1"/>
      <c r="D61" s="27"/>
      <c r="E61" s="27"/>
      <c r="F61" s="28"/>
      <c r="G61" s="28"/>
      <c r="H61" s="1"/>
      <c r="I61" s="29">
        <f t="shared" si="0"/>
        <v>40026</v>
      </c>
      <c r="J61" s="29">
        <f t="shared" si="1"/>
        <v>40390</v>
      </c>
      <c r="K61" s="30">
        <f t="shared" si="2"/>
        <v>365</v>
      </c>
      <c r="L61" s="1"/>
      <c r="M61" s="27"/>
      <c r="N61" s="31"/>
      <c r="O61" s="1"/>
      <c r="P61" s="32">
        <f t="shared" si="3"/>
        <v>0</v>
      </c>
      <c r="Q61" s="1"/>
      <c r="R61" s="33">
        <f t="shared" si="4"/>
      </c>
      <c r="S61" s="34">
        <f>IF(P61=0,"",(IF(R61=0,0,R61*geg!$I$27)))</f>
      </c>
      <c r="T61" s="35">
        <f aca="true" t="shared" si="6" ref="T61:T76">IF(S61&gt;=0,"",IF(S61&gt;0,"",((IF(R61&gt;0,"",(S61*-1)))))*$T$8)</f>
      </c>
      <c r="U61" s="1"/>
      <c r="V61" s="14"/>
    </row>
    <row r="62" spans="2:22" ht="12.75" customHeight="1">
      <c r="B62" s="13"/>
      <c r="C62" s="1"/>
      <c r="D62" s="27"/>
      <c r="E62" s="27"/>
      <c r="F62" s="28"/>
      <c r="G62" s="28"/>
      <c r="H62" s="1"/>
      <c r="I62" s="29">
        <f t="shared" si="0"/>
        <v>40026</v>
      </c>
      <c r="J62" s="29">
        <f t="shared" si="1"/>
        <v>40390</v>
      </c>
      <c r="K62" s="30">
        <f t="shared" si="2"/>
        <v>365</v>
      </c>
      <c r="L62" s="1"/>
      <c r="M62" s="27"/>
      <c r="N62" s="31"/>
      <c r="O62" s="1"/>
      <c r="P62" s="32">
        <f>N62*K62/$K$8</f>
        <v>0</v>
      </c>
      <c r="Q62" s="1"/>
      <c r="R62" s="33">
        <f t="shared" si="4"/>
      </c>
      <c r="S62" s="34">
        <f>IF(P62=0,"",(IF(R62=0,0,R62*geg!$I$27)))</f>
      </c>
      <c r="T62" s="35">
        <f t="shared" si="6"/>
      </c>
      <c r="U62" s="1"/>
      <c r="V62" s="14"/>
    </row>
    <row r="63" spans="2:22" ht="12.75" customHeight="1">
      <c r="B63" s="13"/>
      <c r="C63" s="1"/>
      <c r="D63" s="27"/>
      <c r="E63" s="27"/>
      <c r="F63" s="28"/>
      <c r="G63" s="28"/>
      <c r="H63" s="1"/>
      <c r="I63" s="29">
        <f t="shared" si="0"/>
        <v>40026</v>
      </c>
      <c r="J63" s="29">
        <f t="shared" si="1"/>
        <v>40390</v>
      </c>
      <c r="K63" s="30">
        <f t="shared" si="2"/>
        <v>365</v>
      </c>
      <c r="L63" s="1"/>
      <c r="M63" s="27"/>
      <c r="N63" s="31"/>
      <c r="O63" s="1"/>
      <c r="P63" s="32">
        <f>N63*K63/$K$8</f>
        <v>0</v>
      </c>
      <c r="Q63" s="1"/>
      <c r="R63" s="33">
        <f t="shared" si="4"/>
      </c>
      <c r="S63" s="34">
        <f>IF(P63=0,"",(IF(R63=0,0,R63*geg!$I$27)))</f>
      </c>
      <c r="T63" s="35">
        <f t="shared" si="6"/>
      </c>
      <c r="U63" s="1"/>
      <c r="V63" s="14"/>
    </row>
    <row r="64" spans="2:22" ht="12.75" customHeight="1">
      <c r="B64" s="13"/>
      <c r="C64" s="1"/>
      <c r="D64" s="27"/>
      <c r="E64" s="27"/>
      <c r="F64" s="28"/>
      <c r="G64" s="28"/>
      <c r="H64" s="1"/>
      <c r="I64" s="29">
        <f t="shared" si="0"/>
        <v>40026</v>
      </c>
      <c r="J64" s="29">
        <f t="shared" si="1"/>
        <v>40390</v>
      </c>
      <c r="K64" s="30">
        <f t="shared" si="2"/>
        <v>365</v>
      </c>
      <c r="L64" s="1"/>
      <c r="M64" s="27"/>
      <c r="N64" s="31"/>
      <c r="O64" s="1"/>
      <c r="P64" s="32">
        <f>N64*K64/$K$8</f>
        <v>0</v>
      </c>
      <c r="Q64" s="1"/>
      <c r="R64" s="33">
        <f t="shared" si="4"/>
      </c>
      <c r="S64" s="34">
        <f>IF(P64=0,"",(IF(R64=0,0,R64*geg!$I$27)))</f>
      </c>
      <c r="T64" s="35">
        <f t="shared" si="6"/>
      </c>
      <c r="U64" s="1"/>
      <c r="V64" s="14"/>
    </row>
    <row r="65" spans="2:22" ht="12.75" customHeight="1">
      <c r="B65" s="13"/>
      <c r="C65" s="1"/>
      <c r="D65" s="27"/>
      <c r="E65" s="27"/>
      <c r="F65" s="28"/>
      <c r="G65" s="28"/>
      <c r="H65" s="1"/>
      <c r="I65" s="29">
        <f t="shared" si="0"/>
        <v>40026</v>
      </c>
      <c r="J65" s="29">
        <f t="shared" si="1"/>
        <v>40390</v>
      </c>
      <c r="K65" s="30">
        <f t="shared" si="2"/>
        <v>365</v>
      </c>
      <c r="L65" s="1"/>
      <c r="M65" s="27"/>
      <c r="N65" s="31"/>
      <c r="O65" s="1"/>
      <c r="P65" s="32">
        <f>N65*K65/$K$8</f>
        <v>0</v>
      </c>
      <c r="Q65" s="1"/>
      <c r="R65" s="33">
        <f t="shared" si="4"/>
      </c>
      <c r="S65" s="34">
        <f>IF(P65=0,"",(IF(R65=0,0,R65*geg!$I$27)))</f>
      </c>
      <c r="T65" s="35">
        <f t="shared" si="6"/>
      </c>
      <c r="U65" s="1"/>
      <c r="V65" s="14"/>
    </row>
    <row r="66" spans="2:22" ht="12.75" customHeight="1">
      <c r="B66" s="13"/>
      <c r="C66" s="1"/>
      <c r="D66" s="27"/>
      <c r="E66" s="27"/>
      <c r="F66" s="28"/>
      <c r="G66" s="28"/>
      <c r="H66" s="1"/>
      <c r="I66" s="29">
        <f t="shared" si="0"/>
        <v>40026</v>
      </c>
      <c r="J66" s="29">
        <f t="shared" si="1"/>
        <v>40390</v>
      </c>
      <c r="K66" s="30">
        <f t="shared" si="2"/>
        <v>365</v>
      </c>
      <c r="L66" s="1"/>
      <c r="M66" s="27"/>
      <c r="N66" s="31"/>
      <c r="O66" s="1"/>
      <c r="P66" s="32">
        <f>N66*K66/$K$8</f>
        <v>0</v>
      </c>
      <c r="Q66" s="1"/>
      <c r="R66" s="33">
        <f t="shared" si="4"/>
      </c>
      <c r="S66" s="34">
        <f>IF(P66=0,"",(IF(R66=0,0,R66*geg!$I$27)))</f>
      </c>
      <c r="T66" s="35">
        <f t="shared" si="6"/>
      </c>
      <c r="U66" s="1"/>
      <c r="V66" s="14"/>
    </row>
    <row r="67" spans="2:22" ht="12.75" customHeight="1">
      <c r="B67" s="13"/>
      <c r="C67" s="1"/>
      <c r="D67" s="27"/>
      <c r="E67" s="27"/>
      <c r="F67" s="28"/>
      <c r="G67" s="28"/>
      <c r="H67" s="1"/>
      <c r="I67" s="29">
        <f t="shared" si="0"/>
        <v>40026</v>
      </c>
      <c r="J67" s="29">
        <f t="shared" si="1"/>
        <v>40390</v>
      </c>
      <c r="K67" s="30">
        <f t="shared" si="2"/>
        <v>365</v>
      </c>
      <c r="L67" s="1"/>
      <c r="M67" s="27"/>
      <c r="N67" s="31"/>
      <c r="O67" s="1"/>
      <c r="P67" s="32">
        <f aca="true" t="shared" si="7" ref="P67:P109">N67*K67/$K$8</f>
        <v>0</v>
      </c>
      <c r="Q67" s="1"/>
      <c r="R67" s="33">
        <f t="shared" si="4"/>
      </c>
      <c r="S67" s="34">
        <f>IF(P67=0,"",(IF(R67=0,0,R67*geg!$I$27)))</f>
      </c>
      <c r="T67" s="35">
        <f t="shared" si="6"/>
      </c>
      <c r="U67" s="1"/>
      <c r="V67" s="14"/>
    </row>
    <row r="68" spans="2:22" ht="12.75" customHeight="1">
      <c r="B68" s="13"/>
      <c r="C68" s="1"/>
      <c r="D68" s="27"/>
      <c r="E68" s="27"/>
      <c r="F68" s="28"/>
      <c r="G68" s="28"/>
      <c r="H68" s="1"/>
      <c r="I68" s="29">
        <f t="shared" si="0"/>
        <v>40026</v>
      </c>
      <c r="J68" s="29">
        <f t="shared" si="1"/>
        <v>40390</v>
      </c>
      <c r="K68" s="30">
        <f t="shared" si="2"/>
        <v>365</v>
      </c>
      <c r="L68" s="1"/>
      <c r="M68" s="27"/>
      <c r="N68" s="31"/>
      <c r="O68" s="1"/>
      <c r="P68" s="32">
        <f t="shared" si="7"/>
        <v>0</v>
      </c>
      <c r="Q68" s="1"/>
      <c r="R68" s="33">
        <f t="shared" si="4"/>
      </c>
      <c r="S68" s="34">
        <f>IF(P68=0,"",(IF(R68=0,0,R68*geg!$I$27)))</f>
      </c>
      <c r="T68" s="35">
        <f t="shared" si="6"/>
      </c>
      <c r="U68" s="1"/>
      <c r="V68" s="14"/>
    </row>
    <row r="69" spans="2:22" ht="12.75" customHeight="1">
      <c r="B69" s="13"/>
      <c r="C69" s="1"/>
      <c r="D69" s="27"/>
      <c r="E69" s="27"/>
      <c r="F69" s="28"/>
      <c r="G69" s="28"/>
      <c r="H69" s="1"/>
      <c r="I69" s="29">
        <f t="shared" si="0"/>
        <v>40026</v>
      </c>
      <c r="J69" s="29">
        <f t="shared" si="1"/>
        <v>40390</v>
      </c>
      <c r="K69" s="30">
        <f t="shared" si="2"/>
        <v>365</v>
      </c>
      <c r="L69" s="1"/>
      <c r="M69" s="27"/>
      <c r="N69" s="31"/>
      <c r="O69" s="1"/>
      <c r="P69" s="32">
        <f t="shared" si="7"/>
        <v>0</v>
      </c>
      <c r="Q69" s="1"/>
      <c r="R69" s="33">
        <f t="shared" si="4"/>
      </c>
      <c r="S69" s="34">
        <f>IF(P69=0,"",(IF(R69=0,0,R69*geg!$I$27)))</f>
      </c>
      <c r="T69" s="35">
        <f t="shared" si="6"/>
      </c>
      <c r="U69" s="1"/>
      <c r="V69" s="14"/>
    </row>
    <row r="70" spans="2:22" ht="12.75" customHeight="1">
      <c r="B70" s="13"/>
      <c r="C70" s="1"/>
      <c r="D70" s="27"/>
      <c r="E70" s="27"/>
      <c r="F70" s="28"/>
      <c r="G70" s="28"/>
      <c r="H70" s="1"/>
      <c r="I70" s="29">
        <f t="shared" si="0"/>
        <v>40026</v>
      </c>
      <c r="J70" s="29">
        <f t="shared" si="1"/>
        <v>40390</v>
      </c>
      <c r="K70" s="30">
        <f t="shared" si="2"/>
        <v>365</v>
      </c>
      <c r="L70" s="1"/>
      <c r="M70" s="27"/>
      <c r="N70" s="31"/>
      <c r="O70" s="1"/>
      <c r="P70" s="32">
        <f t="shared" si="7"/>
        <v>0</v>
      </c>
      <c r="Q70" s="1"/>
      <c r="R70" s="33">
        <f t="shared" si="4"/>
      </c>
      <c r="S70" s="34">
        <f>IF(P70=0,"",(IF(R70=0,0,R70*geg!$I$27)))</f>
      </c>
      <c r="T70" s="35">
        <f t="shared" si="6"/>
      </c>
      <c r="U70" s="1"/>
      <c r="V70" s="14"/>
    </row>
    <row r="71" spans="2:22" ht="12.75" customHeight="1">
      <c r="B71" s="13"/>
      <c r="C71" s="1"/>
      <c r="D71" s="27"/>
      <c r="E71" s="27"/>
      <c r="F71" s="28"/>
      <c r="G71" s="28"/>
      <c r="H71" s="1"/>
      <c r="I71" s="29">
        <f t="shared" si="0"/>
        <v>40026</v>
      </c>
      <c r="J71" s="29">
        <f t="shared" si="1"/>
        <v>40390</v>
      </c>
      <c r="K71" s="30">
        <f t="shared" si="2"/>
        <v>365</v>
      </c>
      <c r="L71" s="1"/>
      <c r="M71" s="27"/>
      <c r="N71" s="31"/>
      <c r="O71" s="1"/>
      <c r="P71" s="32">
        <f t="shared" si="7"/>
        <v>0</v>
      </c>
      <c r="Q71" s="1"/>
      <c r="R71" s="33">
        <f t="shared" si="4"/>
      </c>
      <c r="S71" s="34">
        <f>IF(P71=0,"",(IF(R71=0,0,R71*geg!$I$27)))</f>
      </c>
      <c r="T71" s="35">
        <f t="shared" si="6"/>
      </c>
      <c r="U71" s="1"/>
      <c r="V71" s="14"/>
    </row>
    <row r="72" spans="2:22" ht="12.75" customHeight="1">
      <c r="B72" s="13"/>
      <c r="C72" s="1"/>
      <c r="D72" s="27"/>
      <c r="E72" s="27"/>
      <c r="F72" s="28"/>
      <c r="G72" s="28"/>
      <c r="H72" s="1"/>
      <c r="I72" s="29">
        <f t="shared" si="0"/>
        <v>40026</v>
      </c>
      <c r="J72" s="29">
        <f t="shared" si="1"/>
        <v>40390</v>
      </c>
      <c r="K72" s="30">
        <f t="shared" si="2"/>
        <v>365</v>
      </c>
      <c r="L72" s="1"/>
      <c r="M72" s="27"/>
      <c r="N72" s="31"/>
      <c r="O72" s="1"/>
      <c r="P72" s="32">
        <f t="shared" si="7"/>
        <v>0</v>
      </c>
      <c r="Q72" s="1"/>
      <c r="R72" s="33">
        <f t="shared" si="4"/>
      </c>
      <c r="S72" s="34">
        <f>IF(P72=0,"",(IF(R72=0,0,R72*geg!$I$27)))</f>
      </c>
      <c r="T72" s="35">
        <f t="shared" si="6"/>
      </c>
      <c r="U72" s="1"/>
      <c r="V72" s="14"/>
    </row>
    <row r="73" spans="2:22" ht="12.75" customHeight="1">
      <c r="B73" s="13"/>
      <c r="C73" s="1"/>
      <c r="D73" s="27"/>
      <c r="E73" s="27"/>
      <c r="F73" s="28"/>
      <c r="G73" s="28"/>
      <c r="H73" s="1"/>
      <c r="I73" s="29">
        <f aca="true" t="shared" si="8" ref="I73:I109">IF(F73=0,$I$8,F73)</f>
        <v>40026</v>
      </c>
      <c r="J73" s="29">
        <f aca="true" t="shared" si="9" ref="J73:J109">IF(G73=0,$J$8,G73)</f>
        <v>40390</v>
      </c>
      <c r="K73" s="30">
        <f t="shared" si="2"/>
        <v>365</v>
      </c>
      <c r="L73" s="1"/>
      <c r="M73" s="27"/>
      <c r="N73" s="31"/>
      <c r="O73" s="1"/>
      <c r="P73" s="32">
        <f t="shared" si="7"/>
        <v>0</v>
      </c>
      <c r="Q73" s="1"/>
      <c r="R73" s="33">
        <f t="shared" si="4"/>
      </c>
      <c r="S73" s="34">
        <f>IF(P73=0,"",(IF(R73=0,0,R73*geg!$I$27)))</f>
      </c>
      <c r="T73" s="35">
        <f t="shared" si="6"/>
      </c>
      <c r="U73" s="1"/>
      <c r="V73" s="14"/>
    </row>
    <row r="74" spans="2:22" ht="12.75" customHeight="1">
      <c r="B74" s="13"/>
      <c r="C74" s="1"/>
      <c r="D74" s="27"/>
      <c r="E74" s="27"/>
      <c r="F74" s="28"/>
      <c r="G74" s="28"/>
      <c r="H74" s="1"/>
      <c r="I74" s="29">
        <f t="shared" si="8"/>
        <v>40026</v>
      </c>
      <c r="J74" s="29">
        <f t="shared" si="9"/>
        <v>40390</v>
      </c>
      <c r="K74" s="30">
        <f aca="true" t="shared" si="10" ref="K74:K109">J74-I74+1</f>
        <v>365</v>
      </c>
      <c r="L74" s="1"/>
      <c r="M74" s="27"/>
      <c r="N74" s="31"/>
      <c r="O74" s="1"/>
      <c r="P74" s="32">
        <f t="shared" si="7"/>
        <v>0</v>
      </c>
      <c r="Q74" s="1"/>
      <c r="R74" s="33">
        <f aca="true" t="shared" si="11" ref="R74:R109">IF(P74=0,"",(VLOOKUP(M74,kosten_functies_LB,2,FALSE))*P74)</f>
      </c>
      <c r="S74" s="34">
        <f>IF(P74=0,"",(IF(R74=0,0,R74*geg!$I$27)))</f>
      </c>
      <c r="T74" s="35">
        <f t="shared" si="6"/>
      </c>
      <c r="U74" s="1"/>
      <c r="V74" s="14"/>
    </row>
    <row r="75" spans="2:22" ht="12.75" customHeight="1">
      <c r="B75" s="13"/>
      <c r="C75" s="1"/>
      <c r="D75" s="27"/>
      <c r="E75" s="27"/>
      <c r="F75" s="28"/>
      <c r="G75" s="28"/>
      <c r="H75" s="1"/>
      <c r="I75" s="29">
        <f t="shared" si="8"/>
        <v>40026</v>
      </c>
      <c r="J75" s="29">
        <f t="shared" si="9"/>
        <v>40390</v>
      </c>
      <c r="K75" s="30">
        <f t="shared" si="10"/>
        <v>365</v>
      </c>
      <c r="L75" s="1"/>
      <c r="M75" s="27"/>
      <c r="N75" s="31"/>
      <c r="O75" s="1"/>
      <c r="P75" s="32">
        <f t="shared" si="7"/>
        <v>0</v>
      </c>
      <c r="Q75" s="1"/>
      <c r="R75" s="33">
        <f t="shared" si="11"/>
      </c>
      <c r="S75" s="34">
        <f>IF(P75=0,"",(IF(R75=0,0,R75*geg!$I$27)))</f>
      </c>
      <c r="T75" s="35">
        <f t="shared" si="6"/>
      </c>
      <c r="U75" s="1"/>
      <c r="V75" s="14"/>
    </row>
    <row r="76" spans="2:22" ht="12.75" customHeight="1">
      <c r="B76" s="13"/>
      <c r="C76" s="1"/>
      <c r="D76" s="27"/>
      <c r="E76" s="27"/>
      <c r="F76" s="28"/>
      <c r="G76" s="28"/>
      <c r="H76" s="1"/>
      <c r="I76" s="29">
        <f t="shared" si="8"/>
        <v>40026</v>
      </c>
      <c r="J76" s="29">
        <f t="shared" si="9"/>
        <v>40390</v>
      </c>
      <c r="K76" s="30">
        <f t="shared" si="10"/>
        <v>365</v>
      </c>
      <c r="L76" s="1"/>
      <c r="M76" s="27"/>
      <c r="N76" s="31"/>
      <c r="O76" s="1"/>
      <c r="P76" s="32">
        <f t="shared" si="7"/>
        <v>0</v>
      </c>
      <c r="Q76" s="1"/>
      <c r="R76" s="33">
        <f t="shared" si="11"/>
      </c>
      <c r="S76" s="34">
        <f>IF(P76=0,"",(IF(R76=0,0,R76*geg!$I$27)))</f>
      </c>
      <c r="T76" s="35">
        <f t="shared" si="6"/>
      </c>
      <c r="U76" s="1"/>
      <c r="V76" s="14"/>
    </row>
    <row r="77" spans="2:22" ht="12.75" customHeight="1">
      <c r="B77" s="13"/>
      <c r="C77" s="1"/>
      <c r="D77" s="27"/>
      <c r="E77" s="27"/>
      <c r="F77" s="28"/>
      <c r="G77" s="28"/>
      <c r="H77" s="1"/>
      <c r="I77" s="29">
        <f t="shared" si="8"/>
        <v>40026</v>
      </c>
      <c r="J77" s="29">
        <f t="shared" si="9"/>
        <v>40390</v>
      </c>
      <c r="K77" s="30">
        <f t="shared" si="10"/>
        <v>365</v>
      </c>
      <c r="L77" s="1"/>
      <c r="M77" s="27"/>
      <c r="N77" s="31"/>
      <c r="O77" s="1"/>
      <c r="P77" s="32">
        <f t="shared" si="7"/>
        <v>0</v>
      </c>
      <c r="Q77" s="1"/>
      <c r="R77" s="33">
        <f t="shared" si="11"/>
      </c>
      <c r="S77" s="34">
        <f>IF(P77=0,"",(IF(R77=0,0,R77*geg!$I$27)))</f>
      </c>
      <c r="T77" s="35">
        <f aca="true" t="shared" si="12" ref="T77:T109">IF(S77&gt;=0,"",IF(S77&gt;0,"",((IF(R77&gt;0,"",(S77*-1)))))*$T$8)</f>
      </c>
      <c r="U77" s="1"/>
      <c r="V77" s="14"/>
    </row>
    <row r="78" spans="2:22" ht="12.75" customHeight="1">
      <c r="B78" s="13"/>
      <c r="C78" s="1"/>
      <c r="D78" s="27"/>
      <c r="E78" s="27"/>
      <c r="F78" s="28"/>
      <c r="G78" s="28"/>
      <c r="H78" s="1"/>
      <c r="I78" s="29">
        <f t="shared" si="8"/>
        <v>40026</v>
      </c>
      <c r="J78" s="29">
        <f t="shared" si="9"/>
        <v>40390</v>
      </c>
      <c r="K78" s="30">
        <f t="shared" si="10"/>
        <v>365</v>
      </c>
      <c r="L78" s="1"/>
      <c r="M78" s="27"/>
      <c r="N78" s="31"/>
      <c r="O78" s="1"/>
      <c r="P78" s="32">
        <f t="shared" si="7"/>
        <v>0</v>
      </c>
      <c r="Q78" s="1"/>
      <c r="R78" s="33">
        <f t="shared" si="11"/>
      </c>
      <c r="S78" s="34">
        <f>IF(P78=0,"",(IF(R78=0,0,R78*geg!$I$27)))</f>
      </c>
      <c r="T78" s="35">
        <f t="shared" si="12"/>
      </c>
      <c r="U78" s="1"/>
      <c r="V78" s="14"/>
    </row>
    <row r="79" spans="2:22" ht="12.75" customHeight="1">
      <c r="B79" s="13"/>
      <c r="C79" s="1"/>
      <c r="D79" s="27"/>
      <c r="E79" s="27"/>
      <c r="F79" s="28"/>
      <c r="G79" s="28"/>
      <c r="H79" s="1"/>
      <c r="I79" s="29">
        <f t="shared" si="8"/>
        <v>40026</v>
      </c>
      <c r="J79" s="29">
        <f t="shared" si="9"/>
        <v>40390</v>
      </c>
      <c r="K79" s="30">
        <f t="shared" si="10"/>
        <v>365</v>
      </c>
      <c r="L79" s="1"/>
      <c r="M79" s="27"/>
      <c r="N79" s="31"/>
      <c r="O79" s="1"/>
      <c r="P79" s="32">
        <f t="shared" si="7"/>
        <v>0</v>
      </c>
      <c r="Q79" s="1"/>
      <c r="R79" s="33">
        <f t="shared" si="11"/>
      </c>
      <c r="S79" s="34">
        <f>IF(P79=0,"",(IF(R79=0,0,R79*geg!$I$27)))</f>
      </c>
      <c r="T79" s="35">
        <f t="shared" si="12"/>
      </c>
      <c r="U79" s="1"/>
      <c r="V79" s="14"/>
    </row>
    <row r="80" spans="2:22" ht="12.75" customHeight="1">
      <c r="B80" s="13"/>
      <c r="C80" s="1"/>
      <c r="D80" s="27"/>
      <c r="E80" s="27"/>
      <c r="F80" s="28"/>
      <c r="G80" s="28"/>
      <c r="H80" s="1"/>
      <c r="I80" s="29">
        <f t="shared" si="8"/>
        <v>40026</v>
      </c>
      <c r="J80" s="29">
        <f t="shared" si="9"/>
        <v>40390</v>
      </c>
      <c r="K80" s="30">
        <f t="shared" si="10"/>
        <v>365</v>
      </c>
      <c r="L80" s="1"/>
      <c r="M80" s="27"/>
      <c r="N80" s="31"/>
      <c r="O80" s="1"/>
      <c r="P80" s="32">
        <f t="shared" si="7"/>
        <v>0</v>
      </c>
      <c r="Q80" s="1"/>
      <c r="R80" s="33">
        <f t="shared" si="11"/>
      </c>
      <c r="S80" s="34">
        <f>IF(P80=0,"",(IF(R80=0,0,R80*geg!$I$27)))</f>
      </c>
      <c r="T80" s="35">
        <f t="shared" si="12"/>
      </c>
      <c r="U80" s="1"/>
      <c r="V80" s="14"/>
    </row>
    <row r="81" spans="2:22" ht="12.75" customHeight="1">
      <c r="B81" s="13"/>
      <c r="C81" s="1"/>
      <c r="D81" s="27"/>
      <c r="E81" s="27"/>
      <c r="F81" s="28"/>
      <c r="G81" s="28"/>
      <c r="H81" s="1"/>
      <c r="I81" s="29">
        <f t="shared" si="8"/>
        <v>40026</v>
      </c>
      <c r="J81" s="29">
        <f t="shared" si="9"/>
        <v>40390</v>
      </c>
      <c r="K81" s="30">
        <f t="shared" si="10"/>
        <v>365</v>
      </c>
      <c r="L81" s="1"/>
      <c r="M81" s="27"/>
      <c r="N81" s="31"/>
      <c r="O81" s="1"/>
      <c r="P81" s="32">
        <f t="shared" si="7"/>
        <v>0</v>
      </c>
      <c r="Q81" s="1"/>
      <c r="R81" s="33">
        <f t="shared" si="11"/>
      </c>
      <c r="S81" s="34">
        <f>IF(P81=0,"",(IF(R81=0,0,R81*geg!$I$27)))</f>
      </c>
      <c r="T81" s="35">
        <f t="shared" si="12"/>
      </c>
      <c r="U81" s="1"/>
      <c r="V81" s="14"/>
    </row>
    <row r="82" spans="2:22" ht="12.75" customHeight="1">
      <c r="B82" s="13"/>
      <c r="C82" s="1"/>
      <c r="D82" s="27"/>
      <c r="E82" s="27"/>
      <c r="F82" s="28"/>
      <c r="G82" s="28"/>
      <c r="H82" s="1"/>
      <c r="I82" s="29">
        <f t="shared" si="8"/>
        <v>40026</v>
      </c>
      <c r="J82" s="29">
        <f t="shared" si="9"/>
        <v>40390</v>
      </c>
      <c r="K82" s="30">
        <f t="shared" si="10"/>
        <v>365</v>
      </c>
      <c r="L82" s="1"/>
      <c r="M82" s="27"/>
      <c r="N82" s="31"/>
      <c r="O82" s="1"/>
      <c r="P82" s="32">
        <f t="shared" si="7"/>
        <v>0</v>
      </c>
      <c r="Q82" s="1"/>
      <c r="R82" s="33">
        <f t="shared" si="11"/>
      </c>
      <c r="S82" s="34">
        <f>IF(P82=0,"",(IF(R82=0,0,R82*geg!$I$27)))</f>
      </c>
      <c r="T82" s="35">
        <f t="shared" si="12"/>
      </c>
      <c r="U82" s="1"/>
      <c r="V82" s="14"/>
    </row>
    <row r="83" spans="2:22" ht="12.75" customHeight="1">
      <c r="B83" s="13"/>
      <c r="C83" s="1"/>
      <c r="D83" s="27"/>
      <c r="E83" s="27"/>
      <c r="F83" s="28"/>
      <c r="G83" s="28"/>
      <c r="H83" s="1"/>
      <c r="I83" s="29">
        <f t="shared" si="8"/>
        <v>40026</v>
      </c>
      <c r="J83" s="29">
        <f t="shared" si="9"/>
        <v>40390</v>
      </c>
      <c r="K83" s="30">
        <f t="shared" si="10"/>
        <v>365</v>
      </c>
      <c r="L83" s="1"/>
      <c r="M83" s="27"/>
      <c r="N83" s="31"/>
      <c r="O83" s="1"/>
      <c r="P83" s="32">
        <f t="shared" si="7"/>
        <v>0</v>
      </c>
      <c r="Q83" s="1"/>
      <c r="R83" s="33">
        <f t="shared" si="11"/>
      </c>
      <c r="S83" s="34">
        <f>IF(P83=0,"",(IF(R83=0,0,R83*geg!$I$27)))</f>
      </c>
      <c r="T83" s="35">
        <f t="shared" si="12"/>
      </c>
      <c r="U83" s="1"/>
      <c r="V83" s="14"/>
    </row>
    <row r="84" spans="2:22" ht="12.75" customHeight="1">
      <c r="B84" s="13"/>
      <c r="C84" s="1"/>
      <c r="D84" s="27"/>
      <c r="E84" s="27"/>
      <c r="F84" s="28"/>
      <c r="G84" s="28"/>
      <c r="H84" s="1"/>
      <c r="I84" s="29">
        <f t="shared" si="8"/>
        <v>40026</v>
      </c>
      <c r="J84" s="29">
        <f t="shared" si="9"/>
        <v>40390</v>
      </c>
      <c r="K84" s="30">
        <f t="shared" si="10"/>
        <v>365</v>
      </c>
      <c r="L84" s="1"/>
      <c r="M84" s="27"/>
      <c r="N84" s="31"/>
      <c r="O84" s="1"/>
      <c r="P84" s="32">
        <f t="shared" si="7"/>
        <v>0</v>
      </c>
      <c r="Q84" s="1"/>
      <c r="R84" s="33">
        <f t="shared" si="11"/>
      </c>
      <c r="S84" s="34">
        <f>IF(P84=0,"",(IF(R84=0,0,R84*geg!$I$27)))</f>
      </c>
      <c r="T84" s="35">
        <f t="shared" si="12"/>
      </c>
      <c r="U84" s="1"/>
      <c r="V84" s="14"/>
    </row>
    <row r="85" spans="2:22" ht="12.75" customHeight="1">
      <c r="B85" s="13"/>
      <c r="C85" s="1"/>
      <c r="D85" s="27"/>
      <c r="E85" s="27"/>
      <c r="F85" s="28"/>
      <c r="G85" s="28"/>
      <c r="H85" s="1"/>
      <c r="I85" s="29">
        <f t="shared" si="8"/>
        <v>40026</v>
      </c>
      <c r="J85" s="29">
        <f t="shared" si="9"/>
        <v>40390</v>
      </c>
      <c r="K85" s="30">
        <f t="shared" si="10"/>
        <v>365</v>
      </c>
      <c r="L85" s="1"/>
      <c r="M85" s="27"/>
      <c r="N85" s="31"/>
      <c r="O85" s="1"/>
      <c r="P85" s="32">
        <f t="shared" si="7"/>
        <v>0</v>
      </c>
      <c r="Q85" s="1"/>
      <c r="R85" s="33">
        <f t="shared" si="11"/>
      </c>
      <c r="S85" s="34">
        <f>IF(P85=0,"",(IF(R85=0,0,R85*geg!$I$27)))</f>
      </c>
      <c r="T85" s="35">
        <f t="shared" si="12"/>
      </c>
      <c r="U85" s="1"/>
      <c r="V85" s="14"/>
    </row>
    <row r="86" spans="2:22" ht="12.75" customHeight="1">
      <c r="B86" s="13"/>
      <c r="C86" s="1"/>
      <c r="D86" s="27"/>
      <c r="E86" s="27"/>
      <c r="F86" s="28"/>
      <c r="G86" s="28"/>
      <c r="H86" s="1"/>
      <c r="I86" s="29">
        <f t="shared" si="8"/>
        <v>40026</v>
      </c>
      <c r="J86" s="29">
        <f t="shared" si="9"/>
        <v>40390</v>
      </c>
      <c r="K86" s="30">
        <f t="shared" si="10"/>
        <v>365</v>
      </c>
      <c r="L86" s="1"/>
      <c r="M86" s="27"/>
      <c r="N86" s="31"/>
      <c r="O86" s="1"/>
      <c r="P86" s="32">
        <f t="shared" si="7"/>
        <v>0</v>
      </c>
      <c r="Q86" s="1"/>
      <c r="R86" s="33">
        <f t="shared" si="11"/>
      </c>
      <c r="S86" s="34">
        <f>IF(P86=0,"",(IF(R86=0,0,R86*geg!$I$27)))</f>
      </c>
      <c r="T86" s="35">
        <f t="shared" si="12"/>
      </c>
      <c r="U86" s="1"/>
      <c r="V86" s="14"/>
    </row>
    <row r="87" spans="2:22" ht="12.75" customHeight="1">
      <c r="B87" s="13"/>
      <c r="C87" s="1"/>
      <c r="D87" s="27"/>
      <c r="E87" s="27"/>
      <c r="F87" s="28"/>
      <c r="G87" s="28"/>
      <c r="H87" s="1"/>
      <c r="I87" s="29">
        <f t="shared" si="8"/>
        <v>40026</v>
      </c>
      <c r="J87" s="29">
        <f t="shared" si="9"/>
        <v>40390</v>
      </c>
      <c r="K87" s="30">
        <f t="shared" si="10"/>
        <v>365</v>
      </c>
      <c r="L87" s="1"/>
      <c r="M87" s="27"/>
      <c r="N87" s="31"/>
      <c r="O87" s="1"/>
      <c r="P87" s="32">
        <f t="shared" si="7"/>
        <v>0</v>
      </c>
      <c r="Q87" s="1"/>
      <c r="R87" s="33">
        <f t="shared" si="11"/>
      </c>
      <c r="S87" s="34">
        <f>IF(P87=0,"",(IF(R87=0,0,R87*geg!$I$27)))</f>
      </c>
      <c r="T87" s="35">
        <f t="shared" si="12"/>
      </c>
      <c r="U87" s="1"/>
      <c r="V87" s="14"/>
    </row>
    <row r="88" spans="2:22" ht="12.75" customHeight="1">
      <c r="B88" s="13"/>
      <c r="C88" s="1"/>
      <c r="D88" s="27"/>
      <c r="E88" s="27"/>
      <c r="F88" s="28"/>
      <c r="G88" s="28"/>
      <c r="H88" s="1"/>
      <c r="I88" s="29">
        <f t="shared" si="8"/>
        <v>40026</v>
      </c>
      <c r="J88" s="29">
        <f t="shared" si="9"/>
        <v>40390</v>
      </c>
      <c r="K88" s="30">
        <f t="shared" si="10"/>
        <v>365</v>
      </c>
      <c r="L88" s="1"/>
      <c r="M88" s="27"/>
      <c r="N88" s="31"/>
      <c r="O88" s="1"/>
      <c r="P88" s="32">
        <f t="shared" si="7"/>
        <v>0</v>
      </c>
      <c r="Q88" s="1"/>
      <c r="R88" s="33">
        <f t="shared" si="11"/>
      </c>
      <c r="S88" s="34">
        <f>IF(P88=0,"",(IF(R88=0,0,R88*geg!$I$27)))</f>
      </c>
      <c r="T88" s="35">
        <f t="shared" si="12"/>
      </c>
      <c r="U88" s="1"/>
      <c r="V88" s="14"/>
    </row>
    <row r="89" spans="2:22" ht="12.75" customHeight="1">
      <c r="B89" s="13"/>
      <c r="C89" s="1"/>
      <c r="D89" s="27"/>
      <c r="E89" s="27"/>
      <c r="F89" s="28"/>
      <c r="G89" s="28"/>
      <c r="H89" s="1"/>
      <c r="I89" s="29">
        <f t="shared" si="8"/>
        <v>40026</v>
      </c>
      <c r="J89" s="29">
        <f t="shared" si="9"/>
        <v>40390</v>
      </c>
      <c r="K89" s="30">
        <f t="shared" si="10"/>
        <v>365</v>
      </c>
      <c r="L89" s="1"/>
      <c r="M89" s="27"/>
      <c r="N89" s="31"/>
      <c r="O89" s="1"/>
      <c r="P89" s="32">
        <f t="shared" si="7"/>
        <v>0</v>
      </c>
      <c r="Q89" s="1"/>
      <c r="R89" s="33">
        <f t="shared" si="11"/>
      </c>
      <c r="S89" s="34">
        <f>IF(P89=0,"",(IF(R89=0,0,R89*geg!$I$27)))</f>
      </c>
      <c r="T89" s="35">
        <f t="shared" si="12"/>
      </c>
      <c r="U89" s="1"/>
      <c r="V89" s="14"/>
    </row>
    <row r="90" spans="2:22" ht="12.75" customHeight="1">
      <c r="B90" s="13"/>
      <c r="C90" s="1"/>
      <c r="D90" s="27"/>
      <c r="E90" s="27"/>
      <c r="F90" s="28"/>
      <c r="G90" s="28"/>
      <c r="H90" s="1"/>
      <c r="I90" s="29">
        <f t="shared" si="8"/>
        <v>40026</v>
      </c>
      <c r="J90" s="29">
        <f t="shared" si="9"/>
        <v>40390</v>
      </c>
      <c r="K90" s="30">
        <f t="shared" si="10"/>
        <v>365</v>
      </c>
      <c r="L90" s="1"/>
      <c r="M90" s="27"/>
      <c r="N90" s="31"/>
      <c r="O90" s="1"/>
      <c r="P90" s="32">
        <f t="shared" si="7"/>
        <v>0</v>
      </c>
      <c r="Q90" s="1"/>
      <c r="R90" s="33">
        <f t="shared" si="11"/>
      </c>
      <c r="S90" s="34">
        <f>IF(P90=0,"",(IF(R90=0,0,R90*geg!$I$27)))</f>
      </c>
      <c r="T90" s="35">
        <f t="shared" si="12"/>
      </c>
      <c r="U90" s="1"/>
      <c r="V90" s="14"/>
    </row>
    <row r="91" spans="2:22" ht="12.75" customHeight="1">
      <c r="B91" s="13"/>
      <c r="C91" s="1"/>
      <c r="D91" s="27"/>
      <c r="E91" s="27"/>
      <c r="F91" s="28"/>
      <c r="G91" s="28"/>
      <c r="H91" s="1"/>
      <c r="I91" s="29">
        <f t="shared" si="8"/>
        <v>40026</v>
      </c>
      <c r="J91" s="29">
        <f t="shared" si="9"/>
        <v>40390</v>
      </c>
      <c r="K91" s="30">
        <f t="shared" si="10"/>
        <v>365</v>
      </c>
      <c r="L91" s="1"/>
      <c r="M91" s="27"/>
      <c r="N91" s="31"/>
      <c r="O91" s="1"/>
      <c r="P91" s="32">
        <f t="shared" si="7"/>
        <v>0</v>
      </c>
      <c r="Q91" s="1"/>
      <c r="R91" s="33">
        <f t="shared" si="11"/>
      </c>
      <c r="S91" s="34">
        <f>IF(P91=0,"",(IF(R91=0,0,R91*geg!$I$27)))</f>
      </c>
      <c r="T91" s="35">
        <f t="shared" si="12"/>
      </c>
      <c r="U91" s="1"/>
      <c r="V91" s="14"/>
    </row>
    <row r="92" spans="2:22" ht="12.75" customHeight="1">
      <c r="B92" s="13"/>
      <c r="C92" s="1"/>
      <c r="D92" s="27"/>
      <c r="E92" s="27"/>
      <c r="F92" s="28"/>
      <c r="G92" s="28"/>
      <c r="H92" s="1"/>
      <c r="I92" s="29">
        <f t="shared" si="8"/>
        <v>40026</v>
      </c>
      <c r="J92" s="29">
        <f t="shared" si="9"/>
        <v>40390</v>
      </c>
      <c r="K92" s="30">
        <f t="shared" si="10"/>
        <v>365</v>
      </c>
      <c r="L92" s="1"/>
      <c r="M92" s="27"/>
      <c r="N92" s="31"/>
      <c r="O92" s="1"/>
      <c r="P92" s="32">
        <f t="shared" si="7"/>
        <v>0</v>
      </c>
      <c r="Q92" s="1"/>
      <c r="R92" s="33">
        <f t="shared" si="11"/>
      </c>
      <c r="S92" s="34">
        <f>IF(P92=0,"",(IF(R92=0,0,R92*geg!$I$27)))</f>
      </c>
      <c r="T92" s="35">
        <f t="shared" si="12"/>
      </c>
      <c r="U92" s="1"/>
      <c r="V92" s="14"/>
    </row>
    <row r="93" spans="2:22" ht="12.75" customHeight="1">
      <c r="B93" s="13"/>
      <c r="C93" s="1"/>
      <c r="D93" s="27"/>
      <c r="E93" s="27"/>
      <c r="F93" s="28"/>
      <c r="G93" s="28"/>
      <c r="H93" s="1"/>
      <c r="I93" s="29">
        <f t="shared" si="8"/>
        <v>40026</v>
      </c>
      <c r="J93" s="29">
        <f t="shared" si="9"/>
        <v>40390</v>
      </c>
      <c r="K93" s="30">
        <f t="shared" si="10"/>
        <v>365</v>
      </c>
      <c r="L93" s="1"/>
      <c r="M93" s="27"/>
      <c r="N93" s="31"/>
      <c r="O93" s="1"/>
      <c r="P93" s="32">
        <f t="shared" si="7"/>
        <v>0</v>
      </c>
      <c r="Q93" s="1"/>
      <c r="R93" s="33">
        <f t="shared" si="11"/>
      </c>
      <c r="S93" s="34">
        <f>IF(P93=0,"",(IF(R93=0,0,R93*geg!$I$27)))</f>
      </c>
      <c r="T93" s="35">
        <f t="shared" si="12"/>
      </c>
      <c r="U93" s="1"/>
      <c r="V93" s="14"/>
    </row>
    <row r="94" spans="2:22" ht="12.75" customHeight="1">
      <c r="B94" s="13"/>
      <c r="C94" s="1"/>
      <c r="D94" s="27"/>
      <c r="E94" s="27"/>
      <c r="F94" s="28"/>
      <c r="G94" s="28"/>
      <c r="H94" s="1"/>
      <c r="I94" s="29">
        <f t="shared" si="8"/>
        <v>40026</v>
      </c>
      <c r="J94" s="29">
        <f t="shared" si="9"/>
        <v>40390</v>
      </c>
      <c r="K94" s="30">
        <f t="shared" si="10"/>
        <v>365</v>
      </c>
      <c r="L94" s="1"/>
      <c r="M94" s="27"/>
      <c r="N94" s="31"/>
      <c r="O94" s="1"/>
      <c r="P94" s="32">
        <f t="shared" si="7"/>
        <v>0</v>
      </c>
      <c r="Q94" s="1"/>
      <c r="R94" s="33">
        <f t="shared" si="11"/>
      </c>
      <c r="S94" s="34">
        <f>IF(P94=0,"",(IF(R94=0,0,R94*geg!$I$27)))</f>
      </c>
      <c r="T94" s="35">
        <f t="shared" si="12"/>
      </c>
      <c r="U94" s="1"/>
      <c r="V94" s="14"/>
    </row>
    <row r="95" spans="2:22" ht="12.75" customHeight="1">
      <c r="B95" s="13"/>
      <c r="C95" s="1"/>
      <c r="D95" s="27"/>
      <c r="E95" s="27"/>
      <c r="F95" s="28"/>
      <c r="G95" s="28"/>
      <c r="H95" s="1"/>
      <c r="I95" s="29">
        <f t="shared" si="8"/>
        <v>40026</v>
      </c>
      <c r="J95" s="29">
        <f t="shared" si="9"/>
        <v>40390</v>
      </c>
      <c r="K95" s="30">
        <f t="shared" si="10"/>
        <v>365</v>
      </c>
      <c r="L95" s="1"/>
      <c r="M95" s="27"/>
      <c r="N95" s="31"/>
      <c r="O95" s="1"/>
      <c r="P95" s="32">
        <f t="shared" si="7"/>
        <v>0</v>
      </c>
      <c r="Q95" s="1"/>
      <c r="R95" s="33">
        <f t="shared" si="11"/>
      </c>
      <c r="S95" s="34">
        <f>IF(P95=0,"",(IF(R95=0,0,R95*geg!$I$27)))</f>
      </c>
      <c r="T95" s="35">
        <f t="shared" si="12"/>
      </c>
      <c r="U95" s="1"/>
      <c r="V95" s="14"/>
    </row>
    <row r="96" spans="2:22" ht="12.75" customHeight="1">
      <c r="B96" s="13"/>
      <c r="C96" s="1"/>
      <c r="D96" s="27"/>
      <c r="E96" s="27"/>
      <c r="F96" s="28"/>
      <c r="G96" s="28"/>
      <c r="H96" s="1"/>
      <c r="I96" s="29">
        <f t="shared" si="8"/>
        <v>40026</v>
      </c>
      <c r="J96" s="29">
        <f t="shared" si="9"/>
        <v>40390</v>
      </c>
      <c r="K96" s="30">
        <f t="shared" si="10"/>
        <v>365</v>
      </c>
      <c r="L96" s="1"/>
      <c r="M96" s="27"/>
      <c r="N96" s="31"/>
      <c r="O96" s="1"/>
      <c r="P96" s="32">
        <f t="shared" si="7"/>
        <v>0</v>
      </c>
      <c r="Q96" s="1"/>
      <c r="R96" s="33">
        <f t="shared" si="11"/>
      </c>
      <c r="S96" s="34">
        <f>IF(P96=0,"",(IF(R96=0,0,R96*geg!$I$27)))</f>
      </c>
      <c r="T96" s="35">
        <f t="shared" si="12"/>
      </c>
      <c r="U96" s="1"/>
      <c r="V96" s="14"/>
    </row>
    <row r="97" spans="2:22" ht="12.75" customHeight="1">
      <c r="B97" s="13"/>
      <c r="C97" s="1"/>
      <c r="D97" s="27"/>
      <c r="E97" s="27"/>
      <c r="F97" s="28"/>
      <c r="G97" s="28"/>
      <c r="H97" s="1"/>
      <c r="I97" s="29">
        <f t="shared" si="8"/>
        <v>40026</v>
      </c>
      <c r="J97" s="29">
        <f t="shared" si="9"/>
        <v>40390</v>
      </c>
      <c r="K97" s="30">
        <f t="shared" si="10"/>
        <v>365</v>
      </c>
      <c r="L97" s="1"/>
      <c r="M97" s="27"/>
      <c r="N97" s="31"/>
      <c r="O97" s="1"/>
      <c r="P97" s="32">
        <f t="shared" si="7"/>
        <v>0</v>
      </c>
      <c r="Q97" s="1"/>
      <c r="R97" s="33">
        <f t="shared" si="11"/>
      </c>
      <c r="S97" s="34">
        <f>IF(P97=0,"",(IF(R97=0,0,R97*geg!$I$27)))</f>
      </c>
      <c r="T97" s="35">
        <f t="shared" si="12"/>
      </c>
      <c r="U97" s="1"/>
      <c r="V97" s="14"/>
    </row>
    <row r="98" spans="2:22" ht="12.75" customHeight="1">
      <c r="B98" s="13"/>
      <c r="C98" s="1"/>
      <c r="D98" s="27"/>
      <c r="E98" s="27"/>
      <c r="F98" s="28"/>
      <c r="G98" s="28"/>
      <c r="H98" s="1"/>
      <c r="I98" s="29">
        <f t="shared" si="8"/>
        <v>40026</v>
      </c>
      <c r="J98" s="29">
        <f t="shared" si="9"/>
        <v>40390</v>
      </c>
      <c r="K98" s="30">
        <f t="shared" si="10"/>
        <v>365</v>
      </c>
      <c r="L98" s="1"/>
      <c r="M98" s="27"/>
      <c r="N98" s="31"/>
      <c r="O98" s="1"/>
      <c r="P98" s="32">
        <f t="shared" si="7"/>
        <v>0</v>
      </c>
      <c r="Q98" s="1"/>
      <c r="R98" s="33">
        <f t="shared" si="11"/>
      </c>
      <c r="S98" s="34">
        <f>IF(P98=0,"",(IF(R98=0,0,R98*geg!$I$27)))</f>
      </c>
      <c r="T98" s="35">
        <f t="shared" si="12"/>
      </c>
      <c r="U98" s="1"/>
      <c r="V98" s="14"/>
    </row>
    <row r="99" spans="2:22" ht="12.75" customHeight="1">
      <c r="B99" s="13"/>
      <c r="C99" s="1"/>
      <c r="D99" s="27"/>
      <c r="E99" s="27"/>
      <c r="F99" s="28"/>
      <c r="G99" s="28"/>
      <c r="H99" s="1"/>
      <c r="I99" s="29">
        <f t="shared" si="8"/>
        <v>40026</v>
      </c>
      <c r="J99" s="29">
        <f t="shared" si="9"/>
        <v>40390</v>
      </c>
      <c r="K99" s="30">
        <f t="shared" si="10"/>
        <v>365</v>
      </c>
      <c r="L99" s="1"/>
      <c r="M99" s="27"/>
      <c r="N99" s="31"/>
      <c r="O99" s="1"/>
      <c r="P99" s="32">
        <f t="shared" si="7"/>
        <v>0</v>
      </c>
      <c r="Q99" s="1"/>
      <c r="R99" s="33">
        <f t="shared" si="11"/>
      </c>
      <c r="S99" s="34">
        <f>IF(P99=0,"",(IF(R99=0,0,R99*geg!$I$27)))</f>
      </c>
      <c r="T99" s="35">
        <f t="shared" si="12"/>
      </c>
      <c r="U99" s="1"/>
      <c r="V99" s="14"/>
    </row>
    <row r="100" spans="2:22" ht="12.75" customHeight="1">
      <c r="B100" s="13"/>
      <c r="C100" s="1"/>
      <c r="D100" s="27"/>
      <c r="E100" s="27"/>
      <c r="F100" s="28"/>
      <c r="G100" s="28"/>
      <c r="H100" s="1"/>
      <c r="I100" s="29">
        <f t="shared" si="8"/>
        <v>40026</v>
      </c>
      <c r="J100" s="29">
        <f t="shared" si="9"/>
        <v>40390</v>
      </c>
      <c r="K100" s="30">
        <f t="shared" si="10"/>
        <v>365</v>
      </c>
      <c r="L100" s="1"/>
      <c r="M100" s="27"/>
      <c r="N100" s="31"/>
      <c r="O100" s="1"/>
      <c r="P100" s="32">
        <f t="shared" si="7"/>
        <v>0</v>
      </c>
      <c r="Q100" s="1"/>
      <c r="R100" s="33">
        <f t="shared" si="11"/>
      </c>
      <c r="S100" s="34">
        <f>IF(P100=0,"",(IF(R100=0,0,R100*geg!$I$27)))</f>
      </c>
      <c r="T100" s="35">
        <f t="shared" si="12"/>
      </c>
      <c r="U100" s="1"/>
      <c r="V100" s="14"/>
    </row>
    <row r="101" spans="2:22" ht="12.75" customHeight="1">
      <c r="B101" s="13"/>
      <c r="C101" s="1"/>
      <c r="D101" s="27"/>
      <c r="E101" s="27"/>
      <c r="F101" s="28"/>
      <c r="G101" s="28"/>
      <c r="H101" s="1"/>
      <c r="I101" s="29">
        <f t="shared" si="8"/>
        <v>40026</v>
      </c>
      <c r="J101" s="29">
        <f t="shared" si="9"/>
        <v>40390</v>
      </c>
      <c r="K101" s="30">
        <f t="shared" si="10"/>
        <v>365</v>
      </c>
      <c r="L101" s="1"/>
      <c r="M101" s="27"/>
      <c r="N101" s="31"/>
      <c r="O101" s="1"/>
      <c r="P101" s="32">
        <f t="shared" si="7"/>
        <v>0</v>
      </c>
      <c r="Q101" s="1"/>
      <c r="R101" s="33">
        <f t="shared" si="11"/>
      </c>
      <c r="S101" s="34">
        <f>IF(P101=0,"",(IF(R101=0,0,R101*geg!$I$27)))</f>
      </c>
      <c r="T101" s="35">
        <f t="shared" si="12"/>
      </c>
      <c r="U101" s="1"/>
      <c r="V101" s="14"/>
    </row>
    <row r="102" spans="2:22" ht="12.75" customHeight="1">
      <c r="B102" s="13"/>
      <c r="C102" s="1"/>
      <c r="D102" s="27"/>
      <c r="E102" s="27"/>
      <c r="F102" s="28"/>
      <c r="G102" s="28"/>
      <c r="H102" s="1"/>
      <c r="I102" s="29">
        <f t="shared" si="8"/>
        <v>40026</v>
      </c>
      <c r="J102" s="29">
        <f t="shared" si="9"/>
        <v>40390</v>
      </c>
      <c r="K102" s="30">
        <f t="shared" si="10"/>
        <v>365</v>
      </c>
      <c r="L102" s="1"/>
      <c r="M102" s="27"/>
      <c r="N102" s="31"/>
      <c r="O102" s="1"/>
      <c r="P102" s="32">
        <f t="shared" si="7"/>
        <v>0</v>
      </c>
      <c r="Q102" s="1"/>
      <c r="R102" s="33">
        <f t="shared" si="11"/>
      </c>
      <c r="S102" s="34">
        <f>IF(P102=0,"",(IF(R102=0,0,R102*geg!$I$27)))</f>
      </c>
      <c r="T102" s="35">
        <f t="shared" si="12"/>
      </c>
      <c r="U102" s="1"/>
      <c r="V102" s="14"/>
    </row>
    <row r="103" spans="2:22" ht="12.75" customHeight="1">
      <c r="B103" s="13"/>
      <c r="C103" s="1"/>
      <c r="D103" s="27"/>
      <c r="E103" s="27"/>
      <c r="F103" s="28"/>
      <c r="G103" s="28"/>
      <c r="H103" s="1"/>
      <c r="I103" s="29">
        <f t="shared" si="8"/>
        <v>40026</v>
      </c>
      <c r="J103" s="29">
        <f t="shared" si="9"/>
        <v>40390</v>
      </c>
      <c r="K103" s="30">
        <f t="shared" si="10"/>
        <v>365</v>
      </c>
      <c r="L103" s="1"/>
      <c r="M103" s="27"/>
      <c r="N103" s="31"/>
      <c r="O103" s="1"/>
      <c r="P103" s="32">
        <f t="shared" si="7"/>
        <v>0</v>
      </c>
      <c r="Q103" s="1"/>
      <c r="R103" s="33">
        <f t="shared" si="11"/>
      </c>
      <c r="S103" s="34">
        <f>IF(P103=0,"",(IF(R103=0,0,R103*geg!$I$27)))</f>
      </c>
      <c r="T103" s="35">
        <f t="shared" si="12"/>
      </c>
      <c r="U103" s="1"/>
      <c r="V103" s="14"/>
    </row>
    <row r="104" spans="2:22" ht="12.75" customHeight="1">
      <c r="B104" s="13"/>
      <c r="C104" s="1"/>
      <c r="D104" s="27"/>
      <c r="E104" s="27"/>
      <c r="F104" s="28"/>
      <c r="G104" s="28"/>
      <c r="H104" s="1"/>
      <c r="I104" s="29">
        <f t="shared" si="8"/>
        <v>40026</v>
      </c>
      <c r="J104" s="29">
        <f t="shared" si="9"/>
        <v>40390</v>
      </c>
      <c r="K104" s="30">
        <f t="shared" si="10"/>
        <v>365</v>
      </c>
      <c r="L104" s="1"/>
      <c r="M104" s="27"/>
      <c r="N104" s="31"/>
      <c r="O104" s="1"/>
      <c r="P104" s="32">
        <f t="shared" si="7"/>
        <v>0</v>
      </c>
      <c r="Q104" s="1"/>
      <c r="R104" s="33">
        <f t="shared" si="11"/>
      </c>
      <c r="S104" s="34">
        <f>IF(P104=0,"",(IF(R104=0,0,R104*geg!$I$27)))</f>
      </c>
      <c r="T104" s="35">
        <f t="shared" si="12"/>
      </c>
      <c r="U104" s="1"/>
      <c r="V104" s="14"/>
    </row>
    <row r="105" spans="2:22" ht="12.75" customHeight="1">
      <c r="B105" s="13"/>
      <c r="C105" s="1"/>
      <c r="D105" s="27"/>
      <c r="E105" s="27"/>
      <c r="F105" s="28"/>
      <c r="G105" s="28"/>
      <c r="H105" s="1"/>
      <c r="I105" s="29">
        <f t="shared" si="8"/>
        <v>40026</v>
      </c>
      <c r="J105" s="29">
        <f t="shared" si="9"/>
        <v>40390</v>
      </c>
      <c r="K105" s="30">
        <f t="shared" si="10"/>
        <v>365</v>
      </c>
      <c r="L105" s="1"/>
      <c r="M105" s="27"/>
      <c r="N105" s="31"/>
      <c r="O105" s="1"/>
      <c r="P105" s="32">
        <f t="shared" si="7"/>
        <v>0</v>
      </c>
      <c r="Q105" s="1"/>
      <c r="R105" s="33">
        <f t="shared" si="11"/>
      </c>
      <c r="S105" s="34">
        <f>IF(P105=0,"",(IF(R105=0,0,R105*geg!$I$27)))</f>
      </c>
      <c r="T105" s="35">
        <f t="shared" si="12"/>
      </c>
      <c r="U105" s="1"/>
      <c r="V105" s="14"/>
    </row>
    <row r="106" spans="2:22" ht="12.75" customHeight="1">
      <c r="B106" s="13"/>
      <c r="C106" s="1"/>
      <c r="D106" s="27"/>
      <c r="E106" s="27"/>
      <c r="F106" s="28"/>
      <c r="G106" s="28"/>
      <c r="H106" s="1"/>
      <c r="I106" s="29">
        <f t="shared" si="8"/>
        <v>40026</v>
      </c>
      <c r="J106" s="29">
        <f t="shared" si="9"/>
        <v>40390</v>
      </c>
      <c r="K106" s="30">
        <f t="shared" si="10"/>
        <v>365</v>
      </c>
      <c r="L106" s="1"/>
      <c r="M106" s="27"/>
      <c r="N106" s="31"/>
      <c r="O106" s="1"/>
      <c r="P106" s="32">
        <f t="shared" si="7"/>
        <v>0</v>
      </c>
      <c r="Q106" s="1"/>
      <c r="R106" s="33">
        <f t="shared" si="11"/>
      </c>
      <c r="S106" s="34">
        <f>IF(P106=0,"",(IF(R106=0,0,R106*geg!$I$27)))</f>
      </c>
      <c r="T106" s="35">
        <f t="shared" si="12"/>
      </c>
      <c r="U106" s="1"/>
      <c r="V106" s="14"/>
    </row>
    <row r="107" spans="2:22" ht="12.75" customHeight="1">
      <c r="B107" s="13"/>
      <c r="C107" s="1"/>
      <c r="D107" s="27"/>
      <c r="E107" s="27"/>
      <c r="F107" s="28"/>
      <c r="G107" s="28"/>
      <c r="H107" s="1"/>
      <c r="I107" s="29">
        <f t="shared" si="8"/>
        <v>40026</v>
      </c>
      <c r="J107" s="29">
        <f t="shared" si="9"/>
        <v>40390</v>
      </c>
      <c r="K107" s="30">
        <f t="shared" si="10"/>
        <v>365</v>
      </c>
      <c r="L107" s="1"/>
      <c r="M107" s="27"/>
      <c r="N107" s="31"/>
      <c r="O107" s="1"/>
      <c r="P107" s="32">
        <f t="shared" si="7"/>
        <v>0</v>
      </c>
      <c r="Q107" s="1"/>
      <c r="R107" s="33">
        <f t="shared" si="11"/>
      </c>
      <c r="S107" s="34">
        <f>IF(P107=0,"",(IF(R107=0,0,R107*geg!$I$27)))</f>
      </c>
      <c r="T107" s="35">
        <f t="shared" si="12"/>
      </c>
      <c r="U107" s="1"/>
      <c r="V107" s="14"/>
    </row>
    <row r="108" spans="2:22" ht="12.75" customHeight="1">
      <c r="B108" s="13"/>
      <c r="C108" s="1"/>
      <c r="D108" s="27"/>
      <c r="E108" s="27"/>
      <c r="F108" s="28"/>
      <c r="G108" s="28"/>
      <c r="H108" s="1"/>
      <c r="I108" s="29">
        <f t="shared" si="8"/>
        <v>40026</v>
      </c>
      <c r="J108" s="29">
        <f t="shared" si="9"/>
        <v>40390</v>
      </c>
      <c r="K108" s="30">
        <f t="shared" si="10"/>
        <v>365</v>
      </c>
      <c r="L108" s="1"/>
      <c r="M108" s="27"/>
      <c r="N108" s="31"/>
      <c r="O108" s="1"/>
      <c r="P108" s="32">
        <f t="shared" si="7"/>
        <v>0</v>
      </c>
      <c r="Q108" s="1"/>
      <c r="R108" s="33">
        <f t="shared" si="11"/>
      </c>
      <c r="S108" s="34">
        <f>IF(P108=0,"",(IF(R108=0,0,R108*geg!$I$27)))</f>
      </c>
      <c r="T108" s="35">
        <f t="shared" si="12"/>
      </c>
      <c r="U108" s="1"/>
      <c r="V108" s="14"/>
    </row>
    <row r="109" spans="2:22" ht="12.75" customHeight="1">
      <c r="B109" s="13"/>
      <c r="C109" s="1"/>
      <c r="D109" s="27"/>
      <c r="E109" s="27"/>
      <c r="F109" s="28"/>
      <c r="G109" s="28"/>
      <c r="H109" s="1"/>
      <c r="I109" s="29">
        <f t="shared" si="8"/>
        <v>40026</v>
      </c>
      <c r="J109" s="29">
        <f t="shared" si="9"/>
        <v>40390</v>
      </c>
      <c r="K109" s="30">
        <f t="shared" si="10"/>
        <v>365</v>
      </c>
      <c r="L109" s="1"/>
      <c r="M109" s="27"/>
      <c r="N109" s="31"/>
      <c r="O109" s="1"/>
      <c r="P109" s="32">
        <f t="shared" si="7"/>
        <v>0</v>
      </c>
      <c r="Q109" s="1"/>
      <c r="R109" s="33">
        <f t="shared" si="11"/>
      </c>
      <c r="S109" s="34">
        <f>IF(P109=0,"",(IF(R109=0,0,R109*geg!$I$27)))</f>
      </c>
      <c r="T109" s="35">
        <f t="shared" si="12"/>
      </c>
      <c r="U109" s="1"/>
      <c r="V109" s="14"/>
    </row>
    <row r="110" spans="2:22" s="36" customFormat="1" ht="12.75" customHeight="1">
      <c r="B110" s="37"/>
      <c r="C110" s="3"/>
      <c r="D110" s="4"/>
      <c r="E110" s="3"/>
      <c r="F110" s="38"/>
      <c r="G110" s="38"/>
      <c r="H110" s="3"/>
      <c r="I110" s="38"/>
      <c r="J110" s="38"/>
      <c r="K110" s="39"/>
      <c r="L110" s="3"/>
      <c r="M110" s="4"/>
      <c r="N110" s="40"/>
      <c r="O110" s="3"/>
      <c r="P110" s="41">
        <f>SUM(P11:P109)</f>
        <v>33</v>
      </c>
      <c r="Q110" s="3"/>
      <c r="R110" s="42">
        <f>SUM(R11:R109)</f>
        <v>33</v>
      </c>
      <c r="S110" s="43">
        <f>SUM(S11:S109)</f>
        <v>1990340.7216</v>
      </c>
      <c r="T110" s="43">
        <f>SUM(T11:T109)</f>
        <v>0</v>
      </c>
      <c r="U110" s="3"/>
      <c r="V110" s="44"/>
    </row>
    <row r="111" spans="2:22" ht="12.75" customHeight="1">
      <c r="B111" s="13"/>
      <c r="C111" s="1"/>
      <c r="D111" s="25"/>
      <c r="E111" s="1"/>
      <c r="F111" s="25"/>
      <c r="G111" s="45"/>
      <c r="H111" s="1"/>
      <c r="I111" s="25"/>
      <c r="J111" s="45"/>
      <c r="K111" s="45"/>
      <c r="L111" s="1"/>
      <c r="M111" s="25"/>
      <c r="N111" s="25"/>
      <c r="O111" s="1"/>
      <c r="P111" s="25"/>
      <c r="Q111" s="1"/>
      <c r="R111" s="25"/>
      <c r="S111" s="1"/>
      <c r="T111" s="25"/>
      <c r="U111" s="1"/>
      <c r="V111" s="14"/>
    </row>
    <row r="112" spans="2:22" ht="12.75" customHeight="1" thickBot="1">
      <c r="B112" s="48"/>
      <c r="C112" s="49"/>
      <c r="D112" s="50"/>
      <c r="E112" s="49"/>
      <c r="F112" s="50"/>
      <c r="G112" s="50"/>
      <c r="H112" s="49"/>
      <c r="I112" s="50"/>
      <c r="J112" s="50"/>
      <c r="K112" s="50"/>
      <c r="L112" s="49"/>
      <c r="M112" s="50"/>
      <c r="N112" s="50"/>
      <c r="O112" s="49"/>
      <c r="P112" s="50"/>
      <c r="Q112" s="49"/>
      <c r="R112" s="50"/>
      <c r="S112" s="49"/>
      <c r="T112" s="50"/>
      <c r="U112" s="49"/>
      <c r="V112" s="51"/>
    </row>
  </sheetData>
  <sheetProtection password="DE55" sheet="1" objects="1" scenarios="1"/>
  <dataValidations count="3">
    <dataValidation type="list" allowBlank="1" showInputMessage="1" showErrorMessage="1" sqref="M110">
      <formula1>"AA,AB,AC,AD,AE,DA,DB,Dbuit,DC,Dcuit,DE,LA,LB,LC,LD,LE,LIOa,LIOb,1,2,3,4,5,6,7,8,9,10,11,12,13,14,15"</formula1>
    </dataValidation>
    <dataValidation type="list" allowBlank="1" showInputMessage="1" showErrorMessage="1" sqref="E11:E109">
      <formula1>"vast,tijdelijk"</formula1>
    </dataValidation>
    <dataValidation type="list" allowBlank="1" showInputMessage="1" showErrorMessage="1" sqref="M11:M109">
      <formula1>"AA,AB,AC,AD,AE,DA,DB,Dbuit,DC,Dcuit,DD,DE,LA,LB,LC,LD,LE,LIOa,LIOb,1,2,3,4,5,6,7,8,9,10,11,12,13,14,15"</formula1>
    </dataValidation>
  </dataValidations>
  <printOptions/>
  <pageMargins left="0.75" right="0.75" top="1" bottom="1" header="0.5" footer="0.5"/>
  <pageSetup horizontalDpi="600" verticalDpi="600" orientation="portrait" paperSize="9" scale="50" r:id="rId4"/>
  <headerFooter alignWithMargins="0">
    <oddHeader>&amp;L&amp;"Arial,Vet"&amp;F&amp;R&amp;"Arial,Vet"&amp;A</oddHeader>
    <oddFooter>&amp;L&amp;"Arial,Vet"keizer / goedhart&amp;C&amp;"Arial,Vet"&amp;D&amp;R&amp;"Arial,Vet"pagina &amp;P</oddFooter>
  </headerFooter>
  <drawing r:id="rId3"/>
  <legacyDrawing r:id="rId2"/>
</worksheet>
</file>

<file path=xl/worksheets/sheet6.xml><?xml version="1.0" encoding="utf-8"?>
<worksheet xmlns="http://schemas.openxmlformats.org/spreadsheetml/2006/main" xmlns:r="http://schemas.openxmlformats.org/officeDocument/2006/relationships">
  <dimension ref="B2:V112"/>
  <sheetViews>
    <sheetView zoomScale="85" zoomScaleNormal="85" workbookViewId="0" topLeftCell="A1">
      <pane ySplit="9" topLeftCell="BM10" activePane="bottomLeft" state="frozen"/>
      <selection pane="topLeft" activeCell="A1" sqref="A1"/>
      <selection pane="bottomLeft" activeCell="B2" sqref="B2"/>
    </sheetView>
  </sheetViews>
  <sheetFormatPr defaultColWidth="9.140625" defaultRowHeight="12.75"/>
  <cols>
    <col min="1" max="1" width="3.7109375" style="7" customWidth="1"/>
    <col min="2" max="3" width="2.7109375" style="7" customWidth="1"/>
    <col min="4" max="4" width="30.7109375" style="8" customWidth="1"/>
    <col min="5" max="5" width="12.7109375" style="7" customWidth="1"/>
    <col min="6" max="7" width="12.7109375" style="8" customWidth="1"/>
    <col min="8" max="8" width="1.7109375" style="7" customWidth="1"/>
    <col min="9" max="10" width="12.7109375" style="8" customWidth="1"/>
    <col min="11" max="11" width="14.7109375" style="8" hidden="1" customWidth="1"/>
    <col min="12" max="12" width="1.7109375" style="7" customWidth="1"/>
    <col min="13" max="14" width="10.7109375" style="8" customWidth="1"/>
    <col min="15" max="15" width="1.7109375" style="7" customWidth="1"/>
    <col min="16" max="16" width="12.8515625" style="8" customWidth="1"/>
    <col min="17" max="17" width="1.7109375" style="7" customWidth="1"/>
    <col min="18" max="18" width="12.8515625" style="8" customWidth="1"/>
    <col min="19" max="19" width="12.8515625" style="7" customWidth="1"/>
    <col min="20" max="20" width="16.7109375" style="8" hidden="1" customWidth="1"/>
    <col min="21" max="23" width="2.7109375" style="7" customWidth="1"/>
    <col min="24" max="25" width="13.8515625" style="7" bestFit="1" customWidth="1"/>
    <col min="26" max="16384" width="9.140625" style="7" customWidth="1"/>
  </cols>
  <sheetData>
    <row r="1" ht="12.75" customHeight="1" thickBot="1"/>
    <row r="2" spans="2:22" ht="12.75">
      <c r="B2" s="9" t="s">
        <v>101</v>
      </c>
      <c r="C2" s="10"/>
      <c r="D2" s="11"/>
      <c r="E2" s="10"/>
      <c r="F2" s="11"/>
      <c r="G2" s="11"/>
      <c r="H2" s="10"/>
      <c r="I2" s="11"/>
      <c r="J2" s="11"/>
      <c r="K2" s="11"/>
      <c r="L2" s="10"/>
      <c r="M2" s="11"/>
      <c r="N2" s="11"/>
      <c r="O2" s="10"/>
      <c r="P2" s="11"/>
      <c r="Q2" s="10"/>
      <c r="R2" s="11"/>
      <c r="S2" s="10"/>
      <c r="T2" s="11"/>
      <c r="U2" s="10"/>
      <c r="V2" s="12"/>
    </row>
    <row r="3" spans="2:22" ht="12.75" customHeight="1">
      <c r="B3" s="13"/>
      <c r="V3" s="14"/>
    </row>
    <row r="4" spans="2:22" s="15" customFormat="1" ht="18" customHeight="1">
      <c r="B4" s="16"/>
      <c r="C4" s="17" t="s">
        <v>102</v>
      </c>
      <c r="D4" s="18"/>
      <c r="E4" s="19" t="str">
        <f>geg!L7</f>
        <v>2010/11</v>
      </c>
      <c r="F4" s="18"/>
      <c r="G4" s="18"/>
      <c r="J4" s="18"/>
      <c r="K4" s="18"/>
      <c r="M4" s="18"/>
      <c r="N4" s="18"/>
      <c r="P4" s="18"/>
      <c r="R4" s="18"/>
      <c r="T4" s="18"/>
      <c r="V4" s="20"/>
    </row>
    <row r="5" spans="2:22" ht="12.75" customHeight="1">
      <c r="B5" s="13"/>
      <c r="V5" s="14"/>
    </row>
    <row r="6" spans="2:22" ht="12.75" customHeight="1">
      <c r="B6" s="13"/>
      <c r="V6" s="14"/>
    </row>
    <row r="7" spans="2:22" ht="12.75" customHeight="1">
      <c r="B7" s="13"/>
      <c r="D7" s="21" t="s">
        <v>103</v>
      </c>
      <c r="E7" s="21" t="s">
        <v>104</v>
      </c>
      <c r="F7" s="21" t="s">
        <v>105</v>
      </c>
      <c r="G7" s="21" t="s">
        <v>106</v>
      </c>
      <c r="H7" s="21"/>
      <c r="I7" s="21" t="s">
        <v>105</v>
      </c>
      <c r="J7" s="21" t="s">
        <v>106</v>
      </c>
      <c r="K7" s="21" t="s">
        <v>107</v>
      </c>
      <c r="L7" s="21"/>
      <c r="M7" s="21" t="s">
        <v>108</v>
      </c>
      <c r="N7" s="21" t="s">
        <v>737</v>
      </c>
      <c r="O7" s="21"/>
      <c r="P7" s="21" t="s">
        <v>737</v>
      </c>
      <c r="Q7" s="21"/>
      <c r="R7" s="21" t="s">
        <v>109</v>
      </c>
      <c r="S7" s="21" t="s">
        <v>109</v>
      </c>
      <c r="T7" s="21" t="s">
        <v>110</v>
      </c>
      <c r="U7" s="102"/>
      <c r="V7" s="14"/>
    </row>
    <row r="8" spans="2:22" ht="12.75" customHeight="1">
      <c r="B8" s="13"/>
      <c r="D8" s="22"/>
      <c r="E8" s="22"/>
      <c r="F8" s="468" t="s">
        <v>111</v>
      </c>
      <c r="G8" s="334" t="s">
        <v>111</v>
      </c>
      <c r="H8" s="22"/>
      <c r="I8" s="52">
        <f>+tabel!D5</f>
        <v>40391</v>
      </c>
      <c r="J8" s="24">
        <f>+tabel!D6</f>
        <v>40755</v>
      </c>
      <c r="K8" s="54">
        <f>J8-I8+1</f>
        <v>365</v>
      </c>
      <c r="L8" s="22"/>
      <c r="M8" s="22"/>
      <c r="N8" s="22"/>
      <c r="O8" s="22"/>
      <c r="P8" s="22" t="s">
        <v>112</v>
      </c>
      <c r="Q8" s="22"/>
      <c r="R8" s="22" t="s">
        <v>113</v>
      </c>
      <c r="S8" s="22" t="s">
        <v>114</v>
      </c>
      <c r="T8" s="327">
        <v>0.727</v>
      </c>
      <c r="U8" s="102"/>
      <c r="V8" s="14"/>
    </row>
    <row r="9" spans="2:22" ht="12.75" customHeight="1">
      <c r="B9" s="13"/>
      <c r="V9" s="14"/>
    </row>
    <row r="10" spans="2:22" ht="12.75" customHeight="1">
      <c r="B10" s="13"/>
      <c r="C10" s="1"/>
      <c r="D10" s="25"/>
      <c r="E10" s="1"/>
      <c r="F10" s="25"/>
      <c r="G10" s="25"/>
      <c r="H10" s="1"/>
      <c r="I10" s="25"/>
      <c r="J10" s="25"/>
      <c r="K10" s="25"/>
      <c r="L10" s="1"/>
      <c r="M10" s="25"/>
      <c r="N10" s="25"/>
      <c r="O10" s="1"/>
      <c r="P10" s="25"/>
      <c r="Q10" s="1"/>
      <c r="R10" s="25"/>
      <c r="S10" s="1"/>
      <c r="T10" s="25"/>
      <c r="U10" s="1"/>
      <c r="V10" s="14"/>
    </row>
    <row r="11" spans="2:22" ht="12.75" customHeight="1">
      <c r="B11" s="13"/>
      <c r="C11" s="1"/>
      <c r="D11" s="27"/>
      <c r="E11" s="27"/>
      <c r="F11" s="28"/>
      <c r="G11" s="28"/>
      <c r="H11" s="25"/>
      <c r="I11" s="29">
        <f aca="true" t="shared" si="0" ref="I11:I42">IF(F11=0,$I$8,F11)</f>
        <v>40391</v>
      </c>
      <c r="J11" s="29">
        <f aca="true" t="shared" si="1" ref="J11:J42">IF(G11=0,$J$8,G11)</f>
        <v>40755</v>
      </c>
      <c r="K11" s="30">
        <f>J11-I11+1</f>
        <v>365</v>
      </c>
      <c r="L11" s="25"/>
      <c r="M11" s="27" t="s">
        <v>670</v>
      </c>
      <c r="N11" s="31">
        <v>33</v>
      </c>
      <c r="O11" s="25"/>
      <c r="P11" s="32">
        <f aca="true" t="shared" si="2" ref="P11:P42">N11*K11/$K$8</f>
        <v>33</v>
      </c>
      <c r="Q11" s="25"/>
      <c r="R11" s="33">
        <f aca="true" t="shared" si="3" ref="R11:R42">IF(P11=0,"",(VLOOKUP(M11,kosten_functies_LB,2,FALSE))*P11)</f>
        <v>33</v>
      </c>
      <c r="S11" s="34">
        <f>IF(P11=0,"",(IF(R11=0,0,R11*geg!$L$27)))</f>
        <v>1990340.7216</v>
      </c>
      <c r="T11" s="35" t="str">
        <f aca="true" t="shared" si="4" ref="T11:T42">IF(S11&gt;=0," ",-S11*$T$8)</f>
        <v> </v>
      </c>
      <c r="U11" s="1"/>
      <c r="V11" s="14"/>
    </row>
    <row r="12" spans="2:22" ht="12.75" customHeight="1">
      <c r="B12" s="13"/>
      <c r="C12" s="1"/>
      <c r="D12" s="27"/>
      <c r="E12" s="27"/>
      <c r="F12" s="28"/>
      <c r="G12" s="28"/>
      <c r="H12" s="1"/>
      <c r="I12" s="29">
        <f t="shared" si="0"/>
        <v>40391</v>
      </c>
      <c r="J12" s="29">
        <f t="shared" si="1"/>
        <v>40755</v>
      </c>
      <c r="K12" s="30">
        <f aca="true" t="shared" si="5" ref="K12:K73">J12-I12+1</f>
        <v>365</v>
      </c>
      <c r="L12" s="1"/>
      <c r="M12" s="27"/>
      <c r="N12" s="31"/>
      <c r="O12" s="1"/>
      <c r="P12" s="32">
        <f t="shared" si="2"/>
        <v>0</v>
      </c>
      <c r="Q12" s="1"/>
      <c r="R12" s="33">
        <f t="shared" si="3"/>
      </c>
      <c r="S12" s="34">
        <f>IF(P12=0,"",(IF(R12=0,0,R12*geg!$L$27)))</f>
      </c>
      <c r="T12" s="35" t="str">
        <f t="shared" si="4"/>
        <v> </v>
      </c>
      <c r="U12" s="1"/>
      <c r="V12" s="14"/>
    </row>
    <row r="13" spans="2:22" ht="12.75" customHeight="1">
      <c r="B13" s="13"/>
      <c r="C13" s="1"/>
      <c r="D13" s="27"/>
      <c r="E13" s="27"/>
      <c r="F13" s="28"/>
      <c r="G13" s="28"/>
      <c r="H13" s="1"/>
      <c r="I13" s="29">
        <f t="shared" si="0"/>
        <v>40391</v>
      </c>
      <c r="J13" s="29">
        <f t="shared" si="1"/>
        <v>40755</v>
      </c>
      <c r="K13" s="30">
        <f t="shared" si="5"/>
        <v>365</v>
      </c>
      <c r="L13" s="1"/>
      <c r="M13" s="27"/>
      <c r="N13" s="31"/>
      <c r="O13" s="1"/>
      <c r="P13" s="32">
        <f t="shared" si="2"/>
        <v>0</v>
      </c>
      <c r="Q13" s="1"/>
      <c r="R13" s="33">
        <f t="shared" si="3"/>
      </c>
      <c r="S13" s="34">
        <f>IF(P13=0,"",(IF(R13=0,0,R13*geg!$L$27)))</f>
      </c>
      <c r="T13" s="35" t="str">
        <f t="shared" si="4"/>
        <v> </v>
      </c>
      <c r="U13" s="1"/>
      <c r="V13" s="14"/>
    </row>
    <row r="14" spans="2:22" ht="12.75" customHeight="1">
      <c r="B14" s="13"/>
      <c r="C14" s="1"/>
      <c r="D14" s="27"/>
      <c r="E14" s="27"/>
      <c r="F14" s="28"/>
      <c r="G14" s="28"/>
      <c r="H14" s="1"/>
      <c r="I14" s="29">
        <f t="shared" si="0"/>
        <v>40391</v>
      </c>
      <c r="J14" s="29">
        <f t="shared" si="1"/>
        <v>40755</v>
      </c>
      <c r="K14" s="30">
        <f t="shared" si="5"/>
        <v>365</v>
      </c>
      <c r="L14" s="1"/>
      <c r="M14" s="27"/>
      <c r="N14" s="31"/>
      <c r="O14" s="1"/>
      <c r="P14" s="32">
        <f t="shared" si="2"/>
        <v>0</v>
      </c>
      <c r="Q14" s="1"/>
      <c r="R14" s="33">
        <f t="shared" si="3"/>
      </c>
      <c r="S14" s="34">
        <f>IF(P14=0,"",(IF(R14=0,0,R14*geg!$L$27)))</f>
      </c>
      <c r="T14" s="35" t="str">
        <f t="shared" si="4"/>
        <v> </v>
      </c>
      <c r="U14" s="1"/>
      <c r="V14" s="14"/>
    </row>
    <row r="15" spans="2:22" ht="12.75" customHeight="1">
      <c r="B15" s="13"/>
      <c r="C15" s="1"/>
      <c r="D15" s="27"/>
      <c r="E15" s="27"/>
      <c r="F15" s="28"/>
      <c r="G15" s="28"/>
      <c r="H15" s="1"/>
      <c r="I15" s="29">
        <f t="shared" si="0"/>
        <v>40391</v>
      </c>
      <c r="J15" s="29">
        <f t="shared" si="1"/>
        <v>40755</v>
      </c>
      <c r="K15" s="30">
        <f t="shared" si="5"/>
        <v>365</v>
      </c>
      <c r="L15" s="1"/>
      <c r="M15" s="27"/>
      <c r="N15" s="31"/>
      <c r="O15" s="1"/>
      <c r="P15" s="32">
        <f t="shared" si="2"/>
        <v>0</v>
      </c>
      <c r="Q15" s="1"/>
      <c r="R15" s="33">
        <f t="shared" si="3"/>
      </c>
      <c r="S15" s="34">
        <f>IF(P15=0,"",(IF(R15=0,0,R15*geg!$L$27)))</f>
      </c>
      <c r="T15" s="35" t="str">
        <f t="shared" si="4"/>
        <v> </v>
      </c>
      <c r="U15" s="1"/>
      <c r="V15" s="14"/>
    </row>
    <row r="16" spans="2:22" ht="12.75" customHeight="1">
      <c r="B16" s="13"/>
      <c r="C16" s="1"/>
      <c r="D16" s="27"/>
      <c r="E16" s="27"/>
      <c r="F16" s="28"/>
      <c r="G16" s="28"/>
      <c r="H16" s="1"/>
      <c r="I16" s="29">
        <f t="shared" si="0"/>
        <v>40391</v>
      </c>
      <c r="J16" s="29">
        <f t="shared" si="1"/>
        <v>40755</v>
      </c>
      <c r="K16" s="30">
        <f t="shared" si="5"/>
        <v>365</v>
      </c>
      <c r="L16" s="1"/>
      <c r="M16" s="27"/>
      <c r="N16" s="31"/>
      <c r="O16" s="1"/>
      <c r="P16" s="32">
        <f t="shared" si="2"/>
        <v>0</v>
      </c>
      <c r="Q16" s="1"/>
      <c r="R16" s="33">
        <f t="shared" si="3"/>
      </c>
      <c r="S16" s="34">
        <f>IF(P16=0,"",(IF(R16=0,0,R16*geg!$L$27)))</f>
      </c>
      <c r="T16" s="35" t="str">
        <f t="shared" si="4"/>
        <v> </v>
      </c>
      <c r="U16" s="1"/>
      <c r="V16" s="14"/>
    </row>
    <row r="17" spans="2:22" ht="12.75" customHeight="1">
      <c r="B17" s="13"/>
      <c r="C17" s="1"/>
      <c r="D17" s="27"/>
      <c r="E17" s="27"/>
      <c r="F17" s="28"/>
      <c r="G17" s="28"/>
      <c r="H17" s="1"/>
      <c r="I17" s="29">
        <f t="shared" si="0"/>
        <v>40391</v>
      </c>
      <c r="J17" s="29">
        <f t="shared" si="1"/>
        <v>40755</v>
      </c>
      <c r="K17" s="30">
        <f t="shared" si="5"/>
        <v>365</v>
      </c>
      <c r="L17" s="1"/>
      <c r="M17" s="27"/>
      <c r="N17" s="31"/>
      <c r="O17" s="1"/>
      <c r="P17" s="32">
        <f t="shared" si="2"/>
        <v>0</v>
      </c>
      <c r="Q17" s="1"/>
      <c r="R17" s="33">
        <f t="shared" si="3"/>
      </c>
      <c r="S17" s="34">
        <f>IF(P17=0,"",(IF(R17=0,0,R17*geg!$L$27)))</f>
      </c>
      <c r="T17" s="35" t="str">
        <f t="shared" si="4"/>
        <v> </v>
      </c>
      <c r="U17" s="1"/>
      <c r="V17" s="14"/>
    </row>
    <row r="18" spans="2:22" ht="12.75" customHeight="1">
      <c r="B18" s="13"/>
      <c r="C18" s="1"/>
      <c r="D18" s="27"/>
      <c r="E18" s="27"/>
      <c r="F18" s="28"/>
      <c r="G18" s="28"/>
      <c r="H18" s="1"/>
      <c r="I18" s="29">
        <f t="shared" si="0"/>
        <v>40391</v>
      </c>
      <c r="J18" s="29">
        <f t="shared" si="1"/>
        <v>40755</v>
      </c>
      <c r="K18" s="30">
        <f t="shared" si="5"/>
        <v>365</v>
      </c>
      <c r="L18" s="1"/>
      <c r="M18" s="27"/>
      <c r="N18" s="31"/>
      <c r="O18" s="1"/>
      <c r="P18" s="32">
        <f t="shared" si="2"/>
        <v>0</v>
      </c>
      <c r="Q18" s="1"/>
      <c r="R18" s="33">
        <f t="shared" si="3"/>
      </c>
      <c r="S18" s="34">
        <f>IF(P18=0,"",(IF(R18=0,0,R18*geg!$L$27)))</f>
      </c>
      <c r="T18" s="35" t="str">
        <f t="shared" si="4"/>
        <v> </v>
      </c>
      <c r="U18" s="1"/>
      <c r="V18" s="14"/>
    </row>
    <row r="19" spans="2:22" ht="12.75" customHeight="1">
      <c r="B19" s="13"/>
      <c r="C19" s="1"/>
      <c r="D19" s="27"/>
      <c r="E19" s="27"/>
      <c r="F19" s="28"/>
      <c r="G19" s="28"/>
      <c r="H19" s="1"/>
      <c r="I19" s="29">
        <f t="shared" si="0"/>
        <v>40391</v>
      </c>
      <c r="J19" s="29">
        <f t="shared" si="1"/>
        <v>40755</v>
      </c>
      <c r="K19" s="30">
        <f t="shared" si="5"/>
        <v>365</v>
      </c>
      <c r="L19" s="1"/>
      <c r="M19" s="27"/>
      <c r="N19" s="31"/>
      <c r="O19" s="1"/>
      <c r="P19" s="32">
        <f t="shared" si="2"/>
        <v>0</v>
      </c>
      <c r="Q19" s="1"/>
      <c r="R19" s="33">
        <f t="shared" si="3"/>
      </c>
      <c r="S19" s="34">
        <f>IF(P19=0,"",(IF(R19=0,0,R19*geg!$L$27)))</f>
      </c>
      <c r="T19" s="35" t="str">
        <f t="shared" si="4"/>
        <v> </v>
      </c>
      <c r="U19" s="1"/>
      <c r="V19" s="14"/>
    </row>
    <row r="20" spans="2:22" ht="12.75" customHeight="1">
      <c r="B20" s="13"/>
      <c r="C20" s="1"/>
      <c r="D20" s="27"/>
      <c r="E20" s="27"/>
      <c r="F20" s="28"/>
      <c r="G20" s="28"/>
      <c r="H20" s="1"/>
      <c r="I20" s="29">
        <f t="shared" si="0"/>
        <v>40391</v>
      </c>
      <c r="J20" s="29">
        <f t="shared" si="1"/>
        <v>40755</v>
      </c>
      <c r="K20" s="30">
        <f t="shared" si="5"/>
        <v>365</v>
      </c>
      <c r="L20" s="1"/>
      <c r="M20" s="27"/>
      <c r="N20" s="31"/>
      <c r="O20" s="1"/>
      <c r="P20" s="32">
        <f t="shared" si="2"/>
        <v>0</v>
      </c>
      <c r="Q20" s="1"/>
      <c r="R20" s="33">
        <f t="shared" si="3"/>
      </c>
      <c r="S20" s="34">
        <f>IF(P20=0,"",(IF(R20=0,0,R20*geg!$L$27)))</f>
      </c>
      <c r="T20" s="35" t="str">
        <f t="shared" si="4"/>
        <v> </v>
      </c>
      <c r="U20" s="1"/>
      <c r="V20" s="14"/>
    </row>
    <row r="21" spans="2:22" ht="12.75" customHeight="1">
      <c r="B21" s="13"/>
      <c r="C21" s="1"/>
      <c r="D21" s="27"/>
      <c r="E21" s="27"/>
      <c r="F21" s="28"/>
      <c r="G21" s="28"/>
      <c r="H21" s="1"/>
      <c r="I21" s="29">
        <f t="shared" si="0"/>
        <v>40391</v>
      </c>
      <c r="J21" s="29">
        <f t="shared" si="1"/>
        <v>40755</v>
      </c>
      <c r="K21" s="30">
        <f t="shared" si="5"/>
        <v>365</v>
      </c>
      <c r="L21" s="1"/>
      <c r="M21" s="27"/>
      <c r="N21" s="31"/>
      <c r="O21" s="1"/>
      <c r="P21" s="32">
        <f t="shared" si="2"/>
        <v>0</v>
      </c>
      <c r="Q21" s="1"/>
      <c r="R21" s="33">
        <f t="shared" si="3"/>
      </c>
      <c r="S21" s="34">
        <f>IF(P21=0,"",(IF(R21=0,0,R21*geg!$L$27)))</f>
      </c>
      <c r="T21" s="35" t="str">
        <f t="shared" si="4"/>
        <v> </v>
      </c>
      <c r="U21" s="1"/>
      <c r="V21" s="14"/>
    </row>
    <row r="22" spans="2:22" ht="12.75" customHeight="1">
      <c r="B22" s="13"/>
      <c r="C22" s="1"/>
      <c r="D22" s="27"/>
      <c r="E22" s="27"/>
      <c r="F22" s="28"/>
      <c r="G22" s="28"/>
      <c r="H22" s="1"/>
      <c r="I22" s="29">
        <f t="shared" si="0"/>
        <v>40391</v>
      </c>
      <c r="J22" s="29">
        <f t="shared" si="1"/>
        <v>40755</v>
      </c>
      <c r="K22" s="30">
        <f t="shared" si="5"/>
        <v>365</v>
      </c>
      <c r="L22" s="1"/>
      <c r="M22" s="27"/>
      <c r="N22" s="31"/>
      <c r="O22" s="1"/>
      <c r="P22" s="32">
        <f t="shared" si="2"/>
        <v>0</v>
      </c>
      <c r="Q22" s="1"/>
      <c r="R22" s="33">
        <f t="shared" si="3"/>
      </c>
      <c r="S22" s="34">
        <f>IF(P22=0,"",(IF(R22=0,0,R22*geg!$L$27)))</f>
      </c>
      <c r="T22" s="35" t="str">
        <f t="shared" si="4"/>
        <v> </v>
      </c>
      <c r="U22" s="1"/>
      <c r="V22" s="14"/>
    </row>
    <row r="23" spans="2:22" ht="12.75" customHeight="1">
      <c r="B23" s="13"/>
      <c r="C23" s="1"/>
      <c r="D23" s="27"/>
      <c r="E23" s="27"/>
      <c r="F23" s="28"/>
      <c r="G23" s="28"/>
      <c r="H23" s="1"/>
      <c r="I23" s="29">
        <f t="shared" si="0"/>
        <v>40391</v>
      </c>
      <c r="J23" s="29">
        <f t="shared" si="1"/>
        <v>40755</v>
      </c>
      <c r="K23" s="30">
        <f t="shared" si="5"/>
        <v>365</v>
      </c>
      <c r="L23" s="1"/>
      <c r="M23" s="27"/>
      <c r="N23" s="31"/>
      <c r="O23" s="1"/>
      <c r="P23" s="32">
        <f t="shared" si="2"/>
        <v>0</v>
      </c>
      <c r="Q23" s="1"/>
      <c r="R23" s="33">
        <f t="shared" si="3"/>
      </c>
      <c r="S23" s="34">
        <f>IF(P23=0,"",(IF(R23=0,0,R23*geg!$L$27)))</f>
      </c>
      <c r="T23" s="35" t="str">
        <f t="shared" si="4"/>
        <v> </v>
      </c>
      <c r="U23" s="1"/>
      <c r="V23" s="14"/>
    </row>
    <row r="24" spans="2:22" ht="12.75" customHeight="1">
      <c r="B24" s="13"/>
      <c r="C24" s="1"/>
      <c r="D24" s="27"/>
      <c r="E24" s="27"/>
      <c r="F24" s="28"/>
      <c r="G24" s="28"/>
      <c r="H24" s="1"/>
      <c r="I24" s="29">
        <f t="shared" si="0"/>
        <v>40391</v>
      </c>
      <c r="J24" s="29">
        <f t="shared" si="1"/>
        <v>40755</v>
      </c>
      <c r="K24" s="30">
        <f t="shared" si="5"/>
        <v>365</v>
      </c>
      <c r="L24" s="1"/>
      <c r="M24" s="27"/>
      <c r="N24" s="31"/>
      <c r="O24" s="1"/>
      <c r="P24" s="32">
        <f t="shared" si="2"/>
        <v>0</v>
      </c>
      <c r="Q24" s="1"/>
      <c r="R24" s="33">
        <f t="shared" si="3"/>
      </c>
      <c r="S24" s="34">
        <f>IF(P24=0,"",(IF(R24=0,0,R24*geg!$L$27)))</f>
      </c>
      <c r="T24" s="35" t="str">
        <f t="shared" si="4"/>
        <v> </v>
      </c>
      <c r="U24" s="1"/>
      <c r="V24" s="14"/>
    </row>
    <row r="25" spans="2:22" ht="12.75" customHeight="1">
      <c r="B25" s="13"/>
      <c r="C25" s="1"/>
      <c r="D25" s="27"/>
      <c r="E25" s="27"/>
      <c r="F25" s="28"/>
      <c r="G25" s="28"/>
      <c r="H25" s="1"/>
      <c r="I25" s="29">
        <f t="shared" si="0"/>
        <v>40391</v>
      </c>
      <c r="J25" s="29">
        <f t="shared" si="1"/>
        <v>40755</v>
      </c>
      <c r="K25" s="30">
        <f t="shared" si="5"/>
        <v>365</v>
      </c>
      <c r="L25" s="1"/>
      <c r="M25" s="27"/>
      <c r="N25" s="31"/>
      <c r="O25" s="1"/>
      <c r="P25" s="32">
        <f t="shared" si="2"/>
        <v>0</v>
      </c>
      <c r="Q25" s="1"/>
      <c r="R25" s="33">
        <f t="shared" si="3"/>
      </c>
      <c r="S25" s="34">
        <f>IF(P25=0,"",(IF(R25=0,0,R25*geg!$L$27)))</f>
      </c>
      <c r="T25" s="35" t="str">
        <f t="shared" si="4"/>
        <v> </v>
      </c>
      <c r="U25" s="1"/>
      <c r="V25" s="14"/>
    </row>
    <row r="26" spans="2:22" ht="12.75" customHeight="1">
      <c r="B26" s="13"/>
      <c r="C26" s="1"/>
      <c r="D26" s="27"/>
      <c r="E26" s="27"/>
      <c r="F26" s="28"/>
      <c r="G26" s="28"/>
      <c r="H26" s="1"/>
      <c r="I26" s="29">
        <f t="shared" si="0"/>
        <v>40391</v>
      </c>
      <c r="J26" s="29">
        <f t="shared" si="1"/>
        <v>40755</v>
      </c>
      <c r="K26" s="30">
        <f t="shared" si="5"/>
        <v>365</v>
      </c>
      <c r="L26" s="1"/>
      <c r="M26" s="27"/>
      <c r="N26" s="31"/>
      <c r="O26" s="1"/>
      <c r="P26" s="32">
        <f t="shared" si="2"/>
        <v>0</v>
      </c>
      <c r="Q26" s="1"/>
      <c r="R26" s="33">
        <f t="shared" si="3"/>
      </c>
      <c r="S26" s="34">
        <f>IF(P26=0,"",(IF(R26=0,0,R26*geg!$L$27)))</f>
      </c>
      <c r="T26" s="35" t="str">
        <f t="shared" si="4"/>
        <v> </v>
      </c>
      <c r="U26" s="1"/>
      <c r="V26" s="14"/>
    </row>
    <row r="27" spans="2:22" ht="12.75" customHeight="1">
      <c r="B27" s="13"/>
      <c r="C27" s="1"/>
      <c r="D27" s="27"/>
      <c r="E27" s="27"/>
      <c r="F27" s="28"/>
      <c r="G27" s="28"/>
      <c r="H27" s="1"/>
      <c r="I27" s="29">
        <f t="shared" si="0"/>
        <v>40391</v>
      </c>
      <c r="J27" s="29">
        <f t="shared" si="1"/>
        <v>40755</v>
      </c>
      <c r="K27" s="30">
        <f t="shared" si="5"/>
        <v>365</v>
      </c>
      <c r="L27" s="1"/>
      <c r="M27" s="27"/>
      <c r="N27" s="31"/>
      <c r="O27" s="1"/>
      <c r="P27" s="32">
        <f t="shared" si="2"/>
        <v>0</v>
      </c>
      <c r="Q27" s="1"/>
      <c r="R27" s="33">
        <f t="shared" si="3"/>
      </c>
      <c r="S27" s="34">
        <f>IF(P27=0,"",(IF(R27=0,0,R27*geg!$L$27)))</f>
      </c>
      <c r="T27" s="35" t="str">
        <f t="shared" si="4"/>
        <v> </v>
      </c>
      <c r="U27" s="1"/>
      <c r="V27" s="14"/>
    </row>
    <row r="28" spans="2:22" ht="12.75" customHeight="1">
      <c r="B28" s="13"/>
      <c r="C28" s="1"/>
      <c r="D28" s="27"/>
      <c r="E28" s="27"/>
      <c r="F28" s="28"/>
      <c r="G28" s="28"/>
      <c r="H28" s="1"/>
      <c r="I28" s="29">
        <f t="shared" si="0"/>
        <v>40391</v>
      </c>
      <c r="J28" s="29">
        <f t="shared" si="1"/>
        <v>40755</v>
      </c>
      <c r="K28" s="30">
        <f t="shared" si="5"/>
        <v>365</v>
      </c>
      <c r="L28" s="1"/>
      <c r="M28" s="27"/>
      <c r="N28" s="31"/>
      <c r="O28" s="1"/>
      <c r="P28" s="32">
        <f t="shared" si="2"/>
        <v>0</v>
      </c>
      <c r="Q28" s="1"/>
      <c r="R28" s="33">
        <f t="shared" si="3"/>
      </c>
      <c r="S28" s="34">
        <f>IF(P28=0,"",(IF(R28=0,0,R28*geg!$L$27)))</f>
      </c>
      <c r="T28" s="35" t="str">
        <f t="shared" si="4"/>
        <v> </v>
      </c>
      <c r="U28" s="1"/>
      <c r="V28" s="14"/>
    </row>
    <row r="29" spans="2:22" ht="12.75" customHeight="1">
      <c r="B29" s="13"/>
      <c r="C29" s="1"/>
      <c r="D29" s="27"/>
      <c r="E29" s="27"/>
      <c r="F29" s="28"/>
      <c r="G29" s="28"/>
      <c r="H29" s="1"/>
      <c r="I29" s="29">
        <f t="shared" si="0"/>
        <v>40391</v>
      </c>
      <c r="J29" s="29">
        <f t="shared" si="1"/>
        <v>40755</v>
      </c>
      <c r="K29" s="30">
        <f t="shared" si="5"/>
        <v>365</v>
      </c>
      <c r="L29" s="1"/>
      <c r="M29" s="27"/>
      <c r="N29" s="31"/>
      <c r="O29" s="1"/>
      <c r="P29" s="32">
        <f t="shared" si="2"/>
        <v>0</v>
      </c>
      <c r="Q29" s="1"/>
      <c r="R29" s="33">
        <f t="shared" si="3"/>
      </c>
      <c r="S29" s="34">
        <f>IF(P29=0,"",(IF(R29=0,0,R29*geg!$L$27)))</f>
      </c>
      <c r="T29" s="35" t="str">
        <f t="shared" si="4"/>
        <v> </v>
      </c>
      <c r="U29" s="1"/>
      <c r="V29" s="14"/>
    </row>
    <row r="30" spans="2:22" ht="12.75" customHeight="1">
      <c r="B30" s="13"/>
      <c r="C30" s="1"/>
      <c r="D30" s="27"/>
      <c r="E30" s="27"/>
      <c r="F30" s="28"/>
      <c r="G30" s="28"/>
      <c r="H30" s="1"/>
      <c r="I30" s="29">
        <f t="shared" si="0"/>
        <v>40391</v>
      </c>
      <c r="J30" s="29">
        <f t="shared" si="1"/>
        <v>40755</v>
      </c>
      <c r="K30" s="30">
        <f t="shared" si="5"/>
        <v>365</v>
      </c>
      <c r="L30" s="1"/>
      <c r="M30" s="27"/>
      <c r="N30" s="31"/>
      <c r="O30" s="1"/>
      <c r="P30" s="32">
        <f t="shared" si="2"/>
        <v>0</v>
      </c>
      <c r="Q30" s="1"/>
      <c r="R30" s="33">
        <f t="shared" si="3"/>
      </c>
      <c r="S30" s="34">
        <f>IF(P30=0,"",(IF(R30=0,0,R30*geg!$L$27)))</f>
      </c>
      <c r="T30" s="35" t="str">
        <f t="shared" si="4"/>
        <v> </v>
      </c>
      <c r="U30" s="1"/>
      <c r="V30" s="14"/>
    </row>
    <row r="31" spans="2:22" ht="12.75" customHeight="1">
      <c r="B31" s="13"/>
      <c r="C31" s="1"/>
      <c r="D31" s="27"/>
      <c r="E31" s="27"/>
      <c r="F31" s="28"/>
      <c r="G31" s="28"/>
      <c r="H31" s="1"/>
      <c r="I31" s="29">
        <f t="shared" si="0"/>
        <v>40391</v>
      </c>
      <c r="J31" s="29">
        <f t="shared" si="1"/>
        <v>40755</v>
      </c>
      <c r="K31" s="30">
        <f t="shared" si="5"/>
        <v>365</v>
      </c>
      <c r="L31" s="1"/>
      <c r="M31" s="27"/>
      <c r="N31" s="31"/>
      <c r="O31" s="1"/>
      <c r="P31" s="32">
        <f t="shared" si="2"/>
        <v>0</v>
      </c>
      <c r="Q31" s="1"/>
      <c r="R31" s="33">
        <f t="shared" si="3"/>
      </c>
      <c r="S31" s="34">
        <f>IF(P31=0,"",(IF(R31=0,0,R31*geg!$L$27)))</f>
      </c>
      <c r="T31" s="35" t="str">
        <f t="shared" si="4"/>
        <v> </v>
      </c>
      <c r="U31" s="1"/>
      <c r="V31" s="14"/>
    </row>
    <row r="32" spans="2:22" ht="12.75" customHeight="1">
      <c r="B32" s="13"/>
      <c r="C32" s="1"/>
      <c r="D32" s="27"/>
      <c r="E32" s="27"/>
      <c r="F32" s="28"/>
      <c r="G32" s="28"/>
      <c r="H32" s="1"/>
      <c r="I32" s="29">
        <f t="shared" si="0"/>
        <v>40391</v>
      </c>
      <c r="J32" s="29">
        <f t="shared" si="1"/>
        <v>40755</v>
      </c>
      <c r="K32" s="30">
        <f t="shared" si="5"/>
        <v>365</v>
      </c>
      <c r="L32" s="1"/>
      <c r="M32" s="27"/>
      <c r="N32" s="31"/>
      <c r="O32" s="1"/>
      <c r="P32" s="32">
        <f t="shared" si="2"/>
        <v>0</v>
      </c>
      <c r="Q32" s="1"/>
      <c r="R32" s="33">
        <f t="shared" si="3"/>
      </c>
      <c r="S32" s="34">
        <f>IF(P32=0,"",(IF(R32=0,0,R32*geg!$L$27)))</f>
      </c>
      <c r="T32" s="35" t="str">
        <f t="shared" si="4"/>
        <v> </v>
      </c>
      <c r="U32" s="1"/>
      <c r="V32" s="14"/>
    </row>
    <row r="33" spans="2:22" ht="12.75" customHeight="1">
      <c r="B33" s="13"/>
      <c r="C33" s="1"/>
      <c r="D33" s="27"/>
      <c r="E33" s="27"/>
      <c r="F33" s="28"/>
      <c r="G33" s="28"/>
      <c r="H33" s="1"/>
      <c r="I33" s="29">
        <f t="shared" si="0"/>
        <v>40391</v>
      </c>
      <c r="J33" s="29">
        <f t="shared" si="1"/>
        <v>40755</v>
      </c>
      <c r="K33" s="30">
        <f t="shared" si="5"/>
        <v>365</v>
      </c>
      <c r="L33" s="1"/>
      <c r="M33" s="27"/>
      <c r="N33" s="31"/>
      <c r="O33" s="1"/>
      <c r="P33" s="32">
        <f t="shared" si="2"/>
        <v>0</v>
      </c>
      <c r="Q33" s="1"/>
      <c r="R33" s="33">
        <f t="shared" si="3"/>
      </c>
      <c r="S33" s="34">
        <f>IF(P33=0,"",(IF(R33=0,0,R33*geg!$L$27)))</f>
      </c>
      <c r="T33" s="35" t="str">
        <f t="shared" si="4"/>
        <v> </v>
      </c>
      <c r="U33" s="1"/>
      <c r="V33" s="14"/>
    </row>
    <row r="34" spans="2:22" ht="12.75" customHeight="1">
      <c r="B34" s="13"/>
      <c r="C34" s="1"/>
      <c r="D34" s="27"/>
      <c r="E34" s="27"/>
      <c r="F34" s="28"/>
      <c r="G34" s="28"/>
      <c r="H34" s="1"/>
      <c r="I34" s="29">
        <f t="shared" si="0"/>
        <v>40391</v>
      </c>
      <c r="J34" s="29">
        <f t="shared" si="1"/>
        <v>40755</v>
      </c>
      <c r="K34" s="30">
        <f t="shared" si="5"/>
        <v>365</v>
      </c>
      <c r="L34" s="1"/>
      <c r="M34" s="27"/>
      <c r="N34" s="31"/>
      <c r="O34" s="1"/>
      <c r="P34" s="32">
        <f t="shared" si="2"/>
        <v>0</v>
      </c>
      <c r="Q34" s="1"/>
      <c r="R34" s="33">
        <f t="shared" si="3"/>
      </c>
      <c r="S34" s="34">
        <f>IF(P34=0,"",(IF(R34=0,0,R34*geg!$L$27)))</f>
      </c>
      <c r="T34" s="35" t="str">
        <f t="shared" si="4"/>
        <v> </v>
      </c>
      <c r="U34" s="1"/>
      <c r="V34" s="14"/>
    </row>
    <row r="35" spans="2:22" ht="12.75" customHeight="1">
      <c r="B35" s="13"/>
      <c r="C35" s="1"/>
      <c r="D35" s="27"/>
      <c r="E35" s="27"/>
      <c r="F35" s="28"/>
      <c r="G35" s="28"/>
      <c r="H35" s="1"/>
      <c r="I35" s="29">
        <f t="shared" si="0"/>
        <v>40391</v>
      </c>
      <c r="J35" s="29">
        <f t="shared" si="1"/>
        <v>40755</v>
      </c>
      <c r="K35" s="30">
        <f t="shared" si="5"/>
        <v>365</v>
      </c>
      <c r="L35" s="1"/>
      <c r="M35" s="27"/>
      <c r="N35" s="31"/>
      <c r="O35" s="1"/>
      <c r="P35" s="32">
        <f t="shared" si="2"/>
        <v>0</v>
      </c>
      <c r="Q35" s="1"/>
      <c r="R35" s="33">
        <f t="shared" si="3"/>
      </c>
      <c r="S35" s="34">
        <f>IF(P35=0,"",(IF(R35=0,0,R35*geg!$L$27)))</f>
      </c>
      <c r="T35" s="35" t="str">
        <f t="shared" si="4"/>
        <v> </v>
      </c>
      <c r="U35" s="1"/>
      <c r="V35" s="14"/>
    </row>
    <row r="36" spans="2:22" ht="12.75" customHeight="1">
      <c r="B36" s="13"/>
      <c r="C36" s="1"/>
      <c r="D36" s="27"/>
      <c r="E36" s="27"/>
      <c r="F36" s="28"/>
      <c r="G36" s="28"/>
      <c r="H36" s="1"/>
      <c r="I36" s="29">
        <f t="shared" si="0"/>
        <v>40391</v>
      </c>
      <c r="J36" s="29">
        <f t="shared" si="1"/>
        <v>40755</v>
      </c>
      <c r="K36" s="30">
        <f t="shared" si="5"/>
        <v>365</v>
      </c>
      <c r="L36" s="1"/>
      <c r="M36" s="27"/>
      <c r="N36" s="31"/>
      <c r="O36" s="1"/>
      <c r="P36" s="32">
        <f t="shared" si="2"/>
        <v>0</v>
      </c>
      <c r="Q36" s="1"/>
      <c r="R36" s="33">
        <f t="shared" si="3"/>
      </c>
      <c r="S36" s="34">
        <f>IF(P36=0,"",(IF(R36=0,0,R36*geg!$L$27)))</f>
      </c>
      <c r="T36" s="35" t="str">
        <f t="shared" si="4"/>
        <v> </v>
      </c>
      <c r="U36" s="1"/>
      <c r="V36" s="14"/>
    </row>
    <row r="37" spans="2:22" ht="12.75" customHeight="1">
      <c r="B37" s="13"/>
      <c r="C37" s="1"/>
      <c r="D37" s="27"/>
      <c r="E37" s="27"/>
      <c r="F37" s="28"/>
      <c r="G37" s="28"/>
      <c r="H37" s="1"/>
      <c r="I37" s="29">
        <f t="shared" si="0"/>
        <v>40391</v>
      </c>
      <c r="J37" s="29">
        <f t="shared" si="1"/>
        <v>40755</v>
      </c>
      <c r="K37" s="30">
        <f t="shared" si="5"/>
        <v>365</v>
      </c>
      <c r="L37" s="1"/>
      <c r="M37" s="27"/>
      <c r="N37" s="31"/>
      <c r="O37" s="1"/>
      <c r="P37" s="32">
        <f t="shared" si="2"/>
        <v>0</v>
      </c>
      <c r="Q37" s="1"/>
      <c r="R37" s="33">
        <f t="shared" si="3"/>
      </c>
      <c r="S37" s="34">
        <f>IF(P37=0,"",(IF(R37=0,0,R37*geg!$L$27)))</f>
      </c>
      <c r="T37" s="35" t="str">
        <f t="shared" si="4"/>
        <v> </v>
      </c>
      <c r="U37" s="1"/>
      <c r="V37" s="14"/>
    </row>
    <row r="38" spans="2:22" ht="12.75" customHeight="1">
      <c r="B38" s="13"/>
      <c r="C38" s="1"/>
      <c r="D38" s="27"/>
      <c r="E38" s="27"/>
      <c r="F38" s="28"/>
      <c r="G38" s="28"/>
      <c r="H38" s="1"/>
      <c r="I38" s="29">
        <f t="shared" si="0"/>
        <v>40391</v>
      </c>
      <c r="J38" s="29">
        <f t="shared" si="1"/>
        <v>40755</v>
      </c>
      <c r="K38" s="30">
        <f t="shared" si="5"/>
        <v>365</v>
      </c>
      <c r="L38" s="1"/>
      <c r="M38" s="27"/>
      <c r="N38" s="31"/>
      <c r="O38" s="1"/>
      <c r="P38" s="32">
        <f t="shared" si="2"/>
        <v>0</v>
      </c>
      <c r="Q38" s="1"/>
      <c r="R38" s="33">
        <f t="shared" si="3"/>
      </c>
      <c r="S38" s="34">
        <f>IF(P38=0,"",(IF(R38=0,0,R38*geg!$L$27)))</f>
      </c>
      <c r="T38" s="35" t="str">
        <f t="shared" si="4"/>
        <v> </v>
      </c>
      <c r="U38" s="1"/>
      <c r="V38" s="14"/>
    </row>
    <row r="39" spans="2:22" ht="12.75" customHeight="1">
      <c r="B39" s="13"/>
      <c r="C39" s="1"/>
      <c r="D39" s="27"/>
      <c r="E39" s="27"/>
      <c r="F39" s="28"/>
      <c r="G39" s="28"/>
      <c r="H39" s="1"/>
      <c r="I39" s="29">
        <f t="shared" si="0"/>
        <v>40391</v>
      </c>
      <c r="J39" s="29">
        <f t="shared" si="1"/>
        <v>40755</v>
      </c>
      <c r="K39" s="30">
        <f t="shared" si="5"/>
        <v>365</v>
      </c>
      <c r="L39" s="1"/>
      <c r="M39" s="27"/>
      <c r="N39" s="31"/>
      <c r="O39" s="1"/>
      <c r="P39" s="32">
        <f t="shared" si="2"/>
        <v>0</v>
      </c>
      <c r="Q39" s="1"/>
      <c r="R39" s="33">
        <f t="shared" si="3"/>
      </c>
      <c r="S39" s="34">
        <f>IF(P39=0,"",(IF(R39=0,0,R39*geg!$L$27)))</f>
      </c>
      <c r="T39" s="35" t="str">
        <f t="shared" si="4"/>
        <v> </v>
      </c>
      <c r="U39" s="1"/>
      <c r="V39" s="14"/>
    </row>
    <row r="40" spans="2:22" ht="12.75" customHeight="1">
      <c r="B40" s="13"/>
      <c r="C40" s="1"/>
      <c r="D40" s="27"/>
      <c r="E40" s="27"/>
      <c r="F40" s="28"/>
      <c r="G40" s="28"/>
      <c r="H40" s="1"/>
      <c r="I40" s="29">
        <f t="shared" si="0"/>
        <v>40391</v>
      </c>
      <c r="J40" s="29">
        <f t="shared" si="1"/>
        <v>40755</v>
      </c>
      <c r="K40" s="30">
        <f t="shared" si="5"/>
        <v>365</v>
      </c>
      <c r="L40" s="1"/>
      <c r="M40" s="27"/>
      <c r="N40" s="31"/>
      <c r="O40" s="1"/>
      <c r="P40" s="32">
        <f t="shared" si="2"/>
        <v>0</v>
      </c>
      <c r="Q40" s="1"/>
      <c r="R40" s="33">
        <f t="shared" si="3"/>
      </c>
      <c r="S40" s="34">
        <f>IF(P40=0,"",(IF(R40=0,0,R40*geg!$L$27)))</f>
      </c>
      <c r="T40" s="35" t="str">
        <f t="shared" si="4"/>
        <v> </v>
      </c>
      <c r="U40" s="1"/>
      <c r="V40" s="14"/>
    </row>
    <row r="41" spans="2:22" ht="12.75" customHeight="1">
      <c r="B41" s="13"/>
      <c r="C41" s="1"/>
      <c r="D41" s="27"/>
      <c r="E41" s="27"/>
      <c r="F41" s="28"/>
      <c r="G41" s="28"/>
      <c r="H41" s="1"/>
      <c r="I41" s="29">
        <f t="shared" si="0"/>
        <v>40391</v>
      </c>
      <c r="J41" s="29">
        <f t="shared" si="1"/>
        <v>40755</v>
      </c>
      <c r="K41" s="30">
        <f t="shared" si="5"/>
        <v>365</v>
      </c>
      <c r="L41" s="1"/>
      <c r="M41" s="27"/>
      <c r="N41" s="31"/>
      <c r="O41" s="1"/>
      <c r="P41" s="32">
        <f t="shared" si="2"/>
        <v>0</v>
      </c>
      <c r="Q41" s="1"/>
      <c r="R41" s="33">
        <f t="shared" si="3"/>
      </c>
      <c r="S41" s="34">
        <f>IF(P41=0,"",(IF(R41=0,0,R41*geg!$L$27)))</f>
      </c>
      <c r="T41" s="35" t="str">
        <f t="shared" si="4"/>
        <v> </v>
      </c>
      <c r="U41" s="1"/>
      <c r="V41" s="14"/>
    </row>
    <row r="42" spans="2:22" ht="12.75" customHeight="1">
      <c r="B42" s="13"/>
      <c r="C42" s="1"/>
      <c r="D42" s="27"/>
      <c r="E42" s="27"/>
      <c r="F42" s="28"/>
      <c r="G42" s="28"/>
      <c r="H42" s="1"/>
      <c r="I42" s="29">
        <f t="shared" si="0"/>
        <v>40391</v>
      </c>
      <c r="J42" s="29">
        <f t="shared" si="1"/>
        <v>40755</v>
      </c>
      <c r="K42" s="30">
        <f t="shared" si="5"/>
        <v>365</v>
      </c>
      <c r="L42" s="1"/>
      <c r="M42" s="27"/>
      <c r="N42" s="31"/>
      <c r="O42" s="1"/>
      <c r="P42" s="32">
        <f t="shared" si="2"/>
        <v>0</v>
      </c>
      <c r="Q42" s="1"/>
      <c r="R42" s="33">
        <f t="shared" si="3"/>
      </c>
      <c r="S42" s="34">
        <f>IF(P42=0,"",(IF(R42=0,0,R42*geg!$L$27)))</f>
      </c>
      <c r="T42" s="35" t="str">
        <f t="shared" si="4"/>
        <v> </v>
      </c>
      <c r="U42" s="1"/>
      <c r="V42" s="14"/>
    </row>
    <row r="43" spans="2:22" ht="12.75" customHeight="1">
      <c r="B43" s="13"/>
      <c r="C43" s="1"/>
      <c r="D43" s="27"/>
      <c r="E43" s="27"/>
      <c r="F43" s="28"/>
      <c r="G43" s="28"/>
      <c r="H43" s="1"/>
      <c r="I43" s="29">
        <f aca="true" t="shared" si="6" ref="I43:I72">IF(F43=0,$I$8,F43)</f>
        <v>40391</v>
      </c>
      <c r="J43" s="29">
        <f aca="true" t="shared" si="7" ref="J43:J72">IF(G43=0,$J$8,G43)</f>
        <v>40755</v>
      </c>
      <c r="K43" s="30">
        <f t="shared" si="5"/>
        <v>365</v>
      </c>
      <c r="L43" s="1"/>
      <c r="M43" s="27"/>
      <c r="N43" s="31"/>
      <c r="O43" s="1"/>
      <c r="P43" s="32">
        <f aca="true" t="shared" si="8" ref="P43:P72">N43*K43/$K$8</f>
        <v>0</v>
      </c>
      <c r="Q43" s="1"/>
      <c r="R43" s="33">
        <f aca="true" t="shared" si="9" ref="R43:R72">IF(P43=0,"",(VLOOKUP(M43,kosten_functies_LB,2,FALSE))*P43)</f>
      </c>
      <c r="S43" s="34">
        <f>IF(P43=0,"",(IF(R43=0,0,R43*geg!$L$27)))</f>
      </c>
      <c r="T43" s="35" t="str">
        <f aca="true" t="shared" si="10" ref="T43:T60">IF(S43&gt;=0," ",-S43*$T$8)</f>
        <v> </v>
      </c>
      <c r="U43" s="1"/>
      <c r="V43" s="14"/>
    </row>
    <row r="44" spans="2:22" ht="12.75" customHeight="1">
      <c r="B44" s="13"/>
      <c r="C44" s="1"/>
      <c r="D44" s="27"/>
      <c r="E44" s="27"/>
      <c r="F44" s="28"/>
      <c r="G44" s="28"/>
      <c r="H44" s="1"/>
      <c r="I44" s="29">
        <f t="shared" si="6"/>
        <v>40391</v>
      </c>
      <c r="J44" s="29">
        <f t="shared" si="7"/>
        <v>40755</v>
      </c>
      <c r="K44" s="30">
        <f t="shared" si="5"/>
        <v>365</v>
      </c>
      <c r="L44" s="1"/>
      <c r="M44" s="27"/>
      <c r="N44" s="31"/>
      <c r="O44" s="1"/>
      <c r="P44" s="32">
        <f t="shared" si="8"/>
        <v>0</v>
      </c>
      <c r="Q44" s="1"/>
      <c r="R44" s="33">
        <f t="shared" si="9"/>
      </c>
      <c r="S44" s="34">
        <f>IF(P44=0,"",(IF(R44=0,0,R44*geg!$L$27)))</f>
      </c>
      <c r="T44" s="35" t="str">
        <f t="shared" si="10"/>
        <v> </v>
      </c>
      <c r="U44" s="1"/>
      <c r="V44" s="14"/>
    </row>
    <row r="45" spans="2:22" ht="12.75" customHeight="1">
      <c r="B45" s="13"/>
      <c r="C45" s="1"/>
      <c r="D45" s="27"/>
      <c r="E45" s="27"/>
      <c r="F45" s="28"/>
      <c r="G45" s="28"/>
      <c r="H45" s="1"/>
      <c r="I45" s="29">
        <f t="shared" si="6"/>
        <v>40391</v>
      </c>
      <c r="J45" s="29">
        <f t="shared" si="7"/>
        <v>40755</v>
      </c>
      <c r="K45" s="30">
        <f t="shared" si="5"/>
        <v>365</v>
      </c>
      <c r="L45" s="1"/>
      <c r="M45" s="27"/>
      <c r="N45" s="31"/>
      <c r="O45" s="1"/>
      <c r="P45" s="32">
        <f t="shared" si="8"/>
        <v>0</v>
      </c>
      <c r="Q45" s="1"/>
      <c r="R45" s="33">
        <f t="shared" si="9"/>
      </c>
      <c r="S45" s="34">
        <f>IF(P45=0,"",(IF(R45=0,0,R45*geg!$L$27)))</f>
      </c>
      <c r="T45" s="35" t="str">
        <f t="shared" si="10"/>
        <v> </v>
      </c>
      <c r="U45" s="1"/>
      <c r="V45" s="14"/>
    </row>
    <row r="46" spans="2:22" ht="12.75" customHeight="1">
      <c r="B46" s="13"/>
      <c r="C46" s="1"/>
      <c r="D46" s="27"/>
      <c r="E46" s="27"/>
      <c r="F46" s="28"/>
      <c r="G46" s="28"/>
      <c r="H46" s="1"/>
      <c r="I46" s="29">
        <f t="shared" si="6"/>
        <v>40391</v>
      </c>
      <c r="J46" s="29">
        <f t="shared" si="7"/>
        <v>40755</v>
      </c>
      <c r="K46" s="30">
        <f t="shared" si="5"/>
        <v>365</v>
      </c>
      <c r="L46" s="1"/>
      <c r="M46" s="27"/>
      <c r="N46" s="31"/>
      <c r="O46" s="1"/>
      <c r="P46" s="32">
        <f t="shared" si="8"/>
        <v>0</v>
      </c>
      <c r="Q46" s="1"/>
      <c r="R46" s="33">
        <f t="shared" si="9"/>
      </c>
      <c r="S46" s="34">
        <f>IF(P46=0,"",(IF(R46=0,0,R46*geg!$L$27)))</f>
      </c>
      <c r="T46" s="35" t="str">
        <f t="shared" si="10"/>
        <v> </v>
      </c>
      <c r="U46" s="1"/>
      <c r="V46" s="14"/>
    </row>
    <row r="47" spans="2:22" ht="12.75" customHeight="1">
      <c r="B47" s="13"/>
      <c r="C47" s="1"/>
      <c r="D47" s="27"/>
      <c r="E47" s="27"/>
      <c r="F47" s="28"/>
      <c r="G47" s="28"/>
      <c r="H47" s="1"/>
      <c r="I47" s="29">
        <f t="shared" si="6"/>
        <v>40391</v>
      </c>
      <c r="J47" s="29">
        <f t="shared" si="7"/>
        <v>40755</v>
      </c>
      <c r="K47" s="30">
        <f t="shared" si="5"/>
        <v>365</v>
      </c>
      <c r="L47" s="1"/>
      <c r="M47" s="27"/>
      <c r="N47" s="31"/>
      <c r="O47" s="1"/>
      <c r="P47" s="32">
        <f t="shared" si="8"/>
        <v>0</v>
      </c>
      <c r="Q47" s="1"/>
      <c r="R47" s="33">
        <f t="shared" si="9"/>
      </c>
      <c r="S47" s="34">
        <f>IF(P47=0,"",(IF(R47=0,0,R47*geg!$L$27)))</f>
      </c>
      <c r="T47" s="35" t="str">
        <f t="shared" si="10"/>
        <v> </v>
      </c>
      <c r="U47" s="1"/>
      <c r="V47" s="14"/>
    </row>
    <row r="48" spans="2:22" ht="12.75" customHeight="1">
      <c r="B48" s="13"/>
      <c r="C48" s="1"/>
      <c r="D48" s="27"/>
      <c r="E48" s="27"/>
      <c r="F48" s="28"/>
      <c r="G48" s="28"/>
      <c r="H48" s="1"/>
      <c r="I48" s="29">
        <f t="shared" si="6"/>
        <v>40391</v>
      </c>
      <c r="J48" s="29">
        <f t="shared" si="7"/>
        <v>40755</v>
      </c>
      <c r="K48" s="30">
        <f t="shared" si="5"/>
        <v>365</v>
      </c>
      <c r="L48" s="1"/>
      <c r="M48" s="27"/>
      <c r="N48" s="31"/>
      <c r="O48" s="1"/>
      <c r="P48" s="32">
        <f t="shared" si="8"/>
        <v>0</v>
      </c>
      <c r="Q48" s="1"/>
      <c r="R48" s="33">
        <f t="shared" si="9"/>
      </c>
      <c r="S48" s="34">
        <f>IF(P48=0,"",(IF(R48=0,0,R48*geg!$L$27)))</f>
      </c>
      <c r="T48" s="35" t="str">
        <f t="shared" si="10"/>
        <v> </v>
      </c>
      <c r="U48" s="1"/>
      <c r="V48" s="14"/>
    </row>
    <row r="49" spans="2:22" ht="12.75" customHeight="1">
      <c r="B49" s="13"/>
      <c r="C49" s="1"/>
      <c r="D49" s="27"/>
      <c r="E49" s="27"/>
      <c r="F49" s="28"/>
      <c r="G49" s="28"/>
      <c r="H49" s="1"/>
      <c r="I49" s="29">
        <f t="shared" si="6"/>
        <v>40391</v>
      </c>
      <c r="J49" s="29">
        <f t="shared" si="7"/>
        <v>40755</v>
      </c>
      <c r="K49" s="30">
        <f t="shared" si="5"/>
        <v>365</v>
      </c>
      <c r="L49" s="1"/>
      <c r="M49" s="27"/>
      <c r="N49" s="31"/>
      <c r="O49" s="1"/>
      <c r="P49" s="32">
        <f t="shared" si="8"/>
        <v>0</v>
      </c>
      <c r="Q49" s="1"/>
      <c r="R49" s="33">
        <f t="shared" si="9"/>
      </c>
      <c r="S49" s="34">
        <f>IF(P49=0,"",(IF(R49=0,0,R49*geg!$L$27)))</f>
      </c>
      <c r="T49" s="35" t="str">
        <f t="shared" si="10"/>
        <v> </v>
      </c>
      <c r="U49" s="1"/>
      <c r="V49" s="14"/>
    </row>
    <row r="50" spans="2:22" ht="12.75" customHeight="1">
      <c r="B50" s="13"/>
      <c r="C50" s="1"/>
      <c r="D50" s="27"/>
      <c r="E50" s="27"/>
      <c r="F50" s="28"/>
      <c r="G50" s="28"/>
      <c r="H50" s="1"/>
      <c r="I50" s="29">
        <f t="shared" si="6"/>
        <v>40391</v>
      </c>
      <c r="J50" s="29">
        <f t="shared" si="7"/>
        <v>40755</v>
      </c>
      <c r="K50" s="30">
        <f t="shared" si="5"/>
        <v>365</v>
      </c>
      <c r="L50" s="1"/>
      <c r="M50" s="27"/>
      <c r="N50" s="31"/>
      <c r="O50" s="1"/>
      <c r="P50" s="32">
        <f t="shared" si="8"/>
        <v>0</v>
      </c>
      <c r="Q50" s="1"/>
      <c r="R50" s="33">
        <f t="shared" si="9"/>
      </c>
      <c r="S50" s="34">
        <f>IF(P50=0,"",(IF(R50=0,0,R50*geg!$L$27)))</f>
      </c>
      <c r="T50" s="35" t="str">
        <f t="shared" si="10"/>
        <v> </v>
      </c>
      <c r="U50" s="1"/>
      <c r="V50" s="14"/>
    </row>
    <row r="51" spans="2:22" ht="12.75" customHeight="1">
      <c r="B51" s="13"/>
      <c r="C51" s="1"/>
      <c r="D51" s="27"/>
      <c r="E51" s="27"/>
      <c r="F51" s="28"/>
      <c r="G51" s="28"/>
      <c r="H51" s="1"/>
      <c r="I51" s="29">
        <f t="shared" si="6"/>
        <v>40391</v>
      </c>
      <c r="J51" s="29">
        <f t="shared" si="7"/>
        <v>40755</v>
      </c>
      <c r="K51" s="30">
        <f t="shared" si="5"/>
        <v>365</v>
      </c>
      <c r="L51" s="1"/>
      <c r="M51" s="27"/>
      <c r="N51" s="31"/>
      <c r="O51" s="1"/>
      <c r="P51" s="32">
        <f t="shared" si="8"/>
        <v>0</v>
      </c>
      <c r="Q51" s="1"/>
      <c r="R51" s="33">
        <f t="shared" si="9"/>
      </c>
      <c r="S51" s="34">
        <f>IF(P51=0,"",(IF(R51=0,0,R51*geg!$L$27)))</f>
      </c>
      <c r="T51" s="35" t="str">
        <f t="shared" si="10"/>
        <v> </v>
      </c>
      <c r="U51" s="1"/>
      <c r="V51" s="14"/>
    </row>
    <row r="52" spans="2:22" ht="12.75" customHeight="1">
      <c r="B52" s="13"/>
      <c r="C52" s="1"/>
      <c r="D52" s="27"/>
      <c r="E52" s="27"/>
      <c r="F52" s="28"/>
      <c r="G52" s="28"/>
      <c r="H52" s="1"/>
      <c r="I52" s="29">
        <f t="shared" si="6"/>
        <v>40391</v>
      </c>
      <c r="J52" s="29">
        <f t="shared" si="7"/>
        <v>40755</v>
      </c>
      <c r="K52" s="30">
        <f t="shared" si="5"/>
        <v>365</v>
      </c>
      <c r="L52" s="1"/>
      <c r="M52" s="27"/>
      <c r="N52" s="31"/>
      <c r="O52" s="1"/>
      <c r="P52" s="32">
        <f t="shared" si="8"/>
        <v>0</v>
      </c>
      <c r="Q52" s="1"/>
      <c r="R52" s="33">
        <f t="shared" si="9"/>
      </c>
      <c r="S52" s="34">
        <f>IF(P52=0,"",(IF(R52=0,0,R52*geg!$L$27)))</f>
      </c>
      <c r="T52" s="35" t="str">
        <f t="shared" si="10"/>
        <v> </v>
      </c>
      <c r="U52" s="1"/>
      <c r="V52" s="14"/>
    </row>
    <row r="53" spans="2:22" ht="12.75" customHeight="1">
      <c r="B53" s="13"/>
      <c r="C53" s="1"/>
      <c r="D53" s="27"/>
      <c r="E53" s="27"/>
      <c r="F53" s="28"/>
      <c r="G53" s="28"/>
      <c r="H53" s="1"/>
      <c r="I53" s="29">
        <f t="shared" si="6"/>
        <v>40391</v>
      </c>
      <c r="J53" s="29">
        <f t="shared" si="7"/>
        <v>40755</v>
      </c>
      <c r="K53" s="30">
        <f t="shared" si="5"/>
        <v>365</v>
      </c>
      <c r="L53" s="1"/>
      <c r="M53" s="27"/>
      <c r="N53" s="31"/>
      <c r="O53" s="1"/>
      <c r="P53" s="32">
        <f t="shared" si="8"/>
        <v>0</v>
      </c>
      <c r="Q53" s="1"/>
      <c r="R53" s="33">
        <f t="shared" si="9"/>
      </c>
      <c r="S53" s="34">
        <f>IF(P53=0,"",(IF(R53=0,0,R53*geg!$L$27)))</f>
      </c>
      <c r="T53" s="35" t="str">
        <f t="shared" si="10"/>
        <v> </v>
      </c>
      <c r="U53" s="1"/>
      <c r="V53" s="14"/>
    </row>
    <row r="54" spans="2:22" ht="12.75" customHeight="1">
      <c r="B54" s="13"/>
      <c r="C54" s="1"/>
      <c r="D54" s="27"/>
      <c r="E54" s="27"/>
      <c r="F54" s="28"/>
      <c r="G54" s="28"/>
      <c r="H54" s="1"/>
      <c r="I54" s="29">
        <f t="shared" si="6"/>
        <v>40391</v>
      </c>
      <c r="J54" s="29">
        <f t="shared" si="7"/>
        <v>40755</v>
      </c>
      <c r="K54" s="30">
        <f t="shared" si="5"/>
        <v>365</v>
      </c>
      <c r="L54" s="1"/>
      <c r="M54" s="27"/>
      <c r="N54" s="31"/>
      <c r="O54" s="1"/>
      <c r="P54" s="32">
        <f t="shared" si="8"/>
        <v>0</v>
      </c>
      <c r="Q54" s="1"/>
      <c r="R54" s="33">
        <f t="shared" si="9"/>
      </c>
      <c r="S54" s="34">
        <f>IF(P54=0,"",(IF(R54=0,0,R54*geg!$L$27)))</f>
      </c>
      <c r="T54" s="35" t="str">
        <f t="shared" si="10"/>
        <v> </v>
      </c>
      <c r="U54" s="1"/>
      <c r="V54" s="14"/>
    </row>
    <row r="55" spans="2:22" ht="12.75" customHeight="1">
      <c r="B55" s="13"/>
      <c r="C55" s="1"/>
      <c r="D55" s="27"/>
      <c r="E55" s="27"/>
      <c r="F55" s="28"/>
      <c r="G55" s="28"/>
      <c r="H55" s="1"/>
      <c r="I55" s="29">
        <f t="shared" si="6"/>
        <v>40391</v>
      </c>
      <c r="J55" s="29">
        <f t="shared" si="7"/>
        <v>40755</v>
      </c>
      <c r="K55" s="30">
        <f t="shared" si="5"/>
        <v>365</v>
      </c>
      <c r="L55" s="1"/>
      <c r="M55" s="27"/>
      <c r="N55" s="31"/>
      <c r="O55" s="1"/>
      <c r="P55" s="32">
        <f t="shared" si="8"/>
        <v>0</v>
      </c>
      <c r="Q55" s="1"/>
      <c r="R55" s="33">
        <f t="shared" si="9"/>
      </c>
      <c r="S55" s="34">
        <f>IF(P55=0,"",(IF(R55=0,0,R55*geg!$L$27)))</f>
      </c>
      <c r="T55" s="35" t="str">
        <f t="shared" si="10"/>
        <v> </v>
      </c>
      <c r="U55" s="1"/>
      <c r="V55" s="14"/>
    </row>
    <row r="56" spans="2:22" ht="12.75" customHeight="1">
      <c r="B56" s="13"/>
      <c r="C56" s="1"/>
      <c r="D56" s="27"/>
      <c r="E56" s="27"/>
      <c r="F56" s="28"/>
      <c r="G56" s="28"/>
      <c r="H56" s="1"/>
      <c r="I56" s="29">
        <f t="shared" si="6"/>
        <v>40391</v>
      </c>
      <c r="J56" s="29">
        <f t="shared" si="7"/>
        <v>40755</v>
      </c>
      <c r="K56" s="30">
        <f t="shared" si="5"/>
        <v>365</v>
      </c>
      <c r="L56" s="1"/>
      <c r="M56" s="27"/>
      <c r="N56" s="31"/>
      <c r="O56" s="1"/>
      <c r="P56" s="32">
        <f t="shared" si="8"/>
        <v>0</v>
      </c>
      <c r="Q56" s="1"/>
      <c r="R56" s="33">
        <f t="shared" si="9"/>
      </c>
      <c r="S56" s="34">
        <f>IF(P56=0,"",(IF(R56=0,0,R56*geg!$L$27)))</f>
      </c>
      <c r="T56" s="35" t="str">
        <f t="shared" si="10"/>
        <v> </v>
      </c>
      <c r="U56" s="1"/>
      <c r="V56" s="14"/>
    </row>
    <row r="57" spans="2:22" ht="12.75" customHeight="1">
      <c r="B57" s="13"/>
      <c r="C57" s="1"/>
      <c r="D57" s="27"/>
      <c r="E57" s="27"/>
      <c r="F57" s="28"/>
      <c r="G57" s="28"/>
      <c r="H57" s="1"/>
      <c r="I57" s="29">
        <f t="shared" si="6"/>
        <v>40391</v>
      </c>
      <c r="J57" s="29">
        <f t="shared" si="7"/>
        <v>40755</v>
      </c>
      <c r="K57" s="30">
        <f t="shared" si="5"/>
        <v>365</v>
      </c>
      <c r="L57" s="1"/>
      <c r="M57" s="27"/>
      <c r="N57" s="31"/>
      <c r="O57" s="1"/>
      <c r="P57" s="32">
        <f t="shared" si="8"/>
        <v>0</v>
      </c>
      <c r="Q57" s="1"/>
      <c r="R57" s="33">
        <f t="shared" si="9"/>
      </c>
      <c r="S57" s="34">
        <f>IF(P57=0,"",(IF(R57=0,0,R57*geg!$L$27)))</f>
      </c>
      <c r="T57" s="35" t="str">
        <f t="shared" si="10"/>
        <v> </v>
      </c>
      <c r="U57" s="1"/>
      <c r="V57" s="14"/>
    </row>
    <row r="58" spans="2:22" ht="12.75" customHeight="1">
      <c r="B58" s="13"/>
      <c r="C58" s="1"/>
      <c r="D58" s="27"/>
      <c r="E58" s="27"/>
      <c r="F58" s="28"/>
      <c r="G58" s="28"/>
      <c r="H58" s="1"/>
      <c r="I58" s="29">
        <f t="shared" si="6"/>
        <v>40391</v>
      </c>
      <c r="J58" s="29">
        <f t="shared" si="7"/>
        <v>40755</v>
      </c>
      <c r="K58" s="30">
        <f t="shared" si="5"/>
        <v>365</v>
      </c>
      <c r="L58" s="1"/>
      <c r="M58" s="27"/>
      <c r="N58" s="31"/>
      <c r="O58" s="1"/>
      <c r="P58" s="32">
        <f t="shared" si="8"/>
        <v>0</v>
      </c>
      <c r="Q58" s="1"/>
      <c r="R58" s="33">
        <f t="shared" si="9"/>
      </c>
      <c r="S58" s="34">
        <f>IF(P58=0,"",(IF(R58=0,0,R58*geg!$L$27)))</f>
      </c>
      <c r="T58" s="35" t="str">
        <f t="shared" si="10"/>
        <v> </v>
      </c>
      <c r="U58" s="1"/>
      <c r="V58" s="14"/>
    </row>
    <row r="59" spans="2:22" ht="12.75" customHeight="1">
      <c r="B59" s="13"/>
      <c r="C59" s="1"/>
      <c r="D59" s="27"/>
      <c r="E59" s="27"/>
      <c r="F59" s="28"/>
      <c r="G59" s="28"/>
      <c r="H59" s="1"/>
      <c r="I59" s="29">
        <f t="shared" si="6"/>
        <v>40391</v>
      </c>
      <c r="J59" s="29">
        <f t="shared" si="7"/>
        <v>40755</v>
      </c>
      <c r="K59" s="30">
        <f t="shared" si="5"/>
        <v>365</v>
      </c>
      <c r="L59" s="1"/>
      <c r="M59" s="27"/>
      <c r="N59" s="31"/>
      <c r="O59" s="1"/>
      <c r="P59" s="32">
        <f t="shared" si="8"/>
        <v>0</v>
      </c>
      <c r="Q59" s="1"/>
      <c r="R59" s="33">
        <f t="shared" si="9"/>
      </c>
      <c r="S59" s="34">
        <f>IF(P59=0,"",(IF(R59=0,0,R59*geg!$L$27)))</f>
      </c>
      <c r="T59" s="35" t="str">
        <f t="shared" si="10"/>
        <v> </v>
      </c>
      <c r="U59" s="1"/>
      <c r="V59" s="14"/>
    </row>
    <row r="60" spans="2:22" ht="12.75" customHeight="1">
      <c r="B60" s="13"/>
      <c r="C60" s="1"/>
      <c r="D60" s="27"/>
      <c r="E60" s="27"/>
      <c r="F60" s="28"/>
      <c r="G60" s="28"/>
      <c r="H60" s="1"/>
      <c r="I60" s="29">
        <f t="shared" si="6"/>
        <v>40391</v>
      </c>
      <c r="J60" s="29">
        <f t="shared" si="7"/>
        <v>40755</v>
      </c>
      <c r="K60" s="30">
        <f t="shared" si="5"/>
        <v>365</v>
      </c>
      <c r="L60" s="1"/>
      <c r="M60" s="27"/>
      <c r="N60" s="31"/>
      <c r="O60" s="1"/>
      <c r="P60" s="32">
        <f t="shared" si="8"/>
        <v>0</v>
      </c>
      <c r="Q60" s="1"/>
      <c r="R60" s="33">
        <f t="shared" si="9"/>
      </c>
      <c r="S60" s="34">
        <f>IF(P60=0,"",(IF(R60=0,0,R60*geg!$L$27)))</f>
      </c>
      <c r="T60" s="35" t="str">
        <f t="shared" si="10"/>
        <v> </v>
      </c>
      <c r="U60" s="1"/>
      <c r="V60" s="14"/>
    </row>
    <row r="61" spans="2:22" ht="12.75" customHeight="1">
      <c r="B61" s="13"/>
      <c r="C61" s="1"/>
      <c r="D61" s="27"/>
      <c r="E61" s="27"/>
      <c r="F61" s="28"/>
      <c r="G61" s="28"/>
      <c r="H61" s="1"/>
      <c r="I61" s="29">
        <f t="shared" si="6"/>
        <v>40391</v>
      </c>
      <c r="J61" s="29">
        <f t="shared" si="7"/>
        <v>40755</v>
      </c>
      <c r="K61" s="30">
        <f t="shared" si="5"/>
        <v>365</v>
      </c>
      <c r="L61" s="1"/>
      <c r="M61" s="27"/>
      <c r="N61" s="31"/>
      <c r="O61" s="1"/>
      <c r="P61" s="32">
        <f t="shared" si="8"/>
        <v>0</v>
      </c>
      <c r="Q61" s="1"/>
      <c r="R61" s="33">
        <f t="shared" si="9"/>
      </c>
      <c r="S61" s="34">
        <f>IF(P61=0,"",(IF(R61=0,0,R61*geg!$L$27)))</f>
      </c>
      <c r="T61" s="35">
        <f aca="true" t="shared" si="11" ref="T61:T92">IF(S61&gt;=0,"",IF(S61&gt;0,"",((IF(R61&gt;0,"",(S61*-1)))))*$T$8)</f>
      </c>
      <c r="U61" s="1"/>
      <c r="V61" s="14"/>
    </row>
    <row r="62" spans="2:22" ht="12.75" customHeight="1">
      <c r="B62" s="13"/>
      <c r="C62" s="1"/>
      <c r="D62" s="27"/>
      <c r="E62" s="27"/>
      <c r="F62" s="28"/>
      <c r="G62" s="28"/>
      <c r="H62" s="1"/>
      <c r="I62" s="29">
        <f t="shared" si="6"/>
        <v>40391</v>
      </c>
      <c r="J62" s="29">
        <f t="shared" si="7"/>
        <v>40755</v>
      </c>
      <c r="K62" s="30">
        <f t="shared" si="5"/>
        <v>365</v>
      </c>
      <c r="L62" s="1"/>
      <c r="M62" s="27"/>
      <c r="N62" s="31"/>
      <c r="O62" s="1"/>
      <c r="P62" s="32">
        <f t="shared" si="8"/>
        <v>0</v>
      </c>
      <c r="Q62" s="1"/>
      <c r="R62" s="33">
        <f t="shared" si="9"/>
      </c>
      <c r="S62" s="34">
        <f>IF(P62=0,"",(IF(R62=0,0,R62*geg!$L$27)))</f>
      </c>
      <c r="T62" s="35">
        <f t="shared" si="11"/>
      </c>
      <c r="U62" s="1"/>
      <c r="V62" s="14"/>
    </row>
    <row r="63" spans="2:22" ht="12.75" customHeight="1">
      <c r="B63" s="13"/>
      <c r="C63" s="1"/>
      <c r="D63" s="27"/>
      <c r="E63" s="27"/>
      <c r="F63" s="28"/>
      <c r="G63" s="28"/>
      <c r="H63" s="1"/>
      <c r="I63" s="29">
        <f t="shared" si="6"/>
        <v>40391</v>
      </c>
      <c r="J63" s="29">
        <f t="shared" si="7"/>
        <v>40755</v>
      </c>
      <c r="K63" s="30">
        <f t="shared" si="5"/>
        <v>365</v>
      </c>
      <c r="L63" s="1"/>
      <c r="M63" s="27"/>
      <c r="N63" s="31"/>
      <c r="O63" s="1"/>
      <c r="P63" s="32">
        <f t="shared" si="8"/>
        <v>0</v>
      </c>
      <c r="Q63" s="1"/>
      <c r="R63" s="33">
        <f t="shared" si="9"/>
      </c>
      <c r="S63" s="34">
        <f>IF(P63=0,"",(IF(R63=0,0,R63*geg!$L$27)))</f>
      </c>
      <c r="T63" s="35">
        <f t="shared" si="11"/>
      </c>
      <c r="U63" s="1"/>
      <c r="V63" s="14"/>
    </row>
    <row r="64" spans="2:22" ht="12.75" customHeight="1">
      <c r="B64" s="13"/>
      <c r="C64" s="1"/>
      <c r="D64" s="27"/>
      <c r="E64" s="27"/>
      <c r="F64" s="28"/>
      <c r="G64" s="28"/>
      <c r="H64" s="1"/>
      <c r="I64" s="29">
        <f t="shared" si="6"/>
        <v>40391</v>
      </c>
      <c r="J64" s="29">
        <f t="shared" si="7"/>
        <v>40755</v>
      </c>
      <c r="K64" s="30">
        <f t="shared" si="5"/>
        <v>365</v>
      </c>
      <c r="L64" s="1"/>
      <c r="M64" s="27"/>
      <c r="N64" s="31"/>
      <c r="O64" s="1"/>
      <c r="P64" s="32">
        <f t="shared" si="8"/>
        <v>0</v>
      </c>
      <c r="Q64" s="1"/>
      <c r="R64" s="33">
        <f t="shared" si="9"/>
      </c>
      <c r="S64" s="34">
        <f>IF(P64=0,"",(IF(R64=0,0,R64*geg!$L$27)))</f>
      </c>
      <c r="T64" s="35">
        <f t="shared" si="11"/>
      </c>
      <c r="U64" s="1"/>
      <c r="V64" s="14"/>
    </row>
    <row r="65" spans="2:22" ht="12.75" customHeight="1">
      <c r="B65" s="13"/>
      <c r="C65" s="1"/>
      <c r="D65" s="27"/>
      <c r="E65" s="27"/>
      <c r="F65" s="28"/>
      <c r="G65" s="28"/>
      <c r="H65" s="1"/>
      <c r="I65" s="29">
        <f t="shared" si="6"/>
        <v>40391</v>
      </c>
      <c r="J65" s="29">
        <f t="shared" si="7"/>
        <v>40755</v>
      </c>
      <c r="K65" s="30">
        <f t="shared" si="5"/>
        <v>365</v>
      </c>
      <c r="L65" s="1"/>
      <c r="M65" s="27"/>
      <c r="N65" s="31"/>
      <c r="O65" s="1"/>
      <c r="P65" s="32">
        <f t="shared" si="8"/>
        <v>0</v>
      </c>
      <c r="Q65" s="1"/>
      <c r="R65" s="33">
        <f t="shared" si="9"/>
      </c>
      <c r="S65" s="34">
        <f>IF(P65=0,"",(IF(R65=0,0,R65*geg!$L$27)))</f>
      </c>
      <c r="T65" s="35">
        <f t="shared" si="11"/>
      </c>
      <c r="U65" s="1"/>
      <c r="V65" s="14"/>
    </row>
    <row r="66" spans="2:22" ht="12.75" customHeight="1">
      <c r="B66" s="13"/>
      <c r="C66" s="1"/>
      <c r="D66" s="27"/>
      <c r="E66" s="27"/>
      <c r="F66" s="28"/>
      <c r="G66" s="28"/>
      <c r="H66" s="1"/>
      <c r="I66" s="29">
        <f t="shared" si="6"/>
        <v>40391</v>
      </c>
      <c r="J66" s="29">
        <f t="shared" si="7"/>
        <v>40755</v>
      </c>
      <c r="K66" s="30">
        <f t="shared" si="5"/>
        <v>365</v>
      </c>
      <c r="L66" s="1"/>
      <c r="M66" s="27"/>
      <c r="N66" s="31"/>
      <c r="O66" s="1"/>
      <c r="P66" s="32">
        <f t="shared" si="8"/>
        <v>0</v>
      </c>
      <c r="Q66" s="1"/>
      <c r="R66" s="33">
        <f t="shared" si="9"/>
      </c>
      <c r="S66" s="34">
        <f>IF(P66=0,"",(IF(R66=0,0,R66*geg!$L$27)))</f>
      </c>
      <c r="T66" s="35">
        <f t="shared" si="11"/>
      </c>
      <c r="U66" s="1"/>
      <c r="V66" s="14"/>
    </row>
    <row r="67" spans="2:22" ht="12.75" customHeight="1">
      <c r="B67" s="13"/>
      <c r="C67" s="1"/>
      <c r="D67" s="27"/>
      <c r="E67" s="27"/>
      <c r="F67" s="28"/>
      <c r="G67" s="28"/>
      <c r="H67" s="1"/>
      <c r="I67" s="29">
        <f t="shared" si="6"/>
        <v>40391</v>
      </c>
      <c r="J67" s="29">
        <f t="shared" si="7"/>
        <v>40755</v>
      </c>
      <c r="K67" s="30">
        <f t="shared" si="5"/>
        <v>365</v>
      </c>
      <c r="L67" s="1"/>
      <c r="M67" s="27"/>
      <c r="N67" s="31"/>
      <c r="O67" s="1"/>
      <c r="P67" s="32">
        <f t="shared" si="8"/>
        <v>0</v>
      </c>
      <c r="Q67" s="1"/>
      <c r="R67" s="33">
        <f t="shared" si="9"/>
      </c>
      <c r="S67" s="34">
        <f>IF(P67=0,"",(IF(R67=0,0,R67*geg!$L$27)))</f>
      </c>
      <c r="T67" s="35">
        <f t="shared" si="11"/>
      </c>
      <c r="U67" s="1"/>
      <c r="V67" s="14"/>
    </row>
    <row r="68" spans="2:22" ht="12.75" customHeight="1">
      <c r="B68" s="13"/>
      <c r="C68" s="1"/>
      <c r="D68" s="27"/>
      <c r="E68" s="27"/>
      <c r="F68" s="28"/>
      <c r="G68" s="28"/>
      <c r="H68" s="1"/>
      <c r="I68" s="29">
        <f t="shared" si="6"/>
        <v>40391</v>
      </c>
      <c r="J68" s="29">
        <f t="shared" si="7"/>
        <v>40755</v>
      </c>
      <c r="K68" s="30">
        <f t="shared" si="5"/>
        <v>365</v>
      </c>
      <c r="L68" s="1"/>
      <c r="M68" s="27"/>
      <c r="N68" s="31"/>
      <c r="O68" s="1"/>
      <c r="P68" s="32">
        <f t="shared" si="8"/>
        <v>0</v>
      </c>
      <c r="Q68" s="1"/>
      <c r="R68" s="33">
        <f t="shared" si="9"/>
      </c>
      <c r="S68" s="34">
        <f>IF(P68=0,"",(IF(R68=0,0,R68*geg!$L$27)))</f>
      </c>
      <c r="T68" s="35">
        <f t="shared" si="11"/>
      </c>
      <c r="U68" s="1"/>
      <c r="V68" s="14"/>
    </row>
    <row r="69" spans="2:22" ht="12.75" customHeight="1">
      <c r="B69" s="13"/>
      <c r="C69" s="1"/>
      <c r="D69" s="27"/>
      <c r="E69" s="27"/>
      <c r="F69" s="28"/>
      <c r="G69" s="28"/>
      <c r="H69" s="1"/>
      <c r="I69" s="29">
        <f t="shared" si="6"/>
        <v>40391</v>
      </c>
      <c r="J69" s="29">
        <f t="shared" si="7"/>
        <v>40755</v>
      </c>
      <c r="K69" s="30">
        <f t="shared" si="5"/>
        <v>365</v>
      </c>
      <c r="L69" s="1"/>
      <c r="M69" s="27"/>
      <c r="N69" s="31"/>
      <c r="O69" s="1"/>
      <c r="P69" s="32">
        <f t="shared" si="8"/>
        <v>0</v>
      </c>
      <c r="Q69" s="1"/>
      <c r="R69" s="33">
        <f t="shared" si="9"/>
      </c>
      <c r="S69" s="34">
        <f>IF(P69=0,"",(IF(R69=0,0,R69*geg!$L$27)))</f>
      </c>
      <c r="T69" s="35">
        <f t="shared" si="11"/>
      </c>
      <c r="U69" s="1"/>
      <c r="V69" s="14"/>
    </row>
    <row r="70" spans="2:22" ht="12.75" customHeight="1">
      <c r="B70" s="13"/>
      <c r="C70" s="1"/>
      <c r="D70" s="27"/>
      <c r="E70" s="27"/>
      <c r="F70" s="28"/>
      <c r="G70" s="28"/>
      <c r="H70" s="1"/>
      <c r="I70" s="29">
        <f t="shared" si="6"/>
        <v>40391</v>
      </c>
      <c r="J70" s="29">
        <f t="shared" si="7"/>
        <v>40755</v>
      </c>
      <c r="K70" s="30">
        <f t="shared" si="5"/>
        <v>365</v>
      </c>
      <c r="L70" s="1"/>
      <c r="M70" s="27"/>
      <c r="N70" s="31"/>
      <c r="O70" s="1"/>
      <c r="P70" s="32">
        <f t="shared" si="8"/>
        <v>0</v>
      </c>
      <c r="Q70" s="1"/>
      <c r="R70" s="33">
        <f t="shared" si="9"/>
      </c>
      <c r="S70" s="34">
        <f>IF(P70=0,"",(IF(R70=0,0,R70*geg!$L$27)))</f>
      </c>
      <c r="T70" s="35">
        <f t="shared" si="11"/>
      </c>
      <c r="U70" s="1"/>
      <c r="V70" s="14"/>
    </row>
    <row r="71" spans="2:22" ht="12.75" customHeight="1">
      <c r="B71" s="13"/>
      <c r="C71" s="1"/>
      <c r="D71" s="27"/>
      <c r="E71" s="27"/>
      <c r="F71" s="28"/>
      <c r="G71" s="28"/>
      <c r="H71" s="1"/>
      <c r="I71" s="29">
        <f t="shared" si="6"/>
        <v>40391</v>
      </c>
      <c r="J71" s="29">
        <f t="shared" si="7"/>
        <v>40755</v>
      </c>
      <c r="K71" s="30">
        <f t="shared" si="5"/>
        <v>365</v>
      </c>
      <c r="L71" s="1"/>
      <c r="M71" s="27"/>
      <c r="N71" s="31"/>
      <c r="O71" s="1"/>
      <c r="P71" s="32">
        <f t="shared" si="8"/>
        <v>0</v>
      </c>
      <c r="Q71" s="1"/>
      <c r="R71" s="33">
        <f t="shared" si="9"/>
      </c>
      <c r="S71" s="34">
        <f>IF(P71=0,"",(IF(R71=0,0,R71*geg!$L$27)))</f>
      </c>
      <c r="T71" s="35">
        <f t="shared" si="11"/>
      </c>
      <c r="U71" s="1"/>
      <c r="V71" s="14"/>
    </row>
    <row r="72" spans="2:22" ht="12.75" customHeight="1">
      <c r="B72" s="13"/>
      <c r="C72" s="1"/>
      <c r="D72" s="27"/>
      <c r="E72" s="27"/>
      <c r="F72" s="28"/>
      <c r="G72" s="28"/>
      <c r="H72" s="1"/>
      <c r="I72" s="29">
        <f t="shared" si="6"/>
        <v>40391</v>
      </c>
      <c r="J72" s="29">
        <f t="shared" si="7"/>
        <v>40755</v>
      </c>
      <c r="K72" s="30">
        <f t="shared" si="5"/>
        <v>365</v>
      </c>
      <c r="L72" s="1"/>
      <c r="M72" s="27"/>
      <c r="N72" s="31"/>
      <c r="O72" s="1"/>
      <c r="P72" s="32">
        <f t="shared" si="8"/>
        <v>0</v>
      </c>
      <c r="Q72" s="1"/>
      <c r="R72" s="33">
        <f t="shared" si="9"/>
      </c>
      <c r="S72" s="34">
        <f>IF(P72=0,"",(IF(R72=0,0,R72*geg!$L$27)))</f>
      </c>
      <c r="T72" s="35">
        <f t="shared" si="11"/>
      </c>
      <c r="U72" s="1"/>
      <c r="V72" s="14"/>
    </row>
    <row r="73" spans="2:22" ht="12.75" customHeight="1">
      <c r="B73" s="13"/>
      <c r="C73" s="1"/>
      <c r="D73" s="27"/>
      <c r="E73" s="27"/>
      <c r="F73" s="28"/>
      <c r="G73" s="28"/>
      <c r="H73" s="1"/>
      <c r="I73" s="29">
        <f aca="true" t="shared" si="12" ref="I73:I104">IF(F73=0,$I$8,F73)</f>
        <v>40391</v>
      </c>
      <c r="J73" s="29">
        <f aca="true" t="shared" si="13" ref="J73:J104">IF(G73=0,$J$8,G73)</f>
        <v>40755</v>
      </c>
      <c r="K73" s="30">
        <f t="shared" si="5"/>
        <v>365</v>
      </c>
      <c r="L73" s="1"/>
      <c r="M73" s="27"/>
      <c r="N73" s="31"/>
      <c r="O73" s="1"/>
      <c r="P73" s="32">
        <f aca="true" t="shared" si="14" ref="P73:P104">N73*K73/$K$8</f>
        <v>0</v>
      </c>
      <c r="Q73" s="1"/>
      <c r="R73" s="33">
        <f aca="true" t="shared" si="15" ref="R73:R104">IF(P73=0,"",(VLOOKUP(M73,kosten_functies_LB,2,FALSE))*P73)</f>
      </c>
      <c r="S73" s="34">
        <f>IF(P73=0,"",(IF(R73=0,0,R73*geg!$L$27)))</f>
      </c>
      <c r="T73" s="35">
        <f t="shared" si="11"/>
      </c>
      <c r="U73" s="1"/>
      <c r="V73" s="14"/>
    </row>
    <row r="74" spans="2:22" ht="12.75" customHeight="1">
      <c r="B74" s="13"/>
      <c r="C74" s="1"/>
      <c r="D74" s="27"/>
      <c r="E74" s="27"/>
      <c r="F74" s="28"/>
      <c r="G74" s="28"/>
      <c r="H74" s="1"/>
      <c r="I74" s="29">
        <f t="shared" si="12"/>
        <v>40391</v>
      </c>
      <c r="J74" s="29">
        <f t="shared" si="13"/>
        <v>40755</v>
      </c>
      <c r="K74" s="30">
        <f aca="true" t="shared" si="16" ref="K74:K109">J74-I74+1</f>
        <v>365</v>
      </c>
      <c r="L74" s="1"/>
      <c r="M74" s="27"/>
      <c r="N74" s="31"/>
      <c r="O74" s="1"/>
      <c r="P74" s="32">
        <f t="shared" si="14"/>
        <v>0</v>
      </c>
      <c r="Q74" s="1"/>
      <c r="R74" s="33">
        <f t="shared" si="15"/>
      </c>
      <c r="S74" s="34">
        <f>IF(P74=0,"",(IF(R74=0,0,R74*geg!$L$27)))</f>
      </c>
      <c r="T74" s="35">
        <f t="shared" si="11"/>
      </c>
      <c r="U74" s="1"/>
      <c r="V74" s="14"/>
    </row>
    <row r="75" spans="2:22" ht="12.75" customHeight="1">
      <c r="B75" s="13"/>
      <c r="C75" s="1"/>
      <c r="D75" s="27"/>
      <c r="E75" s="27"/>
      <c r="F75" s="28"/>
      <c r="G75" s="28"/>
      <c r="H75" s="1"/>
      <c r="I75" s="29">
        <f t="shared" si="12"/>
        <v>40391</v>
      </c>
      <c r="J75" s="29">
        <f t="shared" si="13"/>
        <v>40755</v>
      </c>
      <c r="K75" s="30">
        <f t="shared" si="16"/>
        <v>365</v>
      </c>
      <c r="L75" s="1"/>
      <c r="M75" s="27"/>
      <c r="N75" s="31"/>
      <c r="O75" s="1"/>
      <c r="P75" s="32">
        <f t="shared" si="14"/>
        <v>0</v>
      </c>
      <c r="Q75" s="1"/>
      <c r="R75" s="33">
        <f t="shared" si="15"/>
      </c>
      <c r="S75" s="34">
        <f>IF(P75=0,"",(IF(R75=0,0,R75*geg!$L$27)))</f>
      </c>
      <c r="T75" s="35">
        <f t="shared" si="11"/>
      </c>
      <c r="U75" s="1"/>
      <c r="V75" s="14"/>
    </row>
    <row r="76" spans="2:22" ht="12.75" customHeight="1">
      <c r="B76" s="13"/>
      <c r="C76" s="1"/>
      <c r="D76" s="27"/>
      <c r="E76" s="27"/>
      <c r="F76" s="28"/>
      <c r="G76" s="28"/>
      <c r="H76" s="1"/>
      <c r="I76" s="29">
        <f t="shared" si="12"/>
        <v>40391</v>
      </c>
      <c r="J76" s="29">
        <f t="shared" si="13"/>
        <v>40755</v>
      </c>
      <c r="K76" s="30">
        <f t="shared" si="16"/>
        <v>365</v>
      </c>
      <c r="L76" s="1"/>
      <c r="M76" s="27"/>
      <c r="N76" s="31"/>
      <c r="O76" s="1"/>
      <c r="P76" s="32">
        <f t="shared" si="14"/>
        <v>0</v>
      </c>
      <c r="Q76" s="1"/>
      <c r="R76" s="33">
        <f t="shared" si="15"/>
      </c>
      <c r="S76" s="34">
        <f>IF(P76=0,"",(IF(R76=0,0,R76*geg!$L$27)))</f>
      </c>
      <c r="T76" s="35">
        <f t="shared" si="11"/>
      </c>
      <c r="U76" s="1"/>
      <c r="V76" s="14"/>
    </row>
    <row r="77" spans="2:22" ht="12.75" customHeight="1">
      <c r="B77" s="13"/>
      <c r="C77" s="1"/>
      <c r="D77" s="27"/>
      <c r="E77" s="27"/>
      <c r="F77" s="28"/>
      <c r="G77" s="28"/>
      <c r="H77" s="1"/>
      <c r="I77" s="29">
        <f t="shared" si="12"/>
        <v>40391</v>
      </c>
      <c r="J77" s="29">
        <f t="shared" si="13"/>
        <v>40755</v>
      </c>
      <c r="K77" s="30">
        <f t="shared" si="16"/>
        <v>365</v>
      </c>
      <c r="L77" s="1"/>
      <c r="M77" s="27"/>
      <c r="N77" s="31"/>
      <c r="O77" s="1"/>
      <c r="P77" s="32">
        <f t="shared" si="14"/>
        <v>0</v>
      </c>
      <c r="Q77" s="1"/>
      <c r="R77" s="33">
        <f t="shared" si="15"/>
      </c>
      <c r="S77" s="34">
        <f>IF(P77=0,"",(IF(R77=0,0,R77*geg!$L$27)))</f>
      </c>
      <c r="T77" s="35">
        <f t="shared" si="11"/>
      </c>
      <c r="U77" s="1"/>
      <c r="V77" s="14"/>
    </row>
    <row r="78" spans="2:22" ht="12.75" customHeight="1">
      <c r="B78" s="13"/>
      <c r="C78" s="1"/>
      <c r="D78" s="27"/>
      <c r="E78" s="27"/>
      <c r="F78" s="28"/>
      <c r="G78" s="28"/>
      <c r="H78" s="1"/>
      <c r="I78" s="29">
        <f t="shared" si="12"/>
        <v>40391</v>
      </c>
      <c r="J78" s="29">
        <f t="shared" si="13"/>
        <v>40755</v>
      </c>
      <c r="K78" s="30">
        <f t="shared" si="16"/>
        <v>365</v>
      </c>
      <c r="L78" s="1"/>
      <c r="M78" s="27"/>
      <c r="N78" s="31"/>
      <c r="O78" s="1"/>
      <c r="P78" s="32">
        <f t="shared" si="14"/>
        <v>0</v>
      </c>
      <c r="Q78" s="1"/>
      <c r="R78" s="33">
        <f t="shared" si="15"/>
      </c>
      <c r="S78" s="34">
        <f>IF(P78=0,"",(IF(R78=0,0,R78*geg!$L$27)))</f>
      </c>
      <c r="T78" s="35">
        <f t="shared" si="11"/>
      </c>
      <c r="U78" s="1"/>
      <c r="V78" s="14"/>
    </row>
    <row r="79" spans="2:22" ht="12.75" customHeight="1">
      <c r="B79" s="13"/>
      <c r="C79" s="1"/>
      <c r="D79" s="27"/>
      <c r="E79" s="27"/>
      <c r="F79" s="28"/>
      <c r="G79" s="28"/>
      <c r="H79" s="1"/>
      <c r="I79" s="29">
        <f t="shared" si="12"/>
        <v>40391</v>
      </c>
      <c r="J79" s="29">
        <f t="shared" si="13"/>
        <v>40755</v>
      </c>
      <c r="K79" s="30">
        <f t="shared" si="16"/>
        <v>365</v>
      </c>
      <c r="L79" s="1"/>
      <c r="M79" s="27"/>
      <c r="N79" s="31"/>
      <c r="O79" s="1"/>
      <c r="P79" s="32">
        <f t="shared" si="14"/>
        <v>0</v>
      </c>
      <c r="Q79" s="1"/>
      <c r="R79" s="33">
        <f t="shared" si="15"/>
      </c>
      <c r="S79" s="34">
        <f>IF(P79=0,"",(IF(R79=0,0,R79*geg!$L$27)))</f>
      </c>
      <c r="T79" s="35">
        <f t="shared" si="11"/>
      </c>
      <c r="U79" s="1"/>
      <c r="V79" s="14"/>
    </row>
    <row r="80" spans="2:22" ht="12.75" customHeight="1">
      <c r="B80" s="13"/>
      <c r="C80" s="1"/>
      <c r="D80" s="27"/>
      <c r="E80" s="27"/>
      <c r="F80" s="28"/>
      <c r="G80" s="28"/>
      <c r="H80" s="1"/>
      <c r="I80" s="29">
        <f t="shared" si="12"/>
        <v>40391</v>
      </c>
      <c r="J80" s="29">
        <f t="shared" si="13"/>
        <v>40755</v>
      </c>
      <c r="K80" s="30">
        <f t="shared" si="16"/>
        <v>365</v>
      </c>
      <c r="L80" s="1"/>
      <c r="M80" s="27"/>
      <c r="N80" s="31"/>
      <c r="O80" s="1"/>
      <c r="P80" s="32">
        <f t="shared" si="14"/>
        <v>0</v>
      </c>
      <c r="Q80" s="1"/>
      <c r="R80" s="33">
        <f t="shared" si="15"/>
      </c>
      <c r="S80" s="34">
        <f>IF(P80=0,"",(IF(R80=0,0,R80*geg!$L$27)))</f>
      </c>
      <c r="T80" s="35">
        <f t="shared" si="11"/>
      </c>
      <c r="U80" s="1"/>
      <c r="V80" s="14"/>
    </row>
    <row r="81" spans="2:22" ht="12.75" customHeight="1">
      <c r="B81" s="13"/>
      <c r="C81" s="1"/>
      <c r="D81" s="27"/>
      <c r="E81" s="27"/>
      <c r="F81" s="28"/>
      <c r="G81" s="28"/>
      <c r="H81" s="1"/>
      <c r="I81" s="29">
        <f t="shared" si="12"/>
        <v>40391</v>
      </c>
      <c r="J81" s="29">
        <f t="shared" si="13"/>
        <v>40755</v>
      </c>
      <c r="K81" s="30">
        <f t="shared" si="16"/>
        <v>365</v>
      </c>
      <c r="L81" s="1"/>
      <c r="M81" s="27"/>
      <c r="N81" s="31"/>
      <c r="O81" s="1"/>
      <c r="P81" s="32">
        <f t="shared" si="14"/>
        <v>0</v>
      </c>
      <c r="Q81" s="1"/>
      <c r="R81" s="33">
        <f t="shared" si="15"/>
      </c>
      <c r="S81" s="34">
        <f>IF(P81=0,"",(IF(R81=0,0,R81*geg!$L$27)))</f>
      </c>
      <c r="T81" s="35">
        <f t="shared" si="11"/>
      </c>
      <c r="U81" s="1"/>
      <c r="V81" s="14"/>
    </row>
    <row r="82" spans="2:22" ht="12.75" customHeight="1">
      <c r="B82" s="13"/>
      <c r="C82" s="1"/>
      <c r="D82" s="27"/>
      <c r="E82" s="27"/>
      <c r="F82" s="28"/>
      <c r="G82" s="28"/>
      <c r="H82" s="1"/>
      <c r="I82" s="29">
        <f t="shared" si="12"/>
        <v>40391</v>
      </c>
      <c r="J82" s="29">
        <f t="shared" si="13"/>
        <v>40755</v>
      </c>
      <c r="K82" s="30">
        <f t="shared" si="16"/>
        <v>365</v>
      </c>
      <c r="L82" s="1"/>
      <c r="M82" s="27"/>
      <c r="N82" s="31"/>
      <c r="O82" s="1"/>
      <c r="P82" s="32">
        <f t="shared" si="14"/>
        <v>0</v>
      </c>
      <c r="Q82" s="1"/>
      <c r="R82" s="33">
        <f t="shared" si="15"/>
      </c>
      <c r="S82" s="34">
        <f>IF(P82=0,"",(IF(R82=0,0,R82*geg!$L$27)))</f>
      </c>
      <c r="T82" s="35">
        <f t="shared" si="11"/>
      </c>
      <c r="U82" s="1"/>
      <c r="V82" s="14"/>
    </row>
    <row r="83" spans="2:22" ht="12.75" customHeight="1">
      <c r="B83" s="13"/>
      <c r="C83" s="1"/>
      <c r="D83" s="27"/>
      <c r="E83" s="27"/>
      <c r="F83" s="28"/>
      <c r="G83" s="28"/>
      <c r="H83" s="1"/>
      <c r="I83" s="29">
        <f t="shared" si="12"/>
        <v>40391</v>
      </c>
      <c r="J83" s="29">
        <f t="shared" si="13"/>
        <v>40755</v>
      </c>
      <c r="K83" s="30">
        <f t="shared" si="16"/>
        <v>365</v>
      </c>
      <c r="L83" s="1"/>
      <c r="M83" s="27"/>
      <c r="N83" s="31"/>
      <c r="O83" s="1"/>
      <c r="P83" s="32">
        <f t="shared" si="14"/>
        <v>0</v>
      </c>
      <c r="Q83" s="1"/>
      <c r="R83" s="33">
        <f t="shared" si="15"/>
      </c>
      <c r="S83" s="34">
        <f>IF(P83=0,"",(IF(R83=0,0,R83*geg!$L$27)))</f>
      </c>
      <c r="T83" s="35">
        <f t="shared" si="11"/>
      </c>
      <c r="U83" s="1"/>
      <c r="V83" s="14"/>
    </row>
    <row r="84" spans="2:22" ht="12.75" customHeight="1">
      <c r="B84" s="13"/>
      <c r="C84" s="1"/>
      <c r="D84" s="27"/>
      <c r="E84" s="27"/>
      <c r="F84" s="28"/>
      <c r="G84" s="28"/>
      <c r="H84" s="1"/>
      <c r="I84" s="29">
        <f t="shared" si="12"/>
        <v>40391</v>
      </c>
      <c r="J84" s="29">
        <f t="shared" si="13"/>
        <v>40755</v>
      </c>
      <c r="K84" s="30">
        <f t="shared" si="16"/>
        <v>365</v>
      </c>
      <c r="L84" s="1"/>
      <c r="M84" s="27"/>
      <c r="N84" s="31"/>
      <c r="O84" s="1"/>
      <c r="P84" s="32">
        <f t="shared" si="14"/>
        <v>0</v>
      </c>
      <c r="Q84" s="1"/>
      <c r="R84" s="33">
        <f t="shared" si="15"/>
      </c>
      <c r="S84" s="34">
        <f>IF(P84=0,"",(IF(R84=0,0,R84*geg!$L$27)))</f>
      </c>
      <c r="T84" s="35">
        <f t="shared" si="11"/>
      </c>
      <c r="U84" s="1"/>
      <c r="V84" s="14"/>
    </row>
    <row r="85" spans="2:22" ht="12.75" customHeight="1">
      <c r="B85" s="13"/>
      <c r="C85" s="1"/>
      <c r="D85" s="27"/>
      <c r="E85" s="27"/>
      <c r="F85" s="28"/>
      <c r="G85" s="28"/>
      <c r="H85" s="1"/>
      <c r="I85" s="29">
        <f t="shared" si="12"/>
        <v>40391</v>
      </c>
      <c r="J85" s="29">
        <f t="shared" si="13"/>
        <v>40755</v>
      </c>
      <c r="K85" s="30">
        <f t="shared" si="16"/>
        <v>365</v>
      </c>
      <c r="L85" s="1"/>
      <c r="M85" s="27"/>
      <c r="N85" s="31"/>
      <c r="O85" s="1"/>
      <c r="P85" s="32">
        <f t="shared" si="14"/>
        <v>0</v>
      </c>
      <c r="Q85" s="1"/>
      <c r="R85" s="33">
        <f t="shared" si="15"/>
      </c>
      <c r="S85" s="34">
        <f>IF(P85=0,"",(IF(R85=0,0,R85*geg!$L$27)))</f>
      </c>
      <c r="T85" s="35">
        <f t="shared" si="11"/>
      </c>
      <c r="U85" s="1"/>
      <c r="V85" s="14"/>
    </row>
    <row r="86" spans="2:22" ht="12.75" customHeight="1">
      <c r="B86" s="13"/>
      <c r="C86" s="1"/>
      <c r="D86" s="27"/>
      <c r="E86" s="27"/>
      <c r="F86" s="28"/>
      <c r="G86" s="28"/>
      <c r="H86" s="1"/>
      <c r="I86" s="29">
        <f t="shared" si="12"/>
        <v>40391</v>
      </c>
      <c r="J86" s="29">
        <f t="shared" si="13"/>
        <v>40755</v>
      </c>
      <c r="K86" s="30">
        <f t="shared" si="16"/>
        <v>365</v>
      </c>
      <c r="L86" s="1"/>
      <c r="M86" s="27"/>
      <c r="N86" s="31"/>
      <c r="O86" s="1"/>
      <c r="P86" s="32">
        <f t="shared" si="14"/>
        <v>0</v>
      </c>
      <c r="Q86" s="1"/>
      <c r="R86" s="33">
        <f t="shared" si="15"/>
      </c>
      <c r="S86" s="34">
        <f>IF(P86=0,"",(IF(R86=0,0,R86*geg!$L$27)))</f>
      </c>
      <c r="T86" s="35">
        <f t="shared" si="11"/>
      </c>
      <c r="U86" s="1"/>
      <c r="V86" s="14"/>
    </row>
    <row r="87" spans="2:22" ht="12.75" customHeight="1">
      <c r="B87" s="13"/>
      <c r="C87" s="1"/>
      <c r="D87" s="27"/>
      <c r="E87" s="27"/>
      <c r="F87" s="28"/>
      <c r="G87" s="28"/>
      <c r="H87" s="1"/>
      <c r="I87" s="29">
        <f t="shared" si="12"/>
        <v>40391</v>
      </c>
      <c r="J87" s="29">
        <f t="shared" si="13"/>
        <v>40755</v>
      </c>
      <c r="K87" s="30">
        <f t="shared" si="16"/>
        <v>365</v>
      </c>
      <c r="L87" s="1"/>
      <c r="M87" s="27"/>
      <c r="N87" s="31"/>
      <c r="O87" s="1"/>
      <c r="P87" s="32">
        <f t="shared" si="14"/>
        <v>0</v>
      </c>
      <c r="Q87" s="1"/>
      <c r="R87" s="33">
        <f t="shared" si="15"/>
      </c>
      <c r="S87" s="34">
        <f>IF(P87=0,"",(IF(R87=0,0,R87*geg!$L$27)))</f>
      </c>
      <c r="T87" s="35">
        <f t="shared" si="11"/>
      </c>
      <c r="U87" s="1"/>
      <c r="V87" s="14"/>
    </row>
    <row r="88" spans="2:22" ht="12.75" customHeight="1">
      <c r="B88" s="13"/>
      <c r="C88" s="1"/>
      <c r="D88" s="27"/>
      <c r="E88" s="27"/>
      <c r="F88" s="28"/>
      <c r="G88" s="28"/>
      <c r="H88" s="1"/>
      <c r="I88" s="29">
        <f t="shared" si="12"/>
        <v>40391</v>
      </c>
      <c r="J88" s="29">
        <f t="shared" si="13"/>
        <v>40755</v>
      </c>
      <c r="K88" s="30">
        <f t="shared" si="16"/>
        <v>365</v>
      </c>
      <c r="L88" s="1"/>
      <c r="M88" s="27"/>
      <c r="N88" s="31"/>
      <c r="O88" s="1"/>
      <c r="P88" s="32">
        <f t="shared" si="14"/>
        <v>0</v>
      </c>
      <c r="Q88" s="1"/>
      <c r="R88" s="33">
        <f t="shared" si="15"/>
      </c>
      <c r="S88" s="34">
        <f>IF(P88=0,"",(IF(R88=0,0,R88*geg!$L$27)))</f>
      </c>
      <c r="T88" s="35">
        <f t="shared" si="11"/>
      </c>
      <c r="U88" s="1"/>
      <c r="V88" s="14"/>
    </row>
    <row r="89" spans="2:22" ht="12.75" customHeight="1">
      <c r="B89" s="13"/>
      <c r="C89" s="1"/>
      <c r="D89" s="27"/>
      <c r="E89" s="27"/>
      <c r="F89" s="28"/>
      <c r="G89" s="28"/>
      <c r="H89" s="1"/>
      <c r="I89" s="29">
        <f t="shared" si="12"/>
        <v>40391</v>
      </c>
      <c r="J89" s="29">
        <f t="shared" si="13"/>
        <v>40755</v>
      </c>
      <c r="K89" s="30">
        <f t="shared" si="16"/>
        <v>365</v>
      </c>
      <c r="L89" s="1"/>
      <c r="M89" s="27"/>
      <c r="N89" s="31"/>
      <c r="O89" s="1"/>
      <c r="P89" s="32">
        <f t="shared" si="14"/>
        <v>0</v>
      </c>
      <c r="Q89" s="1"/>
      <c r="R89" s="33">
        <f t="shared" si="15"/>
      </c>
      <c r="S89" s="34">
        <f>IF(P89=0,"",(IF(R89=0,0,R89*geg!$L$27)))</f>
      </c>
      <c r="T89" s="35">
        <f t="shared" si="11"/>
      </c>
      <c r="U89" s="1"/>
      <c r="V89" s="14"/>
    </row>
    <row r="90" spans="2:22" ht="12.75" customHeight="1">
      <c r="B90" s="13"/>
      <c r="C90" s="1"/>
      <c r="D90" s="27"/>
      <c r="E90" s="27"/>
      <c r="F90" s="28"/>
      <c r="G90" s="28"/>
      <c r="H90" s="1"/>
      <c r="I90" s="29">
        <f t="shared" si="12"/>
        <v>40391</v>
      </c>
      <c r="J90" s="29">
        <f t="shared" si="13"/>
        <v>40755</v>
      </c>
      <c r="K90" s="30">
        <f t="shared" si="16"/>
        <v>365</v>
      </c>
      <c r="L90" s="1"/>
      <c r="M90" s="27"/>
      <c r="N90" s="31"/>
      <c r="O90" s="1"/>
      <c r="P90" s="32">
        <f t="shared" si="14"/>
        <v>0</v>
      </c>
      <c r="Q90" s="1"/>
      <c r="R90" s="33">
        <f t="shared" si="15"/>
      </c>
      <c r="S90" s="34">
        <f>IF(P90=0,"",(IF(R90=0,0,R90*geg!$L$27)))</f>
      </c>
      <c r="T90" s="35">
        <f t="shared" si="11"/>
      </c>
      <c r="U90" s="1"/>
      <c r="V90" s="14"/>
    </row>
    <row r="91" spans="2:22" ht="12.75" customHeight="1">
      <c r="B91" s="13"/>
      <c r="C91" s="1"/>
      <c r="D91" s="27"/>
      <c r="E91" s="27"/>
      <c r="F91" s="28"/>
      <c r="G91" s="28"/>
      <c r="H91" s="1"/>
      <c r="I91" s="29">
        <f t="shared" si="12"/>
        <v>40391</v>
      </c>
      <c r="J91" s="29">
        <f t="shared" si="13"/>
        <v>40755</v>
      </c>
      <c r="K91" s="30">
        <f t="shared" si="16"/>
        <v>365</v>
      </c>
      <c r="L91" s="1"/>
      <c r="M91" s="27"/>
      <c r="N91" s="31"/>
      <c r="O91" s="1"/>
      <c r="P91" s="32">
        <f t="shared" si="14"/>
        <v>0</v>
      </c>
      <c r="Q91" s="1"/>
      <c r="R91" s="33">
        <f t="shared" si="15"/>
      </c>
      <c r="S91" s="34">
        <f>IF(P91=0,"",(IF(R91=0,0,R91*geg!$L$27)))</f>
      </c>
      <c r="T91" s="35">
        <f t="shared" si="11"/>
      </c>
      <c r="U91" s="1"/>
      <c r="V91" s="14"/>
    </row>
    <row r="92" spans="2:22" ht="12.75" customHeight="1">
      <c r="B92" s="13"/>
      <c r="C92" s="1"/>
      <c r="D92" s="27"/>
      <c r="E92" s="27"/>
      <c r="F92" s="28"/>
      <c r="G92" s="28"/>
      <c r="H92" s="1"/>
      <c r="I92" s="29">
        <f t="shared" si="12"/>
        <v>40391</v>
      </c>
      <c r="J92" s="29">
        <f t="shared" si="13"/>
        <v>40755</v>
      </c>
      <c r="K92" s="30">
        <f t="shared" si="16"/>
        <v>365</v>
      </c>
      <c r="L92" s="1"/>
      <c r="M92" s="27"/>
      <c r="N92" s="31"/>
      <c r="O92" s="1"/>
      <c r="P92" s="32">
        <f t="shared" si="14"/>
        <v>0</v>
      </c>
      <c r="Q92" s="1"/>
      <c r="R92" s="33">
        <f t="shared" si="15"/>
      </c>
      <c r="S92" s="34">
        <f>IF(P92=0,"",(IF(R92=0,0,R92*geg!$L$27)))</f>
      </c>
      <c r="T92" s="35">
        <f t="shared" si="11"/>
      </c>
      <c r="U92" s="1"/>
      <c r="V92" s="14"/>
    </row>
    <row r="93" spans="2:22" ht="12.75" customHeight="1">
      <c r="B93" s="13"/>
      <c r="C93" s="1"/>
      <c r="D93" s="27"/>
      <c r="E93" s="27"/>
      <c r="F93" s="28"/>
      <c r="G93" s="28"/>
      <c r="H93" s="1"/>
      <c r="I93" s="29">
        <f t="shared" si="12"/>
        <v>40391</v>
      </c>
      <c r="J93" s="29">
        <f t="shared" si="13"/>
        <v>40755</v>
      </c>
      <c r="K93" s="30">
        <f t="shared" si="16"/>
        <v>365</v>
      </c>
      <c r="L93" s="1"/>
      <c r="M93" s="27"/>
      <c r="N93" s="31"/>
      <c r="O93" s="1"/>
      <c r="P93" s="32">
        <f t="shared" si="14"/>
        <v>0</v>
      </c>
      <c r="Q93" s="1"/>
      <c r="R93" s="33">
        <f t="shared" si="15"/>
      </c>
      <c r="S93" s="34">
        <f>IF(P93=0,"",(IF(R93=0,0,R93*geg!$L$27)))</f>
      </c>
      <c r="T93" s="35">
        <f aca="true" t="shared" si="17" ref="T93:T109">IF(S93&gt;=0,"",IF(S93&gt;0,"",((IF(R93&gt;0,"",(S93*-1)))))*$T$8)</f>
      </c>
      <c r="U93" s="1"/>
      <c r="V93" s="14"/>
    </row>
    <row r="94" spans="2:22" ht="12.75" customHeight="1">
      <c r="B94" s="13"/>
      <c r="C94" s="1"/>
      <c r="D94" s="27"/>
      <c r="E94" s="27"/>
      <c r="F94" s="28"/>
      <c r="G94" s="28"/>
      <c r="H94" s="1"/>
      <c r="I94" s="29">
        <f t="shared" si="12"/>
        <v>40391</v>
      </c>
      <c r="J94" s="29">
        <f t="shared" si="13"/>
        <v>40755</v>
      </c>
      <c r="K94" s="30">
        <f t="shared" si="16"/>
        <v>365</v>
      </c>
      <c r="L94" s="1"/>
      <c r="M94" s="27"/>
      <c r="N94" s="31"/>
      <c r="O94" s="1"/>
      <c r="P94" s="32">
        <f t="shared" si="14"/>
        <v>0</v>
      </c>
      <c r="Q94" s="1"/>
      <c r="R94" s="33">
        <f t="shared" si="15"/>
      </c>
      <c r="S94" s="34">
        <f>IF(P94=0,"",(IF(R94=0,0,R94*geg!$L$27)))</f>
      </c>
      <c r="T94" s="35">
        <f t="shared" si="17"/>
      </c>
      <c r="U94" s="1"/>
      <c r="V94" s="14"/>
    </row>
    <row r="95" spans="2:22" ht="12.75" customHeight="1">
      <c r="B95" s="13"/>
      <c r="C95" s="1"/>
      <c r="D95" s="27"/>
      <c r="E95" s="27"/>
      <c r="F95" s="28"/>
      <c r="G95" s="28"/>
      <c r="H95" s="1"/>
      <c r="I95" s="29">
        <f t="shared" si="12"/>
        <v>40391</v>
      </c>
      <c r="J95" s="29">
        <f t="shared" si="13"/>
        <v>40755</v>
      </c>
      <c r="K95" s="30">
        <f t="shared" si="16"/>
        <v>365</v>
      </c>
      <c r="L95" s="1"/>
      <c r="M95" s="27"/>
      <c r="N95" s="31"/>
      <c r="O95" s="1"/>
      <c r="P95" s="32">
        <f t="shared" si="14"/>
        <v>0</v>
      </c>
      <c r="Q95" s="1"/>
      <c r="R95" s="33">
        <f t="shared" si="15"/>
      </c>
      <c r="S95" s="34">
        <f>IF(P95=0,"",(IF(R95=0,0,R95*geg!$L$27)))</f>
      </c>
      <c r="T95" s="35">
        <f t="shared" si="17"/>
      </c>
      <c r="U95" s="1"/>
      <c r="V95" s="14"/>
    </row>
    <row r="96" spans="2:22" ht="12.75" customHeight="1">
      <c r="B96" s="13"/>
      <c r="C96" s="1"/>
      <c r="D96" s="27"/>
      <c r="E96" s="27"/>
      <c r="F96" s="28"/>
      <c r="G96" s="28"/>
      <c r="H96" s="1"/>
      <c r="I96" s="29">
        <f t="shared" si="12"/>
        <v>40391</v>
      </c>
      <c r="J96" s="29">
        <f t="shared" si="13"/>
        <v>40755</v>
      </c>
      <c r="K96" s="30">
        <f t="shared" si="16"/>
        <v>365</v>
      </c>
      <c r="L96" s="1"/>
      <c r="M96" s="27"/>
      <c r="N96" s="31"/>
      <c r="O96" s="1"/>
      <c r="P96" s="32">
        <f t="shared" si="14"/>
        <v>0</v>
      </c>
      <c r="Q96" s="1"/>
      <c r="R96" s="33">
        <f t="shared" si="15"/>
      </c>
      <c r="S96" s="34">
        <f>IF(P96=0,"",(IF(R96=0,0,R96*geg!$L$27)))</f>
      </c>
      <c r="T96" s="35">
        <f t="shared" si="17"/>
      </c>
      <c r="U96" s="1"/>
      <c r="V96" s="14"/>
    </row>
    <row r="97" spans="2:22" ht="12.75" customHeight="1">
      <c r="B97" s="13"/>
      <c r="C97" s="1"/>
      <c r="D97" s="27"/>
      <c r="E97" s="27"/>
      <c r="F97" s="28"/>
      <c r="G97" s="28"/>
      <c r="H97" s="1"/>
      <c r="I97" s="29">
        <f t="shared" si="12"/>
        <v>40391</v>
      </c>
      <c r="J97" s="29">
        <f t="shared" si="13"/>
        <v>40755</v>
      </c>
      <c r="K97" s="30">
        <f t="shared" si="16"/>
        <v>365</v>
      </c>
      <c r="L97" s="1"/>
      <c r="M97" s="27"/>
      <c r="N97" s="31"/>
      <c r="O97" s="1"/>
      <c r="P97" s="32">
        <f t="shared" si="14"/>
        <v>0</v>
      </c>
      <c r="Q97" s="1"/>
      <c r="R97" s="33">
        <f t="shared" si="15"/>
      </c>
      <c r="S97" s="34">
        <f>IF(P97=0,"",(IF(R97=0,0,R97*geg!$L$27)))</f>
      </c>
      <c r="T97" s="35">
        <f t="shared" si="17"/>
      </c>
      <c r="U97" s="1"/>
      <c r="V97" s="14"/>
    </row>
    <row r="98" spans="2:22" ht="12.75" customHeight="1">
      <c r="B98" s="13"/>
      <c r="C98" s="1"/>
      <c r="D98" s="27"/>
      <c r="E98" s="27"/>
      <c r="F98" s="28"/>
      <c r="G98" s="28"/>
      <c r="H98" s="1"/>
      <c r="I98" s="29">
        <f t="shared" si="12"/>
        <v>40391</v>
      </c>
      <c r="J98" s="29">
        <f t="shared" si="13"/>
        <v>40755</v>
      </c>
      <c r="K98" s="30">
        <f t="shared" si="16"/>
        <v>365</v>
      </c>
      <c r="L98" s="1"/>
      <c r="M98" s="27"/>
      <c r="N98" s="31"/>
      <c r="O98" s="1"/>
      <c r="P98" s="32">
        <f t="shared" si="14"/>
        <v>0</v>
      </c>
      <c r="Q98" s="1"/>
      <c r="R98" s="33">
        <f t="shared" si="15"/>
      </c>
      <c r="S98" s="34">
        <f>IF(P98=0,"",(IF(R98=0,0,R98*geg!$L$27)))</f>
      </c>
      <c r="T98" s="35">
        <f t="shared" si="17"/>
      </c>
      <c r="U98" s="1"/>
      <c r="V98" s="14"/>
    </row>
    <row r="99" spans="2:22" ht="12.75" customHeight="1">
      <c r="B99" s="13"/>
      <c r="C99" s="1"/>
      <c r="D99" s="27"/>
      <c r="E99" s="27"/>
      <c r="F99" s="28"/>
      <c r="G99" s="28"/>
      <c r="H99" s="1"/>
      <c r="I99" s="29">
        <f t="shared" si="12"/>
        <v>40391</v>
      </c>
      <c r="J99" s="29">
        <f t="shared" si="13"/>
        <v>40755</v>
      </c>
      <c r="K99" s="30">
        <f t="shared" si="16"/>
        <v>365</v>
      </c>
      <c r="L99" s="1"/>
      <c r="M99" s="27"/>
      <c r="N99" s="31"/>
      <c r="O99" s="1"/>
      <c r="P99" s="32">
        <f t="shared" si="14"/>
        <v>0</v>
      </c>
      <c r="Q99" s="1"/>
      <c r="R99" s="33">
        <f t="shared" si="15"/>
      </c>
      <c r="S99" s="34">
        <f>IF(P99=0,"",(IF(R99=0,0,R99*geg!$L$27)))</f>
      </c>
      <c r="T99" s="35">
        <f t="shared" si="17"/>
      </c>
      <c r="U99" s="1"/>
      <c r="V99" s="14"/>
    </row>
    <row r="100" spans="2:22" ht="12.75" customHeight="1">
      <c r="B100" s="13"/>
      <c r="C100" s="1"/>
      <c r="D100" s="27"/>
      <c r="E100" s="27"/>
      <c r="F100" s="28"/>
      <c r="G100" s="28"/>
      <c r="H100" s="1"/>
      <c r="I100" s="29">
        <f t="shared" si="12"/>
        <v>40391</v>
      </c>
      <c r="J100" s="29">
        <f t="shared" si="13"/>
        <v>40755</v>
      </c>
      <c r="K100" s="30">
        <f t="shared" si="16"/>
        <v>365</v>
      </c>
      <c r="L100" s="1"/>
      <c r="M100" s="27"/>
      <c r="N100" s="31"/>
      <c r="O100" s="1"/>
      <c r="P100" s="32">
        <f t="shared" si="14"/>
        <v>0</v>
      </c>
      <c r="Q100" s="1"/>
      <c r="R100" s="33">
        <f t="shared" si="15"/>
      </c>
      <c r="S100" s="34">
        <f>IF(P100=0,"",(IF(R100=0,0,R100*geg!$L$27)))</f>
      </c>
      <c r="T100" s="35">
        <f t="shared" si="17"/>
      </c>
      <c r="U100" s="1"/>
      <c r="V100" s="14"/>
    </row>
    <row r="101" spans="2:22" ht="12.75" customHeight="1">
      <c r="B101" s="13"/>
      <c r="C101" s="1"/>
      <c r="D101" s="27"/>
      <c r="E101" s="27"/>
      <c r="F101" s="28"/>
      <c r="G101" s="28"/>
      <c r="H101" s="1"/>
      <c r="I101" s="29">
        <f t="shared" si="12"/>
        <v>40391</v>
      </c>
      <c r="J101" s="29">
        <f t="shared" si="13"/>
        <v>40755</v>
      </c>
      <c r="K101" s="30">
        <f t="shared" si="16"/>
        <v>365</v>
      </c>
      <c r="L101" s="1"/>
      <c r="M101" s="27"/>
      <c r="N101" s="31"/>
      <c r="O101" s="1"/>
      <c r="P101" s="32">
        <f t="shared" si="14"/>
        <v>0</v>
      </c>
      <c r="Q101" s="1"/>
      <c r="R101" s="33">
        <f t="shared" si="15"/>
      </c>
      <c r="S101" s="34">
        <f>IF(P101=0,"",(IF(R101=0,0,R101*geg!$L$27)))</f>
      </c>
      <c r="T101" s="35">
        <f t="shared" si="17"/>
      </c>
      <c r="U101" s="1"/>
      <c r="V101" s="14"/>
    </row>
    <row r="102" spans="2:22" ht="12.75" customHeight="1">
      <c r="B102" s="13"/>
      <c r="C102" s="1"/>
      <c r="D102" s="27"/>
      <c r="E102" s="27"/>
      <c r="F102" s="28"/>
      <c r="G102" s="28"/>
      <c r="H102" s="1"/>
      <c r="I102" s="29">
        <f t="shared" si="12"/>
        <v>40391</v>
      </c>
      <c r="J102" s="29">
        <f t="shared" si="13"/>
        <v>40755</v>
      </c>
      <c r="K102" s="30">
        <f t="shared" si="16"/>
        <v>365</v>
      </c>
      <c r="L102" s="1"/>
      <c r="M102" s="27"/>
      <c r="N102" s="31"/>
      <c r="O102" s="1"/>
      <c r="P102" s="32">
        <f t="shared" si="14"/>
        <v>0</v>
      </c>
      <c r="Q102" s="1"/>
      <c r="R102" s="33">
        <f t="shared" si="15"/>
      </c>
      <c r="S102" s="34">
        <f>IF(P102=0,"",(IF(R102=0,0,R102*geg!$L$27)))</f>
      </c>
      <c r="T102" s="35">
        <f t="shared" si="17"/>
      </c>
      <c r="U102" s="1"/>
      <c r="V102" s="14"/>
    </row>
    <row r="103" spans="2:22" ht="12.75" customHeight="1">
      <c r="B103" s="13"/>
      <c r="C103" s="1"/>
      <c r="D103" s="27"/>
      <c r="E103" s="27"/>
      <c r="F103" s="28"/>
      <c r="G103" s="28"/>
      <c r="H103" s="1"/>
      <c r="I103" s="29">
        <f t="shared" si="12"/>
        <v>40391</v>
      </c>
      <c r="J103" s="29">
        <f t="shared" si="13"/>
        <v>40755</v>
      </c>
      <c r="K103" s="30">
        <f t="shared" si="16"/>
        <v>365</v>
      </c>
      <c r="L103" s="1"/>
      <c r="M103" s="27"/>
      <c r="N103" s="31"/>
      <c r="O103" s="1"/>
      <c r="P103" s="32">
        <f t="shared" si="14"/>
        <v>0</v>
      </c>
      <c r="Q103" s="1"/>
      <c r="R103" s="33">
        <f t="shared" si="15"/>
      </c>
      <c r="S103" s="34">
        <f>IF(P103=0,"",(IF(R103=0,0,R103*geg!$L$27)))</f>
      </c>
      <c r="T103" s="35">
        <f t="shared" si="17"/>
      </c>
      <c r="U103" s="1"/>
      <c r="V103" s="14"/>
    </row>
    <row r="104" spans="2:22" ht="12.75" customHeight="1">
      <c r="B104" s="13"/>
      <c r="C104" s="1"/>
      <c r="D104" s="27"/>
      <c r="E104" s="27"/>
      <c r="F104" s="28"/>
      <c r="G104" s="28"/>
      <c r="H104" s="1"/>
      <c r="I104" s="29">
        <f t="shared" si="12"/>
        <v>40391</v>
      </c>
      <c r="J104" s="29">
        <f t="shared" si="13"/>
        <v>40755</v>
      </c>
      <c r="K104" s="30">
        <f t="shared" si="16"/>
        <v>365</v>
      </c>
      <c r="L104" s="1"/>
      <c r="M104" s="27"/>
      <c r="N104" s="31"/>
      <c r="O104" s="1"/>
      <c r="P104" s="32">
        <f t="shared" si="14"/>
        <v>0</v>
      </c>
      <c r="Q104" s="1"/>
      <c r="R104" s="33">
        <f t="shared" si="15"/>
      </c>
      <c r="S104" s="34">
        <f>IF(P104=0,"",(IF(R104=0,0,R104*geg!$L$27)))</f>
      </c>
      <c r="T104" s="35">
        <f t="shared" si="17"/>
      </c>
      <c r="U104" s="1"/>
      <c r="V104" s="14"/>
    </row>
    <row r="105" spans="2:22" ht="12.75" customHeight="1">
      <c r="B105" s="13"/>
      <c r="C105" s="1"/>
      <c r="D105" s="27"/>
      <c r="E105" s="27"/>
      <c r="F105" s="28"/>
      <c r="G105" s="28"/>
      <c r="H105" s="1"/>
      <c r="I105" s="29">
        <f>IF(F105=0,$I$8,F105)</f>
        <v>40391</v>
      </c>
      <c r="J105" s="29">
        <f>IF(G105=0,$J$8,G105)</f>
        <v>40755</v>
      </c>
      <c r="K105" s="30">
        <f t="shared" si="16"/>
        <v>365</v>
      </c>
      <c r="L105" s="1"/>
      <c r="M105" s="27"/>
      <c r="N105" s="31"/>
      <c r="O105" s="1"/>
      <c r="P105" s="32">
        <f>N105*K105/$K$8</f>
        <v>0</v>
      </c>
      <c r="Q105" s="1"/>
      <c r="R105" s="33">
        <f>IF(P105=0,"",(VLOOKUP(M105,kosten_functies_LB,2,FALSE))*P105)</f>
      </c>
      <c r="S105" s="34">
        <f>IF(P105=0,"",(IF(R105=0,0,R105*geg!$L$27)))</f>
      </c>
      <c r="T105" s="35">
        <f t="shared" si="17"/>
      </c>
      <c r="U105" s="1"/>
      <c r="V105" s="14"/>
    </row>
    <row r="106" spans="2:22" ht="12.75" customHeight="1">
      <c r="B106" s="13"/>
      <c r="C106" s="1"/>
      <c r="D106" s="27"/>
      <c r="E106" s="27"/>
      <c r="F106" s="28"/>
      <c r="G106" s="28"/>
      <c r="H106" s="1"/>
      <c r="I106" s="29">
        <f>IF(F106=0,$I$8,F106)</f>
        <v>40391</v>
      </c>
      <c r="J106" s="29">
        <f>IF(G106=0,$J$8,G106)</f>
        <v>40755</v>
      </c>
      <c r="K106" s="30">
        <f t="shared" si="16"/>
        <v>365</v>
      </c>
      <c r="L106" s="1"/>
      <c r="M106" s="27"/>
      <c r="N106" s="31"/>
      <c r="O106" s="1"/>
      <c r="P106" s="32">
        <f>N106*K106/$K$8</f>
        <v>0</v>
      </c>
      <c r="Q106" s="1"/>
      <c r="R106" s="33">
        <f>IF(P106=0,"",(VLOOKUP(M106,kosten_functies_LB,2,FALSE))*P106)</f>
      </c>
      <c r="S106" s="34">
        <f>IF(P106=0,"",(IF(R106=0,0,R106*geg!$L$27)))</f>
      </c>
      <c r="T106" s="35">
        <f t="shared" si="17"/>
      </c>
      <c r="U106" s="1"/>
      <c r="V106" s="14"/>
    </row>
    <row r="107" spans="2:22" ht="12.75" customHeight="1">
      <c r="B107" s="13"/>
      <c r="C107" s="1"/>
      <c r="D107" s="27"/>
      <c r="E107" s="27"/>
      <c r="F107" s="28"/>
      <c r="G107" s="28"/>
      <c r="H107" s="1"/>
      <c r="I107" s="29">
        <f>IF(F107=0,$I$8,F107)</f>
        <v>40391</v>
      </c>
      <c r="J107" s="29">
        <f>IF(G107=0,$J$8,G107)</f>
        <v>40755</v>
      </c>
      <c r="K107" s="30">
        <f t="shared" si="16"/>
        <v>365</v>
      </c>
      <c r="L107" s="1"/>
      <c r="M107" s="27"/>
      <c r="N107" s="31"/>
      <c r="O107" s="1"/>
      <c r="P107" s="32">
        <f>N107*K107/$K$8</f>
        <v>0</v>
      </c>
      <c r="Q107" s="1"/>
      <c r="R107" s="33">
        <f>IF(P107=0,"",(VLOOKUP(M107,kosten_functies_LB,2,FALSE))*P107)</f>
      </c>
      <c r="S107" s="34">
        <f>IF(P107=0,"",(IF(R107=0,0,R107*geg!$L$27)))</f>
      </c>
      <c r="T107" s="35">
        <f t="shared" si="17"/>
      </c>
      <c r="U107" s="1"/>
      <c r="V107" s="14"/>
    </row>
    <row r="108" spans="2:22" ht="12.75" customHeight="1">
      <c r="B108" s="13"/>
      <c r="C108" s="1"/>
      <c r="D108" s="27"/>
      <c r="E108" s="27"/>
      <c r="F108" s="28"/>
      <c r="G108" s="28"/>
      <c r="H108" s="1"/>
      <c r="I108" s="29">
        <f>IF(F108=0,$I$8,F108)</f>
        <v>40391</v>
      </c>
      <c r="J108" s="29">
        <f>IF(G108=0,$J$8,G108)</f>
        <v>40755</v>
      </c>
      <c r="K108" s="30">
        <f t="shared" si="16"/>
        <v>365</v>
      </c>
      <c r="L108" s="1"/>
      <c r="M108" s="27"/>
      <c r="N108" s="31"/>
      <c r="O108" s="1"/>
      <c r="P108" s="32">
        <f>N108*K108/$K$8</f>
        <v>0</v>
      </c>
      <c r="Q108" s="1"/>
      <c r="R108" s="33">
        <f>IF(P108=0,"",(VLOOKUP(M108,kosten_functies_LB,2,FALSE))*P108)</f>
      </c>
      <c r="S108" s="34">
        <f>IF(P108=0,"",(IF(R108=0,0,R108*geg!$L$27)))</f>
      </c>
      <c r="T108" s="35">
        <f t="shared" si="17"/>
      </c>
      <c r="U108" s="1"/>
      <c r="V108" s="14"/>
    </row>
    <row r="109" spans="2:22" ht="12.75" customHeight="1">
      <c r="B109" s="13"/>
      <c r="C109" s="1"/>
      <c r="D109" s="27"/>
      <c r="E109" s="27"/>
      <c r="F109" s="28"/>
      <c r="G109" s="28"/>
      <c r="H109" s="1"/>
      <c r="I109" s="29">
        <f>IF(F109=0,$I$8,F109)</f>
        <v>40391</v>
      </c>
      <c r="J109" s="29">
        <f>IF(G109=0,$J$8,G109)</f>
        <v>40755</v>
      </c>
      <c r="K109" s="30">
        <f t="shared" si="16"/>
        <v>365</v>
      </c>
      <c r="L109" s="1"/>
      <c r="M109" s="27"/>
      <c r="N109" s="31"/>
      <c r="O109" s="1"/>
      <c r="P109" s="32">
        <f>N109*K109/$K$8</f>
        <v>0</v>
      </c>
      <c r="Q109" s="1"/>
      <c r="R109" s="33">
        <f>IF(P109=0,"",(VLOOKUP(M109,kosten_functies_LB,2,FALSE))*P109)</f>
      </c>
      <c r="S109" s="34">
        <f>IF(P109=0,"",(IF(R109=0,0,R109*geg!$L$27)))</f>
      </c>
      <c r="T109" s="35">
        <f t="shared" si="17"/>
      </c>
      <c r="U109" s="1"/>
      <c r="V109" s="14"/>
    </row>
    <row r="110" spans="2:22" s="36" customFormat="1" ht="12.75" customHeight="1">
      <c r="B110" s="37"/>
      <c r="C110" s="3"/>
      <c r="D110" s="4"/>
      <c r="E110" s="3"/>
      <c r="F110" s="38"/>
      <c r="G110" s="38"/>
      <c r="H110" s="3"/>
      <c r="I110" s="38"/>
      <c r="J110" s="38"/>
      <c r="K110" s="39"/>
      <c r="L110" s="3"/>
      <c r="M110" s="4"/>
      <c r="N110" s="40"/>
      <c r="O110" s="3"/>
      <c r="P110" s="41">
        <f>SUM(P11:P109)</f>
        <v>33</v>
      </c>
      <c r="Q110" s="3"/>
      <c r="R110" s="42">
        <f>SUM(R11:R109)</f>
        <v>33</v>
      </c>
      <c r="S110" s="43">
        <f>SUM(S11:S109)</f>
        <v>1990340.7216</v>
      </c>
      <c r="T110" s="43">
        <f>SUM(T11:T109)</f>
        <v>0</v>
      </c>
      <c r="U110" s="3"/>
      <c r="V110" s="44"/>
    </row>
    <row r="111" spans="2:22" ht="12.75" customHeight="1">
      <c r="B111" s="13"/>
      <c r="C111" s="1"/>
      <c r="D111" s="25"/>
      <c r="E111" s="1"/>
      <c r="F111" s="25"/>
      <c r="G111" s="45"/>
      <c r="H111" s="1"/>
      <c r="I111" s="25"/>
      <c r="J111" s="45"/>
      <c r="K111" s="45"/>
      <c r="L111" s="1"/>
      <c r="M111" s="25"/>
      <c r="N111" s="25"/>
      <c r="O111" s="1"/>
      <c r="P111" s="25"/>
      <c r="Q111" s="1"/>
      <c r="R111" s="25"/>
      <c r="S111" s="1"/>
      <c r="T111" s="25"/>
      <c r="U111" s="1"/>
      <c r="V111" s="14"/>
    </row>
    <row r="112" spans="2:22" ht="12.75" customHeight="1" thickBot="1">
      <c r="B112" s="48"/>
      <c r="C112" s="49"/>
      <c r="D112" s="50"/>
      <c r="E112" s="49"/>
      <c r="F112" s="50"/>
      <c r="G112" s="50"/>
      <c r="H112" s="49"/>
      <c r="I112" s="50"/>
      <c r="J112" s="50"/>
      <c r="K112" s="50"/>
      <c r="L112" s="49"/>
      <c r="M112" s="50"/>
      <c r="N112" s="50"/>
      <c r="O112" s="49"/>
      <c r="P112" s="50"/>
      <c r="Q112" s="49"/>
      <c r="R112" s="50"/>
      <c r="S112" s="49"/>
      <c r="T112" s="50"/>
      <c r="U112" s="49"/>
      <c r="V112" s="51"/>
    </row>
  </sheetData>
  <sheetProtection password="DE55" sheet="1" objects="1" scenarios="1"/>
  <dataValidations count="3">
    <dataValidation type="list" allowBlank="1" showInputMessage="1" showErrorMessage="1" sqref="M110">
      <formula1>"AA,AB,AC,AD,AE,DA,DB,Dbuit,DC,Dcuit,DE,LA,LB,LC,LD,LE,LIOa,LIOb,1,2,3,4,5,6,7,8,9,10,11,12,13,14,15"</formula1>
    </dataValidation>
    <dataValidation type="list" allowBlank="1" showInputMessage="1" showErrorMessage="1" sqref="E11:E109">
      <formula1>"vast,tijdelijk"</formula1>
    </dataValidation>
    <dataValidation type="list" allowBlank="1" showInputMessage="1" showErrorMessage="1" sqref="M11:M109">
      <formula1>"AA,AB,AC,AD,AE,DA,DB,Dbuit,DC,Dcuit,DD,DE,LA,LB,LC,LD,LE,LIOa,LIOb,1,2,3,4,5,6,7,8,9,10,11,12,13,14,15"</formula1>
    </dataValidation>
  </dataValidations>
  <printOptions/>
  <pageMargins left="0.75" right="0.75" top="1" bottom="1" header="0.5" footer="0.5"/>
  <pageSetup horizontalDpi="600" verticalDpi="600" orientation="portrait" paperSize="9" scale="50" r:id="rId4"/>
  <headerFooter alignWithMargins="0">
    <oddHeader>&amp;L&amp;"Arial,Vet"&amp;F&amp;R&amp;"Arial,Vet"&amp;A</oddHeader>
    <oddFooter>&amp;L&amp;"Arial,Vet"keizer / goedhart&amp;C&amp;"Arial,Vet"&amp;D&amp;R&amp;"Arial,Vet"pagina &amp;P</oddFooter>
  </headerFooter>
  <drawing r:id="rId3"/>
  <legacyDrawing r:id="rId2"/>
</worksheet>
</file>

<file path=xl/worksheets/sheet7.xml><?xml version="1.0" encoding="utf-8"?>
<worksheet xmlns="http://schemas.openxmlformats.org/spreadsheetml/2006/main" xmlns:r="http://schemas.openxmlformats.org/officeDocument/2006/relationships">
  <dimension ref="B2:AT119"/>
  <sheetViews>
    <sheetView zoomScale="85" zoomScaleNormal="85" workbookViewId="0" topLeftCell="A1">
      <selection activeCell="B2" sqref="B2"/>
    </sheetView>
  </sheetViews>
  <sheetFormatPr defaultColWidth="9.140625" defaultRowHeight="12.75"/>
  <cols>
    <col min="1" max="1" width="5.7109375" style="6" customWidth="1"/>
    <col min="2" max="3" width="2.7109375" style="6" customWidth="1"/>
    <col min="4" max="4" width="8.7109375" style="200" customWidth="1"/>
    <col min="5" max="7" width="2.7109375" style="6" customWidth="1"/>
    <col min="8" max="8" width="9.7109375" style="143" customWidth="1"/>
    <col min="9" max="9" width="1.7109375" style="6" customWidth="1"/>
    <col min="10" max="10" width="9.7109375" style="143" customWidth="1"/>
    <col min="11" max="11" width="0.85546875" style="6" customWidth="1"/>
    <col min="12" max="12" width="12.7109375" style="202" customWidth="1"/>
    <col min="13" max="15" width="2.7109375" style="6" customWidth="1"/>
    <col min="16" max="16" width="8.7109375" style="143" customWidth="1"/>
    <col min="17" max="17" width="1.7109375" style="143" customWidth="1"/>
    <col min="18" max="18" width="9.7109375" style="143" customWidth="1"/>
    <col min="19" max="19" width="0.9921875" style="143" customWidth="1"/>
    <col min="20" max="20" width="12.7109375" style="113" customWidth="1"/>
    <col min="21" max="23" width="2.7109375" style="6" customWidth="1"/>
    <col min="24" max="24" width="9.7109375" style="143" customWidth="1"/>
    <col min="25" max="25" width="1.7109375" style="6" customWidth="1"/>
    <col min="26" max="26" width="9.8515625" style="143" customWidth="1"/>
    <col min="27" max="27" width="0.85546875" style="6" customWidth="1"/>
    <col min="28" max="28" width="12.7109375" style="113" customWidth="1"/>
    <col min="29" max="31" width="2.7109375" style="6" customWidth="1"/>
    <col min="32" max="32" width="9.7109375" style="143" customWidth="1"/>
    <col min="33" max="33" width="1.7109375" style="143" customWidth="1"/>
    <col min="34" max="34" width="9.7109375" style="143" customWidth="1"/>
    <col min="35" max="35" width="0.85546875" style="143" customWidth="1"/>
    <col min="36" max="36" width="12.7109375" style="226" customWidth="1"/>
    <col min="37" max="39" width="2.7109375" style="6" customWidth="1"/>
    <col min="40" max="40" width="9.7109375" style="143" customWidth="1"/>
    <col min="41" max="41" width="1.7109375" style="143" customWidth="1"/>
    <col min="42" max="42" width="9.7109375" style="143" customWidth="1"/>
    <col min="43" max="43" width="0.85546875" style="143" customWidth="1"/>
    <col min="44" max="44" width="12.421875" style="226" customWidth="1"/>
    <col min="45" max="46" width="2.7109375" style="6" customWidth="1"/>
    <col min="47" max="47" width="13.421875" style="6" customWidth="1"/>
    <col min="48" max="48" width="9.140625" style="6" customWidth="1"/>
    <col min="49" max="51" width="9.28125" style="6" bestFit="1" customWidth="1"/>
    <col min="52" max="52" width="13.421875" style="6" customWidth="1"/>
    <col min="53" max="16384" width="9.140625" style="6" customWidth="1"/>
  </cols>
  <sheetData>
    <row r="1" ht="13.5" thickBot="1"/>
    <row r="2" spans="2:46" ht="12.75">
      <c r="B2" s="9"/>
      <c r="C2" s="10"/>
      <c r="D2" s="206"/>
      <c r="E2" s="10"/>
      <c r="F2" s="10"/>
      <c r="G2" s="10"/>
      <c r="H2" s="11"/>
      <c r="I2" s="10"/>
      <c r="J2" s="11"/>
      <c r="K2" s="10"/>
      <c r="L2" s="207"/>
      <c r="M2" s="10"/>
      <c r="N2" s="10"/>
      <c r="O2" s="10"/>
      <c r="P2" s="11"/>
      <c r="Q2" s="11"/>
      <c r="R2" s="11"/>
      <c r="S2" s="11"/>
      <c r="T2" s="173"/>
      <c r="U2" s="10"/>
      <c r="V2" s="10"/>
      <c r="W2" s="10"/>
      <c r="X2" s="11"/>
      <c r="Y2" s="10"/>
      <c r="Z2" s="11"/>
      <c r="AA2" s="10"/>
      <c r="AB2" s="173"/>
      <c r="AC2" s="10"/>
      <c r="AD2" s="10"/>
      <c r="AE2" s="10"/>
      <c r="AF2" s="11"/>
      <c r="AG2" s="11"/>
      <c r="AH2" s="11"/>
      <c r="AI2" s="11"/>
      <c r="AJ2" s="227"/>
      <c r="AK2" s="10"/>
      <c r="AL2" s="10"/>
      <c r="AM2" s="10"/>
      <c r="AN2" s="11"/>
      <c r="AO2" s="11"/>
      <c r="AP2" s="11"/>
      <c r="AQ2" s="11"/>
      <c r="AR2" s="227"/>
      <c r="AS2" s="10"/>
      <c r="AT2" s="12"/>
    </row>
    <row r="3" spans="2:46" ht="12.75">
      <c r="B3" s="13"/>
      <c r="C3" s="7"/>
      <c r="D3" s="99"/>
      <c r="E3" s="7"/>
      <c r="F3" s="7"/>
      <c r="G3" s="7"/>
      <c r="H3" s="8"/>
      <c r="I3" s="7"/>
      <c r="J3" s="8"/>
      <c r="K3" s="7"/>
      <c r="L3" s="208"/>
      <c r="M3" s="7"/>
      <c r="N3" s="7"/>
      <c r="O3" s="7"/>
      <c r="P3" s="8"/>
      <c r="Q3" s="8"/>
      <c r="R3" s="8"/>
      <c r="S3" s="8"/>
      <c r="T3" s="134"/>
      <c r="U3" s="7"/>
      <c r="V3" s="7"/>
      <c r="W3" s="7"/>
      <c r="X3" s="8"/>
      <c r="Y3" s="7"/>
      <c r="Z3" s="8"/>
      <c r="AA3" s="7"/>
      <c r="AB3" s="134"/>
      <c r="AC3" s="7"/>
      <c r="AD3" s="7"/>
      <c r="AE3" s="7"/>
      <c r="AF3" s="8"/>
      <c r="AG3" s="8"/>
      <c r="AH3" s="8"/>
      <c r="AI3" s="8"/>
      <c r="AJ3" s="180"/>
      <c r="AK3" s="7"/>
      <c r="AL3" s="7"/>
      <c r="AM3" s="7"/>
      <c r="AN3" s="8"/>
      <c r="AO3" s="8"/>
      <c r="AP3" s="8"/>
      <c r="AQ3" s="8"/>
      <c r="AR3" s="180"/>
      <c r="AS3" s="7"/>
      <c r="AT3" s="14"/>
    </row>
    <row r="4" spans="2:46" s="114" customFormat="1" ht="18">
      <c r="B4" s="221"/>
      <c r="C4" s="17" t="s">
        <v>31</v>
      </c>
      <c r="D4" s="123"/>
      <c r="E4" s="17"/>
      <c r="F4" s="17"/>
      <c r="G4" s="17"/>
      <c r="H4" s="19"/>
      <c r="I4" s="17"/>
      <c r="J4" s="19"/>
      <c r="K4" s="17"/>
      <c r="L4" s="222"/>
      <c r="M4" s="17"/>
      <c r="N4" s="17"/>
      <c r="O4" s="17"/>
      <c r="P4" s="19"/>
      <c r="Q4" s="19"/>
      <c r="R4" s="19"/>
      <c r="S4" s="19"/>
      <c r="T4" s="223"/>
      <c r="U4" s="17"/>
      <c r="V4" s="17"/>
      <c r="W4" s="17"/>
      <c r="X4" s="19"/>
      <c r="Y4" s="17"/>
      <c r="Z4" s="19"/>
      <c r="AA4" s="17"/>
      <c r="AB4" s="223"/>
      <c r="AC4" s="17"/>
      <c r="AD4" s="17"/>
      <c r="AE4" s="17"/>
      <c r="AF4" s="19"/>
      <c r="AG4" s="19"/>
      <c r="AH4" s="19"/>
      <c r="AI4" s="19"/>
      <c r="AJ4" s="228"/>
      <c r="AK4" s="17"/>
      <c r="AL4" s="17"/>
      <c r="AM4" s="17"/>
      <c r="AN4" s="19"/>
      <c r="AO4" s="19"/>
      <c r="AP4" s="19"/>
      <c r="AQ4" s="19"/>
      <c r="AR4" s="228"/>
      <c r="AS4" s="17"/>
      <c r="AT4" s="224"/>
    </row>
    <row r="5" spans="2:46" ht="12.75">
      <c r="B5" s="13"/>
      <c r="C5" s="7"/>
      <c r="D5" s="99"/>
      <c r="E5" s="7"/>
      <c r="F5" s="7"/>
      <c r="G5" s="7"/>
      <c r="H5" s="8"/>
      <c r="I5" s="7"/>
      <c r="J5" s="8"/>
      <c r="K5" s="7"/>
      <c r="L5" s="208"/>
      <c r="M5" s="7"/>
      <c r="N5" s="7"/>
      <c r="O5" s="7"/>
      <c r="P5" s="8"/>
      <c r="Q5" s="8"/>
      <c r="R5" s="8"/>
      <c r="S5" s="8"/>
      <c r="T5" s="134"/>
      <c r="U5" s="7"/>
      <c r="V5" s="7"/>
      <c r="W5" s="7"/>
      <c r="X5" s="8"/>
      <c r="Y5" s="7"/>
      <c r="Z5" s="8"/>
      <c r="AA5" s="7"/>
      <c r="AB5" s="134"/>
      <c r="AC5" s="7"/>
      <c r="AD5" s="7"/>
      <c r="AE5" s="7"/>
      <c r="AF5" s="8"/>
      <c r="AG5" s="8"/>
      <c r="AH5" s="8"/>
      <c r="AI5" s="8"/>
      <c r="AJ5" s="180"/>
      <c r="AK5" s="7"/>
      <c r="AL5" s="7"/>
      <c r="AM5" s="7"/>
      <c r="AN5" s="8"/>
      <c r="AO5" s="8"/>
      <c r="AP5" s="8"/>
      <c r="AQ5" s="8"/>
      <c r="AR5" s="180"/>
      <c r="AS5" s="7"/>
      <c r="AT5" s="14"/>
    </row>
    <row r="6" spans="2:46" ht="12.75">
      <c r="B6" s="13"/>
      <c r="C6" s="7"/>
      <c r="D6" s="104" t="s">
        <v>125</v>
      </c>
      <c r="E6" s="36"/>
      <c r="F6" s="36"/>
      <c r="G6" s="36"/>
      <c r="H6" s="8"/>
      <c r="I6" s="7"/>
      <c r="J6" s="8"/>
      <c r="K6" s="7"/>
      <c r="L6" s="208"/>
      <c r="M6" s="7"/>
      <c r="N6" s="7"/>
      <c r="O6" s="7"/>
      <c r="P6" s="8"/>
      <c r="Q6" s="8"/>
      <c r="R6" s="8"/>
      <c r="S6" s="8"/>
      <c r="T6" s="134"/>
      <c r="U6" s="7"/>
      <c r="V6" s="7"/>
      <c r="W6" s="7"/>
      <c r="X6" s="8"/>
      <c r="Y6" s="7"/>
      <c r="Z6" s="8"/>
      <c r="AA6" s="7"/>
      <c r="AB6" s="134"/>
      <c r="AC6" s="7"/>
      <c r="AD6" s="7"/>
      <c r="AE6" s="7"/>
      <c r="AF6" s="8"/>
      <c r="AG6" s="8"/>
      <c r="AH6" s="8"/>
      <c r="AI6" s="8"/>
      <c r="AJ6" s="180"/>
      <c r="AK6" s="7"/>
      <c r="AL6" s="7"/>
      <c r="AM6" s="7"/>
      <c r="AN6" s="8"/>
      <c r="AO6" s="8"/>
      <c r="AP6" s="8"/>
      <c r="AQ6" s="8"/>
      <c r="AR6" s="180"/>
      <c r="AS6" s="7"/>
      <c r="AT6" s="14"/>
    </row>
    <row r="7" spans="2:46" ht="12.75">
      <c r="B7" s="13"/>
      <c r="C7" s="7"/>
      <c r="D7" s="125" t="s">
        <v>126</v>
      </c>
      <c r="E7" s="127"/>
      <c r="F7" s="127"/>
      <c r="G7" s="127"/>
      <c r="H7" s="8"/>
      <c r="I7" s="7"/>
      <c r="J7" s="8"/>
      <c r="K7" s="7"/>
      <c r="L7" s="208"/>
      <c r="M7" s="7"/>
      <c r="N7" s="7"/>
      <c r="O7" s="7"/>
      <c r="P7" s="8"/>
      <c r="Q7" s="8"/>
      <c r="R7" s="8"/>
      <c r="S7" s="8"/>
      <c r="T7" s="134"/>
      <c r="U7" s="7"/>
      <c r="V7" s="7"/>
      <c r="W7" s="7"/>
      <c r="X7" s="8"/>
      <c r="Y7" s="7"/>
      <c r="Z7" s="8"/>
      <c r="AA7" s="7"/>
      <c r="AB7" s="134"/>
      <c r="AC7" s="7"/>
      <c r="AD7" s="7"/>
      <c r="AE7" s="7"/>
      <c r="AF7" s="8"/>
      <c r="AG7" s="8"/>
      <c r="AH7" s="8"/>
      <c r="AI7" s="8"/>
      <c r="AJ7" s="180"/>
      <c r="AK7" s="7"/>
      <c r="AL7" s="7"/>
      <c r="AM7" s="7"/>
      <c r="AN7" s="8"/>
      <c r="AO7" s="8"/>
      <c r="AP7" s="8"/>
      <c r="AQ7" s="8"/>
      <c r="AR7" s="180"/>
      <c r="AS7" s="7"/>
      <c r="AT7" s="14"/>
    </row>
    <row r="8" spans="2:46" ht="12.75">
      <c r="B8" s="13"/>
      <c r="C8" s="7"/>
      <c r="D8" s="125" t="s">
        <v>32</v>
      </c>
      <c r="E8" s="127"/>
      <c r="F8" s="127"/>
      <c r="G8" s="127"/>
      <c r="H8" s="8"/>
      <c r="I8" s="7"/>
      <c r="J8" s="8"/>
      <c r="K8" s="7"/>
      <c r="L8" s="208"/>
      <c r="M8" s="7"/>
      <c r="N8" s="7"/>
      <c r="O8" s="7"/>
      <c r="P8" s="8"/>
      <c r="Q8" s="8"/>
      <c r="R8" s="8"/>
      <c r="S8" s="8"/>
      <c r="T8" s="134"/>
      <c r="U8" s="7"/>
      <c r="V8" s="7"/>
      <c r="W8" s="7"/>
      <c r="X8" s="8"/>
      <c r="Y8" s="7"/>
      <c r="Z8" s="8"/>
      <c r="AA8" s="7"/>
      <c r="AB8" s="134"/>
      <c r="AC8" s="7"/>
      <c r="AD8" s="7"/>
      <c r="AE8" s="7"/>
      <c r="AF8" s="8"/>
      <c r="AG8" s="8"/>
      <c r="AH8" s="8"/>
      <c r="AI8" s="8"/>
      <c r="AJ8" s="180"/>
      <c r="AK8" s="7"/>
      <c r="AL8" s="7"/>
      <c r="AM8" s="7"/>
      <c r="AN8" s="8"/>
      <c r="AO8" s="8"/>
      <c r="AP8" s="8"/>
      <c r="AQ8" s="8"/>
      <c r="AR8" s="180"/>
      <c r="AS8" s="7"/>
      <c r="AT8" s="14"/>
    </row>
    <row r="9" spans="2:46" ht="12.75">
      <c r="B9" s="13"/>
      <c r="C9" s="7"/>
      <c r="D9" s="125" t="s">
        <v>127</v>
      </c>
      <c r="E9" s="127"/>
      <c r="F9" s="127"/>
      <c r="G9" s="127"/>
      <c r="H9" s="8"/>
      <c r="I9" s="7"/>
      <c r="J9" s="8"/>
      <c r="K9" s="7"/>
      <c r="L9" s="208"/>
      <c r="M9" s="7"/>
      <c r="N9" s="7"/>
      <c r="O9" s="7"/>
      <c r="P9" s="8"/>
      <c r="Q9" s="8"/>
      <c r="R9" s="8"/>
      <c r="S9" s="8"/>
      <c r="T9" s="134"/>
      <c r="U9" s="7"/>
      <c r="V9" s="7"/>
      <c r="W9" s="7"/>
      <c r="X9" s="8"/>
      <c r="Y9" s="7"/>
      <c r="Z9" s="8"/>
      <c r="AA9" s="7"/>
      <c r="AB9" s="134"/>
      <c r="AC9" s="7"/>
      <c r="AD9" s="7"/>
      <c r="AE9" s="7"/>
      <c r="AF9" s="8"/>
      <c r="AG9" s="8"/>
      <c r="AH9" s="8"/>
      <c r="AI9" s="8"/>
      <c r="AJ9" s="180"/>
      <c r="AK9" s="7"/>
      <c r="AL9" s="7"/>
      <c r="AM9" s="7"/>
      <c r="AN9" s="8"/>
      <c r="AO9" s="8"/>
      <c r="AP9" s="8"/>
      <c r="AQ9" s="8"/>
      <c r="AR9" s="180"/>
      <c r="AS9" s="7"/>
      <c r="AT9" s="14"/>
    </row>
    <row r="10" spans="2:46" ht="12.75">
      <c r="B10" s="13"/>
      <c r="C10" s="7"/>
      <c r="D10" s="511" t="s">
        <v>524</v>
      </c>
      <c r="E10" s="125"/>
      <c r="F10" s="125"/>
      <c r="G10" s="125"/>
      <c r="H10" s="8"/>
      <c r="I10" s="7"/>
      <c r="J10" s="8"/>
      <c r="K10" s="7"/>
      <c r="L10" s="208"/>
      <c r="M10" s="7"/>
      <c r="N10" s="7"/>
      <c r="O10" s="7"/>
      <c r="P10" s="8"/>
      <c r="Q10" s="8"/>
      <c r="R10" s="8"/>
      <c r="S10" s="8"/>
      <c r="T10" s="134"/>
      <c r="U10" s="7"/>
      <c r="V10" s="7"/>
      <c r="W10" s="7"/>
      <c r="X10" s="8"/>
      <c r="Y10" s="7"/>
      <c r="Z10" s="8"/>
      <c r="AA10" s="7"/>
      <c r="AB10" s="134"/>
      <c r="AC10" s="7"/>
      <c r="AD10" s="7"/>
      <c r="AE10" s="7"/>
      <c r="AF10" s="8"/>
      <c r="AG10" s="8"/>
      <c r="AH10" s="8"/>
      <c r="AI10" s="8"/>
      <c r="AJ10" s="180"/>
      <c r="AK10" s="7"/>
      <c r="AL10" s="7"/>
      <c r="AM10" s="7"/>
      <c r="AN10" s="8"/>
      <c r="AO10" s="8"/>
      <c r="AP10" s="8"/>
      <c r="AQ10" s="8"/>
      <c r="AR10" s="180"/>
      <c r="AS10" s="7"/>
      <c r="AT10" s="14"/>
    </row>
    <row r="11" spans="2:46" ht="12.75">
      <c r="B11" s="13"/>
      <c r="C11" s="7"/>
      <c r="D11" s="125" t="s">
        <v>128</v>
      </c>
      <c r="E11" s="127"/>
      <c r="F11" s="127"/>
      <c r="G11" s="127"/>
      <c r="H11" s="8"/>
      <c r="I11" s="7"/>
      <c r="J11" s="8"/>
      <c r="K11" s="7"/>
      <c r="L11" s="208"/>
      <c r="M11" s="7"/>
      <c r="N11" s="7"/>
      <c r="O11" s="7"/>
      <c r="P11" s="8"/>
      <c r="Q11" s="8"/>
      <c r="R11" s="8"/>
      <c r="S11" s="8"/>
      <c r="T11" s="134"/>
      <c r="U11" s="7"/>
      <c r="V11" s="7"/>
      <c r="W11" s="7"/>
      <c r="X11" s="8"/>
      <c r="Y11" s="7"/>
      <c r="Z11" s="8"/>
      <c r="AA11" s="7"/>
      <c r="AB11" s="134"/>
      <c r="AC11" s="7"/>
      <c r="AD11" s="7"/>
      <c r="AE11" s="7"/>
      <c r="AF11" s="8"/>
      <c r="AG11" s="8"/>
      <c r="AH11" s="8"/>
      <c r="AI11" s="8"/>
      <c r="AJ11" s="180"/>
      <c r="AK11" s="7"/>
      <c r="AL11" s="7"/>
      <c r="AM11" s="7"/>
      <c r="AN11" s="8"/>
      <c r="AO11" s="8"/>
      <c r="AP11" s="8"/>
      <c r="AQ11" s="8"/>
      <c r="AR11" s="180"/>
      <c r="AS11" s="7"/>
      <c r="AT11" s="14"/>
    </row>
    <row r="12" spans="2:46" ht="12.75">
      <c r="B12" s="13"/>
      <c r="C12" s="7"/>
      <c r="D12" s="125" t="s">
        <v>129</v>
      </c>
      <c r="E12" s="127"/>
      <c r="F12" s="127"/>
      <c r="G12" s="127"/>
      <c r="H12" s="8"/>
      <c r="I12" s="7"/>
      <c r="J12" s="8"/>
      <c r="K12" s="7"/>
      <c r="L12" s="208"/>
      <c r="M12" s="7"/>
      <c r="N12" s="7"/>
      <c r="O12" s="7"/>
      <c r="P12" s="8"/>
      <c r="Q12" s="8"/>
      <c r="R12" s="8"/>
      <c r="S12" s="8"/>
      <c r="T12" s="134"/>
      <c r="U12" s="7"/>
      <c r="V12" s="7"/>
      <c r="W12" s="7"/>
      <c r="X12" s="8"/>
      <c r="Y12" s="7"/>
      <c r="Z12" s="8"/>
      <c r="AA12" s="7"/>
      <c r="AB12" s="134"/>
      <c r="AC12" s="7"/>
      <c r="AD12" s="7"/>
      <c r="AE12" s="7"/>
      <c r="AF12" s="8"/>
      <c r="AG12" s="8"/>
      <c r="AH12" s="8"/>
      <c r="AI12" s="8"/>
      <c r="AJ12" s="180"/>
      <c r="AK12" s="7"/>
      <c r="AL12" s="7"/>
      <c r="AM12" s="7"/>
      <c r="AN12" s="8"/>
      <c r="AO12" s="8"/>
      <c r="AP12" s="8"/>
      <c r="AQ12" s="8"/>
      <c r="AR12" s="180"/>
      <c r="AS12" s="7"/>
      <c r="AT12" s="14"/>
    </row>
    <row r="13" spans="2:46" ht="12.75">
      <c r="B13" s="13"/>
      <c r="C13" s="7"/>
      <c r="D13" s="99"/>
      <c r="E13" s="7"/>
      <c r="F13" s="7"/>
      <c r="G13" s="7"/>
      <c r="H13" s="8"/>
      <c r="I13" s="7"/>
      <c r="J13" s="8"/>
      <c r="K13" s="7"/>
      <c r="L13" s="208"/>
      <c r="M13" s="7"/>
      <c r="N13" s="7"/>
      <c r="O13" s="7"/>
      <c r="P13" s="8"/>
      <c r="Q13" s="8"/>
      <c r="R13" s="8"/>
      <c r="S13" s="8"/>
      <c r="T13" s="134"/>
      <c r="U13" s="7"/>
      <c r="V13" s="7"/>
      <c r="W13" s="7"/>
      <c r="X13" s="8"/>
      <c r="Y13" s="7"/>
      <c r="Z13" s="8"/>
      <c r="AA13" s="7"/>
      <c r="AB13" s="134"/>
      <c r="AC13" s="7"/>
      <c r="AD13" s="7"/>
      <c r="AE13" s="7"/>
      <c r="AF13" s="8"/>
      <c r="AG13" s="8"/>
      <c r="AH13" s="8"/>
      <c r="AI13" s="8"/>
      <c r="AJ13" s="180"/>
      <c r="AK13" s="7"/>
      <c r="AL13" s="7"/>
      <c r="AM13" s="7"/>
      <c r="AN13" s="8"/>
      <c r="AO13" s="8"/>
      <c r="AP13" s="8"/>
      <c r="AQ13" s="8"/>
      <c r="AR13" s="180"/>
      <c r="AS13" s="7"/>
      <c r="AT13" s="14"/>
    </row>
    <row r="14" spans="2:46" ht="12.75">
      <c r="B14" s="13"/>
      <c r="C14" s="7"/>
      <c r="D14" s="99"/>
      <c r="E14" s="7"/>
      <c r="F14" s="7"/>
      <c r="G14" s="7"/>
      <c r="H14" s="8"/>
      <c r="I14" s="7"/>
      <c r="J14" s="8"/>
      <c r="K14" s="7"/>
      <c r="L14" s="208"/>
      <c r="M14" s="7"/>
      <c r="N14" s="7"/>
      <c r="O14" s="7"/>
      <c r="P14" s="8"/>
      <c r="Q14" s="8"/>
      <c r="R14" s="8"/>
      <c r="S14" s="8"/>
      <c r="T14" s="134"/>
      <c r="U14" s="7"/>
      <c r="V14" s="7"/>
      <c r="W14" s="7"/>
      <c r="X14" s="8"/>
      <c r="Y14" s="7"/>
      <c r="Z14" s="8"/>
      <c r="AA14" s="7"/>
      <c r="AB14" s="134"/>
      <c r="AC14" s="7"/>
      <c r="AD14" s="7"/>
      <c r="AE14" s="7"/>
      <c r="AF14" s="8"/>
      <c r="AG14" s="8"/>
      <c r="AH14" s="8"/>
      <c r="AI14" s="8"/>
      <c r="AJ14" s="180"/>
      <c r="AK14" s="7"/>
      <c r="AL14" s="7"/>
      <c r="AM14" s="7"/>
      <c r="AN14" s="8"/>
      <c r="AO14" s="8"/>
      <c r="AP14" s="8"/>
      <c r="AQ14" s="8"/>
      <c r="AR14" s="180"/>
      <c r="AS14" s="7"/>
      <c r="AT14" s="14"/>
    </row>
    <row r="15" spans="2:46" s="111" customFormat="1" ht="12.75">
      <c r="B15" s="194"/>
      <c r="C15" s="127"/>
      <c r="D15" s="125"/>
      <c r="E15" s="109"/>
      <c r="F15" s="109"/>
      <c r="G15" s="539" t="s">
        <v>733</v>
      </c>
      <c r="H15" s="545"/>
      <c r="I15" s="545"/>
      <c r="J15" s="545"/>
      <c r="K15" s="545"/>
      <c r="L15" s="545"/>
      <c r="M15" s="545"/>
      <c r="N15" s="88"/>
      <c r="O15" s="539" t="s">
        <v>734</v>
      </c>
      <c r="P15" s="546"/>
      <c r="Q15" s="546"/>
      <c r="R15" s="546"/>
      <c r="S15" s="546"/>
      <c r="T15" s="546"/>
      <c r="U15" s="546"/>
      <c r="V15" s="127"/>
      <c r="W15" s="539" t="s">
        <v>735</v>
      </c>
      <c r="X15" s="546"/>
      <c r="Y15" s="546"/>
      <c r="Z15" s="546"/>
      <c r="AA15" s="546"/>
      <c r="AB15" s="546"/>
      <c r="AC15" s="546"/>
      <c r="AD15" s="127"/>
      <c r="AE15" s="127"/>
      <c r="AF15" s="88"/>
      <c r="AG15" s="88"/>
      <c r="AH15" s="229"/>
      <c r="AI15" s="229"/>
      <c r="AJ15" s="230"/>
      <c r="AK15" s="127"/>
      <c r="AL15" s="127"/>
      <c r="AM15" s="127"/>
      <c r="AN15" s="88"/>
      <c r="AO15" s="88"/>
      <c r="AP15" s="229"/>
      <c r="AQ15" s="229"/>
      <c r="AR15" s="230"/>
      <c r="AS15" s="127"/>
      <c r="AT15" s="196"/>
    </row>
    <row r="16" spans="2:46" ht="12.75">
      <c r="B16" s="13"/>
      <c r="C16" s="7"/>
      <c r="D16" s="99"/>
      <c r="E16" s="36"/>
      <c r="F16" s="36"/>
      <c r="G16" s="36"/>
      <c r="H16" s="8"/>
      <c r="I16" s="7"/>
      <c r="J16" s="47"/>
      <c r="K16" s="36"/>
      <c r="L16" s="203"/>
      <c r="M16" s="47"/>
      <c r="N16" s="47"/>
      <c r="O16" s="47"/>
      <c r="P16" s="8"/>
      <c r="Q16" s="8"/>
      <c r="R16" s="8"/>
      <c r="S16" s="8"/>
      <c r="T16" s="134"/>
      <c r="U16" s="7"/>
      <c r="V16" s="7"/>
      <c r="W16" s="7"/>
      <c r="X16" s="8"/>
      <c r="Y16" s="7"/>
      <c r="Z16" s="8"/>
      <c r="AA16" s="7"/>
      <c r="AB16" s="134"/>
      <c r="AC16" s="7"/>
      <c r="AD16" s="7"/>
      <c r="AE16" s="7"/>
      <c r="AF16" s="47"/>
      <c r="AG16" s="47"/>
      <c r="AH16" s="8"/>
      <c r="AI16" s="8"/>
      <c r="AJ16" s="180"/>
      <c r="AK16" s="7"/>
      <c r="AL16" s="7"/>
      <c r="AM16" s="7"/>
      <c r="AN16" s="47"/>
      <c r="AO16" s="47"/>
      <c r="AP16" s="8"/>
      <c r="AQ16" s="8"/>
      <c r="AR16" s="180"/>
      <c r="AS16" s="7"/>
      <c r="AT16" s="14"/>
    </row>
    <row r="17" spans="2:46" ht="12.75">
      <c r="B17" s="13"/>
      <c r="C17" s="1"/>
      <c r="D17" s="2"/>
      <c r="E17" s="3"/>
      <c r="F17" s="36"/>
      <c r="G17" s="3"/>
      <c r="H17" s="25"/>
      <c r="I17" s="1"/>
      <c r="J17" s="163"/>
      <c r="K17" s="170"/>
      <c r="L17" s="212"/>
      <c r="M17" s="1"/>
      <c r="N17" s="7"/>
      <c r="O17" s="1"/>
      <c r="P17" s="25"/>
      <c r="Q17" s="25"/>
      <c r="R17" s="163"/>
      <c r="S17" s="163"/>
      <c r="T17" s="170"/>
      <c r="U17" s="1"/>
      <c r="V17" s="7"/>
      <c r="W17" s="1"/>
      <c r="X17" s="25"/>
      <c r="Y17" s="1"/>
      <c r="Z17" s="163"/>
      <c r="AA17" s="170"/>
      <c r="AB17" s="170"/>
      <c r="AC17" s="1"/>
      <c r="AD17" s="7"/>
      <c r="AE17" s="7"/>
      <c r="AF17" s="8"/>
      <c r="AG17" s="8"/>
      <c r="AH17" s="8"/>
      <c r="AI17" s="8"/>
      <c r="AJ17" s="180"/>
      <c r="AK17" s="7"/>
      <c r="AL17" s="7"/>
      <c r="AM17" s="7"/>
      <c r="AN17" s="8"/>
      <c r="AO17" s="8"/>
      <c r="AP17" s="8"/>
      <c r="AQ17" s="8"/>
      <c r="AR17" s="180"/>
      <c r="AS17" s="7"/>
      <c r="AT17" s="14"/>
    </row>
    <row r="18" spans="2:46" ht="12.75">
      <c r="B18" s="13"/>
      <c r="C18" s="1"/>
      <c r="D18" s="2" t="s">
        <v>736</v>
      </c>
      <c r="E18" s="3"/>
      <c r="F18" s="36"/>
      <c r="G18" s="3"/>
      <c r="H18" s="4" t="s">
        <v>737</v>
      </c>
      <c r="I18" s="3"/>
      <c r="J18" s="4" t="s">
        <v>738</v>
      </c>
      <c r="K18" s="3"/>
      <c r="L18" s="212" t="s">
        <v>739</v>
      </c>
      <c r="M18" s="1"/>
      <c r="N18" s="7"/>
      <c r="O18" s="1"/>
      <c r="P18" s="4" t="s">
        <v>737</v>
      </c>
      <c r="Q18" s="4"/>
      <c r="R18" s="4" t="s">
        <v>738</v>
      </c>
      <c r="S18" s="4"/>
      <c r="T18" s="170" t="s">
        <v>739</v>
      </c>
      <c r="U18" s="1"/>
      <c r="V18" s="7"/>
      <c r="W18" s="1"/>
      <c r="X18" s="4" t="s">
        <v>737</v>
      </c>
      <c r="Y18" s="3"/>
      <c r="Z18" s="4" t="s">
        <v>738</v>
      </c>
      <c r="AA18" s="3"/>
      <c r="AB18" s="170" t="s">
        <v>739</v>
      </c>
      <c r="AC18" s="1"/>
      <c r="AD18" s="7"/>
      <c r="AE18" s="7"/>
      <c r="AF18" s="8"/>
      <c r="AG18" s="8"/>
      <c r="AH18" s="8"/>
      <c r="AI18" s="8"/>
      <c r="AJ18" s="180"/>
      <c r="AK18" s="7"/>
      <c r="AL18" s="7"/>
      <c r="AM18" s="7"/>
      <c r="AN18" s="8"/>
      <c r="AO18" s="8"/>
      <c r="AP18" s="8"/>
      <c r="AQ18" s="8"/>
      <c r="AR18" s="180"/>
      <c r="AS18" s="7"/>
      <c r="AT18" s="14"/>
    </row>
    <row r="19" spans="2:46" ht="12.75">
      <c r="B19" s="13"/>
      <c r="C19" s="1"/>
      <c r="D19" s="2"/>
      <c r="E19" s="3"/>
      <c r="F19" s="36"/>
      <c r="G19" s="3"/>
      <c r="H19" s="191"/>
      <c r="I19" s="3"/>
      <c r="J19" s="4"/>
      <c r="K19" s="3"/>
      <c r="L19" s="212"/>
      <c r="M19" s="1"/>
      <c r="N19" s="7"/>
      <c r="O19" s="1"/>
      <c r="P19" s="4"/>
      <c r="Q19" s="4"/>
      <c r="R19" s="4"/>
      <c r="S19" s="4"/>
      <c r="T19" s="170"/>
      <c r="U19" s="1"/>
      <c r="V19" s="7"/>
      <c r="W19" s="1"/>
      <c r="X19" s="4"/>
      <c r="Y19" s="3"/>
      <c r="Z19" s="4"/>
      <c r="AA19" s="3"/>
      <c r="AB19" s="170"/>
      <c r="AC19" s="1"/>
      <c r="AD19" s="7"/>
      <c r="AE19" s="7"/>
      <c r="AF19" s="8"/>
      <c r="AG19" s="8"/>
      <c r="AH19" s="8"/>
      <c r="AI19" s="8"/>
      <c r="AJ19" s="180"/>
      <c r="AK19" s="7"/>
      <c r="AL19" s="7"/>
      <c r="AM19" s="7"/>
      <c r="AN19" s="8"/>
      <c r="AO19" s="8"/>
      <c r="AP19" s="8"/>
      <c r="AQ19" s="8"/>
      <c r="AR19" s="180"/>
      <c r="AS19" s="7"/>
      <c r="AT19" s="14"/>
    </row>
    <row r="20" spans="2:46" ht="12.75">
      <c r="B20" s="13"/>
      <c r="C20" s="1"/>
      <c r="D20" s="91" t="s">
        <v>681</v>
      </c>
      <c r="E20" s="95"/>
      <c r="F20" s="67"/>
      <c r="G20" s="95"/>
      <c r="H20" s="33">
        <f>SUMIF('form t'!M$11:M$109,D20,'form t'!P$11:P$109)</f>
        <v>0</v>
      </c>
      <c r="I20" s="186"/>
      <c r="J20" s="33">
        <f>+H20*VLOOKUP(D20,kosten_functies_LB,2,FALSE)</f>
        <v>0</v>
      </c>
      <c r="K20" s="186"/>
      <c r="L20" s="205">
        <f>+J20*geg!$I$27</f>
        <v>0</v>
      </c>
      <c r="M20" s="1"/>
      <c r="N20" s="7"/>
      <c r="O20" s="1"/>
      <c r="P20" s="233">
        <f>+H20</f>
        <v>0</v>
      </c>
      <c r="Q20" s="182"/>
      <c r="R20" s="33">
        <f>+P20*VLOOKUP(D20,kosten_functies_LB,2,FALSE)</f>
        <v>0</v>
      </c>
      <c r="S20" s="182"/>
      <c r="T20" s="205">
        <f>+R20*geg!$I$27</f>
        <v>0</v>
      </c>
      <c r="U20" s="1"/>
      <c r="V20" s="7"/>
      <c r="W20" s="1"/>
      <c r="X20" s="33">
        <f aca="true" t="shared" si="0" ref="X20:X53">+P20-H20</f>
        <v>0</v>
      </c>
      <c r="Y20" s="186"/>
      <c r="Z20" s="33">
        <f aca="true" t="shared" si="1" ref="Z20:Z53">+R20-J20</f>
        <v>0</v>
      </c>
      <c r="AA20" s="213"/>
      <c r="AB20" s="205">
        <f>+Z20*geg!$I$27</f>
        <v>0</v>
      </c>
      <c r="AC20" s="1"/>
      <c r="AD20" s="7"/>
      <c r="AE20" s="7"/>
      <c r="AF20" s="8"/>
      <c r="AG20" s="8"/>
      <c r="AH20" s="8"/>
      <c r="AI20" s="8"/>
      <c r="AJ20" s="180"/>
      <c r="AK20" s="7"/>
      <c r="AL20" s="7"/>
      <c r="AM20" s="7"/>
      <c r="AN20" s="8"/>
      <c r="AO20" s="8"/>
      <c r="AP20" s="8"/>
      <c r="AQ20" s="8"/>
      <c r="AR20" s="180"/>
      <c r="AS20" s="7"/>
      <c r="AT20" s="14"/>
    </row>
    <row r="21" spans="2:46" ht="12.75">
      <c r="B21" s="13"/>
      <c r="C21" s="1"/>
      <c r="D21" s="91" t="s">
        <v>682</v>
      </c>
      <c r="E21" s="95"/>
      <c r="F21" s="67"/>
      <c r="G21" s="95"/>
      <c r="H21" s="33">
        <f>SUMIF('form t'!M$11:M$109,D21,'form t'!P$11:P$109)</f>
        <v>0</v>
      </c>
      <c r="I21" s="186"/>
      <c r="J21" s="33">
        <f aca="true" t="shared" si="2" ref="J21:J53">+H21*VLOOKUP(D21,kosten_functies_LB,2,FALSE)</f>
        <v>0</v>
      </c>
      <c r="K21" s="186"/>
      <c r="L21" s="205">
        <f>+J21*geg!$I$27</f>
        <v>0</v>
      </c>
      <c r="M21" s="1"/>
      <c r="N21" s="7"/>
      <c r="O21" s="1"/>
      <c r="P21" s="233">
        <f aca="true" t="shared" si="3" ref="P21:P53">+H21</f>
        <v>0</v>
      </c>
      <c r="Q21" s="182"/>
      <c r="R21" s="33">
        <f aca="true" t="shared" si="4" ref="R21:R53">+P21*VLOOKUP(D21,kosten_functies_LB,2,FALSE)</f>
        <v>0</v>
      </c>
      <c r="S21" s="182"/>
      <c r="T21" s="205">
        <f>+R21*geg!$I$27</f>
        <v>0</v>
      </c>
      <c r="U21" s="1"/>
      <c r="V21" s="7"/>
      <c r="W21" s="1"/>
      <c r="X21" s="33">
        <f t="shared" si="0"/>
        <v>0</v>
      </c>
      <c r="Y21" s="186"/>
      <c r="Z21" s="33">
        <f t="shared" si="1"/>
        <v>0</v>
      </c>
      <c r="AA21" s="213"/>
      <c r="AB21" s="205">
        <f>+Z21*geg!$I$27</f>
        <v>0</v>
      </c>
      <c r="AC21" s="1"/>
      <c r="AD21" s="7"/>
      <c r="AE21" s="7"/>
      <c r="AF21" s="8"/>
      <c r="AG21" s="8"/>
      <c r="AH21" s="8"/>
      <c r="AI21" s="8"/>
      <c r="AJ21" s="180"/>
      <c r="AK21" s="7"/>
      <c r="AL21" s="7"/>
      <c r="AM21" s="7"/>
      <c r="AN21" s="8"/>
      <c r="AO21" s="8"/>
      <c r="AP21" s="8"/>
      <c r="AQ21" s="8"/>
      <c r="AR21" s="180"/>
      <c r="AS21" s="7"/>
      <c r="AT21" s="14"/>
    </row>
    <row r="22" spans="2:46" ht="12.75">
      <c r="B22" s="13"/>
      <c r="C22" s="1"/>
      <c r="D22" s="91" t="s">
        <v>683</v>
      </c>
      <c r="E22" s="95"/>
      <c r="F22" s="67"/>
      <c r="G22" s="95"/>
      <c r="H22" s="33">
        <f>SUMIF('form t'!M$11:M$109,D22,'form t'!P$11:P$109)</f>
        <v>0</v>
      </c>
      <c r="I22" s="186"/>
      <c r="J22" s="33">
        <f t="shared" si="2"/>
        <v>0</v>
      </c>
      <c r="K22" s="186"/>
      <c r="L22" s="205">
        <f>+J22*geg!$I$27</f>
        <v>0</v>
      </c>
      <c r="M22" s="1"/>
      <c r="N22" s="7"/>
      <c r="O22" s="1"/>
      <c r="P22" s="233">
        <f t="shared" si="3"/>
        <v>0</v>
      </c>
      <c r="Q22" s="182"/>
      <c r="R22" s="33">
        <f t="shared" si="4"/>
        <v>0</v>
      </c>
      <c r="S22" s="182"/>
      <c r="T22" s="205">
        <f>+R22*geg!$I$27</f>
        <v>0</v>
      </c>
      <c r="U22" s="1"/>
      <c r="V22" s="7"/>
      <c r="W22" s="1"/>
      <c r="X22" s="33">
        <f t="shared" si="0"/>
        <v>0</v>
      </c>
      <c r="Y22" s="186"/>
      <c r="Z22" s="33">
        <f t="shared" si="1"/>
        <v>0</v>
      </c>
      <c r="AA22" s="213"/>
      <c r="AB22" s="205">
        <f>+Z22*geg!$I$27</f>
        <v>0</v>
      </c>
      <c r="AC22" s="1"/>
      <c r="AD22" s="7"/>
      <c r="AE22" s="7"/>
      <c r="AF22" s="8"/>
      <c r="AG22" s="8"/>
      <c r="AH22" s="8"/>
      <c r="AI22" s="8"/>
      <c r="AJ22" s="180"/>
      <c r="AK22" s="7"/>
      <c r="AL22" s="7"/>
      <c r="AM22" s="7"/>
      <c r="AN22" s="8"/>
      <c r="AO22" s="8"/>
      <c r="AP22" s="8"/>
      <c r="AQ22" s="8"/>
      <c r="AR22" s="180"/>
      <c r="AS22" s="7"/>
      <c r="AT22" s="14"/>
    </row>
    <row r="23" spans="2:46" ht="12.75">
      <c r="B23" s="13"/>
      <c r="C23" s="1"/>
      <c r="D23" s="91" t="s">
        <v>669</v>
      </c>
      <c r="E23" s="95"/>
      <c r="F23" s="67"/>
      <c r="G23" s="95"/>
      <c r="H23" s="33">
        <f>SUMIF('form t'!M$11:M$109,D23,'form t'!P$11:P$109)</f>
        <v>0</v>
      </c>
      <c r="I23" s="186"/>
      <c r="J23" s="33">
        <f t="shared" si="2"/>
        <v>0</v>
      </c>
      <c r="K23" s="186"/>
      <c r="L23" s="205">
        <f>+J23*geg!$I$27</f>
        <v>0</v>
      </c>
      <c r="M23" s="1"/>
      <c r="N23" s="7"/>
      <c r="O23" s="1"/>
      <c r="P23" s="233">
        <f t="shared" si="3"/>
        <v>0</v>
      </c>
      <c r="Q23" s="182"/>
      <c r="R23" s="33">
        <f t="shared" si="4"/>
        <v>0</v>
      </c>
      <c r="S23" s="182"/>
      <c r="T23" s="205">
        <f>+R23*geg!$I$27</f>
        <v>0</v>
      </c>
      <c r="U23" s="1"/>
      <c r="V23" s="7"/>
      <c r="W23" s="1"/>
      <c r="X23" s="33">
        <f t="shared" si="0"/>
        <v>0</v>
      </c>
      <c r="Y23" s="186"/>
      <c r="Z23" s="33">
        <f t="shared" si="1"/>
        <v>0</v>
      </c>
      <c r="AA23" s="213"/>
      <c r="AB23" s="205">
        <f>+Z23*geg!$I$27</f>
        <v>0</v>
      </c>
      <c r="AC23" s="1"/>
      <c r="AD23" s="7"/>
      <c r="AE23" s="7"/>
      <c r="AF23" s="8"/>
      <c r="AG23" s="8"/>
      <c r="AH23" s="8"/>
      <c r="AI23" s="8"/>
      <c r="AJ23" s="180"/>
      <c r="AK23" s="7"/>
      <c r="AL23" s="7"/>
      <c r="AM23" s="7"/>
      <c r="AN23" s="8"/>
      <c r="AO23" s="8"/>
      <c r="AP23" s="8"/>
      <c r="AQ23" s="8"/>
      <c r="AR23" s="180"/>
      <c r="AS23" s="7"/>
      <c r="AT23" s="14"/>
    </row>
    <row r="24" spans="2:46" ht="12.75">
      <c r="B24" s="13"/>
      <c r="C24" s="1"/>
      <c r="D24" s="91" t="s">
        <v>684</v>
      </c>
      <c r="E24" s="95"/>
      <c r="F24" s="67"/>
      <c r="G24" s="95"/>
      <c r="H24" s="33">
        <f>SUMIF('form t'!M$11:M$109,D24,'form t'!P$11:P$109)</f>
        <v>0</v>
      </c>
      <c r="I24" s="186"/>
      <c r="J24" s="33">
        <f t="shared" si="2"/>
        <v>0</v>
      </c>
      <c r="K24" s="186"/>
      <c r="L24" s="205">
        <f>+J24*geg!$I$27</f>
        <v>0</v>
      </c>
      <c r="M24" s="1"/>
      <c r="N24" s="7"/>
      <c r="O24" s="1"/>
      <c r="P24" s="233">
        <f t="shared" si="3"/>
        <v>0</v>
      </c>
      <c r="Q24" s="182"/>
      <c r="R24" s="33">
        <f t="shared" si="4"/>
        <v>0</v>
      </c>
      <c r="S24" s="182"/>
      <c r="T24" s="205">
        <f>+R24*geg!$I$27</f>
        <v>0</v>
      </c>
      <c r="U24" s="1"/>
      <c r="V24" s="7"/>
      <c r="W24" s="1"/>
      <c r="X24" s="33">
        <f t="shared" si="0"/>
        <v>0</v>
      </c>
      <c r="Y24" s="186"/>
      <c r="Z24" s="33">
        <f t="shared" si="1"/>
        <v>0</v>
      </c>
      <c r="AA24" s="213"/>
      <c r="AB24" s="205">
        <f>+Z24*geg!$I$27</f>
        <v>0</v>
      </c>
      <c r="AC24" s="1"/>
      <c r="AD24" s="7"/>
      <c r="AE24" s="7"/>
      <c r="AF24" s="8"/>
      <c r="AG24" s="8"/>
      <c r="AH24" s="8"/>
      <c r="AI24" s="8"/>
      <c r="AJ24" s="180"/>
      <c r="AK24" s="7"/>
      <c r="AL24" s="7"/>
      <c r="AM24" s="7"/>
      <c r="AN24" s="8"/>
      <c r="AO24" s="8"/>
      <c r="AP24" s="8"/>
      <c r="AQ24" s="8"/>
      <c r="AR24" s="180"/>
      <c r="AS24" s="7"/>
      <c r="AT24" s="14"/>
    </row>
    <row r="25" spans="2:46" ht="12.75">
      <c r="B25" s="13"/>
      <c r="C25" s="1"/>
      <c r="D25" s="91" t="s">
        <v>685</v>
      </c>
      <c r="E25" s="95"/>
      <c r="F25" s="67"/>
      <c r="G25" s="95"/>
      <c r="H25" s="33">
        <f>SUMIF('form t'!M$11:M$109,D25,'form t'!P$11:P$109)</f>
        <v>0</v>
      </c>
      <c r="I25" s="186"/>
      <c r="J25" s="33">
        <f t="shared" si="2"/>
        <v>0</v>
      </c>
      <c r="K25" s="186"/>
      <c r="L25" s="205">
        <f>+J25*geg!$I$27</f>
        <v>0</v>
      </c>
      <c r="M25" s="1"/>
      <c r="N25" s="7"/>
      <c r="O25" s="1"/>
      <c r="P25" s="233">
        <f t="shared" si="3"/>
        <v>0</v>
      </c>
      <c r="Q25" s="182"/>
      <c r="R25" s="33">
        <f t="shared" si="4"/>
        <v>0</v>
      </c>
      <c r="S25" s="182"/>
      <c r="T25" s="205">
        <f>+R25*geg!$I$27</f>
        <v>0</v>
      </c>
      <c r="U25" s="1"/>
      <c r="V25" s="7"/>
      <c r="W25" s="1"/>
      <c r="X25" s="33">
        <f t="shared" si="0"/>
        <v>0</v>
      </c>
      <c r="Y25" s="186"/>
      <c r="Z25" s="33">
        <f t="shared" si="1"/>
        <v>0</v>
      </c>
      <c r="AA25" s="213"/>
      <c r="AB25" s="205">
        <f>+Z25*geg!$I$27</f>
        <v>0</v>
      </c>
      <c r="AC25" s="1"/>
      <c r="AD25" s="7"/>
      <c r="AE25" s="7"/>
      <c r="AF25" s="8"/>
      <c r="AG25" s="8"/>
      <c r="AH25" s="8"/>
      <c r="AI25" s="8"/>
      <c r="AJ25" s="180"/>
      <c r="AK25" s="7"/>
      <c r="AL25" s="7"/>
      <c r="AM25" s="7"/>
      <c r="AN25" s="8"/>
      <c r="AO25" s="8"/>
      <c r="AP25" s="8"/>
      <c r="AQ25" s="8"/>
      <c r="AR25" s="180"/>
      <c r="AS25" s="7"/>
      <c r="AT25" s="14"/>
    </row>
    <row r="26" spans="2:46" ht="12.75">
      <c r="B26" s="13"/>
      <c r="C26" s="1"/>
      <c r="D26" s="91" t="s">
        <v>686</v>
      </c>
      <c r="E26" s="95"/>
      <c r="F26" s="67"/>
      <c r="G26" s="95"/>
      <c r="H26" s="33">
        <f>SUMIF('form t'!M$11:M$109,D26,'form t'!P$11:P$109)</f>
        <v>0</v>
      </c>
      <c r="I26" s="186"/>
      <c r="J26" s="33">
        <f t="shared" si="2"/>
        <v>0</v>
      </c>
      <c r="K26" s="186"/>
      <c r="L26" s="205">
        <f>+J26*geg!$I$27</f>
        <v>0</v>
      </c>
      <c r="M26" s="1"/>
      <c r="N26" s="7"/>
      <c r="O26" s="1"/>
      <c r="P26" s="233">
        <f t="shared" si="3"/>
        <v>0</v>
      </c>
      <c r="Q26" s="182"/>
      <c r="R26" s="33">
        <f t="shared" si="4"/>
        <v>0</v>
      </c>
      <c r="S26" s="182"/>
      <c r="T26" s="205">
        <f>+R26*geg!$I$27</f>
        <v>0</v>
      </c>
      <c r="U26" s="1"/>
      <c r="V26" s="7"/>
      <c r="W26" s="1"/>
      <c r="X26" s="33">
        <f t="shared" si="0"/>
        <v>0</v>
      </c>
      <c r="Y26" s="186"/>
      <c r="Z26" s="33">
        <f t="shared" si="1"/>
        <v>0</v>
      </c>
      <c r="AA26" s="213"/>
      <c r="AB26" s="205">
        <f>+Z26*geg!$I$27</f>
        <v>0</v>
      </c>
      <c r="AC26" s="1"/>
      <c r="AD26" s="7"/>
      <c r="AE26" s="7"/>
      <c r="AF26" s="8"/>
      <c r="AG26" s="8"/>
      <c r="AH26" s="8"/>
      <c r="AI26" s="8"/>
      <c r="AJ26" s="180"/>
      <c r="AK26" s="7"/>
      <c r="AL26" s="7"/>
      <c r="AM26" s="7"/>
      <c r="AN26" s="8"/>
      <c r="AO26" s="8"/>
      <c r="AP26" s="8"/>
      <c r="AQ26" s="8"/>
      <c r="AR26" s="180"/>
      <c r="AS26" s="7"/>
      <c r="AT26" s="14"/>
    </row>
    <row r="27" spans="2:46" ht="12.75">
      <c r="B27" s="13"/>
      <c r="C27" s="1"/>
      <c r="D27" s="91" t="s">
        <v>676</v>
      </c>
      <c r="E27" s="95"/>
      <c r="F27" s="67"/>
      <c r="G27" s="95"/>
      <c r="H27" s="33">
        <f>SUMIF('form t'!M$11:M$109,D27,'form t'!P$11:P$109)</f>
        <v>0</v>
      </c>
      <c r="I27" s="186"/>
      <c r="J27" s="33">
        <f t="shared" si="2"/>
        <v>0</v>
      </c>
      <c r="K27" s="186"/>
      <c r="L27" s="205">
        <f>+J27*geg!$I$27</f>
        <v>0</v>
      </c>
      <c r="M27" s="1"/>
      <c r="N27" s="7"/>
      <c r="O27" s="1"/>
      <c r="P27" s="233">
        <f t="shared" si="3"/>
        <v>0</v>
      </c>
      <c r="Q27" s="182"/>
      <c r="R27" s="33">
        <f t="shared" si="4"/>
        <v>0</v>
      </c>
      <c r="S27" s="182"/>
      <c r="T27" s="205">
        <f>+R27*geg!$I$27</f>
        <v>0</v>
      </c>
      <c r="U27" s="1"/>
      <c r="V27" s="7"/>
      <c r="W27" s="1"/>
      <c r="X27" s="33">
        <f t="shared" si="0"/>
        <v>0</v>
      </c>
      <c r="Y27" s="186"/>
      <c r="Z27" s="33">
        <f t="shared" si="1"/>
        <v>0</v>
      </c>
      <c r="AA27" s="213"/>
      <c r="AB27" s="205">
        <f>+Z27*geg!$I$27</f>
        <v>0</v>
      </c>
      <c r="AC27" s="1"/>
      <c r="AD27" s="7"/>
      <c r="AE27" s="7"/>
      <c r="AF27" s="8"/>
      <c r="AG27" s="8"/>
      <c r="AH27" s="8"/>
      <c r="AI27" s="8"/>
      <c r="AJ27" s="180"/>
      <c r="AK27" s="7"/>
      <c r="AL27" s="7"/>
      <c r="AM27" s="7"/>
      <c r="AN27" s="8"/>
      <c r="AO27" s="8"/>
      <c r="AP27" s="8"/>
      <c r="AQ27" s="8"/>
      <c r="AR27" s="180"/>
      <c r="AS27" s="7"/>
      <c r="AT27" s="14"/>
    </row>
    <row r="28" spans="2:46" ht="12.75">
      <c r="B28" s="13"/>
      <c r="C28" s="1"/>
      <c r="D28" s="91" t="s">
        <v>677</v>
      </c>
      <c r="E28" s="95"/>
      <c r="F28" s="67"/>
      <c r="G28" s="95"/>
      <c r="H28" s="33">
        <f>SUMIF('form t'!M$11:M$109,D28,'form t'!P$11:P$109)</f>
        <v>0</v>
      </c>
      <c r="I28" s="186"/>
      <c r="J28" s="33">
        <f t="shared" si="2"/>
        <v>0</v>
      </c>
      <c r="K28" s="186"/>
      <c r="L28" s="205">
        <f>+J28*geg!$I$27</f>
        <v>0</v>
      </c>
      <c r="M28" s="1"/>
      <c r="N28" s="7"/>
      <c r="O28" s="1"/>
      <c r="P28" s="233">
        <f t="shared" si="3"/>
        <v>0</v>
      </c>
      <c r="Q28" s="182"/>
      <c r="R28" s="33">
        <f t="shared" si="4"/>
        <v>0</v>
      </c>
      <c r="S28" s="182"/>
      <c r="T28" s="205">
        <f>+R28*geg!$I$27</f>
        <v>0</v>
      </c>
      <c r="U28" s="1"/>
      <c r="V28" s="7"/>
      <c r="W28" s="1"/>
      <c r="X28" s="33">
        <f t="shared" si="0"/>
        <v>0</v>
      </c>
      <c r="Y28" s="186"/>
      <c r="Z28" s="33">
        <f t="shared" si="1"/>
        <v>0</v>
      </c>
      <c r="AA28" s="213"/>
      <c r="AB28" s="205">
        <f>+Z28*geg!$I$27</f>
        <v>0</v>
      </c>
      <c r="AC28" s="1"/>
      <c r="AD28" s="7"/>
      <c r="AE28" s="7"/>
      <c r="AF28" s="8"/>
      <c r="AG28" s="8"/>
      <c r="AH28" s="8"/>
      <c r="AI28" s="8"/>
      <c r="AJ28" s="180"/>
      <c r="AK28" s="7"/>
      <c r="AL28" s="7"/>
      <c r="AM28" s="7"/>
      <c r="AN28" s="8"/>
      <c r="AO28" s="8"/>
      <c r="AP28" s="8"/>
      <c r="AQ28" s="8"/>
      <c r="AR28" s="180"/>
      <c r="AS28" s="7"/>
      <c r="AT28" s="14"/>
    </row>
    <row r="29" spans="2:46" ht="12.75">
      <c r="B29" s="13"/>
      <c r="C29" s="1"/>
      <c r="D29" s="91" t="s">
        <v>678</v>
      </c>
      <c r="E29" s="95"/>
      <c r="F29" s="67"/>
      <c r="G29" s="95"/>
      <c r="H29" s="33">
        <f>SUMIF('form t'!M$11:M$109,D29,'form t'!P$11:P$109)</f>
        <v>0</v>
      </c>
      <c r="I29" s="186"/>
      <c r="J29" s="33">
        <f t="shared" si="2"/>
        <v>0</v>
      </c>
      <c r="K29" s="186"/>
      <c r="L29" s="205">
        <f>+J29*geg!$I$27</f>
        <v>0</v>
      </c>
      <c r="M29" s="1"/>
      <c r="N29" s="7"/>
      <c r="O29" s="1"/>
      <c r="P29" s="233">
        <f t="shared" si="3"/>
        <v>0</v>
      </c>
      <c r="Q29" s="182"/>
      <c r="R29" s="33">
        <f t="shared" si="4"/>
        <v>0</v>
      </c>
      <c r="S29" s="182"/>
      <c r="T29" s="205">
        <f>+R29*geg!$I$27</f>
        <v>0</v>
      </c>
      <c r="U29" s="1"/>
      <c r="V29" s="7"/>
      <c r="W29" s="1"/>
      <c r="X29" s="33">
        <f t="shared" si="0"/>
        <v>0</v>
      </c>
      <c r="Y29" s="186"/>
      <c r="Z29" s="33">
        <f t="shared" si="1"/>
        <v>0</v>
      </c>
      <c r="AA29" s="213"/>
      <c r="AB29" s="205">
        <f>+Z29*geg!$I$27</f>
        <v>0</v>
      </c>
      <c r="AC29" s="1"/>
      <c r="AD29" s="7"/>
      <c r="AE29" s="7"/>
      <c r="AF29" s="8"/>
      <c r="AG29" s="8"/>
      <c r="AH29" s="8"/>
      <c r="AI29" s="8"/>
      <c r="AJ29" s="180"/>
      <c r="AK29" s="7"/>
      <c r="AL29" s="7"/>
      <c r="AM29" s="7"/>
      <c r="AN29" s="8"/>
      <c r="AO29" s="8"/>
      <c r="AP29" s="8"/>
      <c r="AQ29" s="8"/>
      <c r="AR29" s="180"/>
      <c r="AS29" s="7"/>
      <c r="AT29" s="14"/>
    </row>
    <row r="30" spans="2:46" ht="12.75">
      <c r="B30" s="13"/>
      <c r="C30" s="1"/>
      <c r="D30" s="91" t="s">
        <v>679</v>
      </c>
      <c r="E30" s="95"/>
      <c r="F30" s="67"/>
      <c r="G30" s="95"/>
      <c r="H30" s="33">
        <f>SUMIF('form t'!M$11:M$109,D30,'form t'!P$11:P$109)</f>
        <v>0</v>
      </c>
      <c r="I30" s="186"/>
      <c r="J30" s="33">
        <f t="shared" si="2"/>
        <v>0</v>
      </c>
      <c r="K30" s="186"/>
      <c r="L30" s="205">
        <f>+J30*geg!$I$27</f>
        <v>0</v>
      </c>
      <c r="M30" s="1"/>
      <c r="N30" s="7"/>
      <c r="O30" s="1"/>
      <c r="P30" s="233">
        <f t="shared" si="3"/>
        <v>0</v>
      </c>
      <c r="Q30" s="182"/>
      <c r="R30" s="33">
        <f t="shared" si="4"/>
        <v>0</v>
      </c>
      <c r="S30" s="182"/>
      <c r="T30" s="205">
        <f>+R30*geg!$I$27</f>
        <v>0</v>
      </c>
      <c r="U30" s="1"/>
      <c r="V30" s="7"/>
      <c r="W30" s="1"/>
      <c r="X30" s="33">
        <f t="shared" si="0"/>
        <v>0</v>
      </c>
      <c r="Y30" s="186"/>
      <c r="Z30" s="33">
        <f t="shared" si="1"/>
        <v>0</v>
      </c>
      <c r="AA30" s="213"/>
      <c r="AB30" s="205">
        <f>+Z30*geg!$I$27</f>
        <v>0</v>
      </c>
      <c r="AC30" s="1"/>
      <c r="AD30" s="7"/>
      <c r="AE30" s="7"/>
      <c r="AF30" s="8"/>
      <c r="AG30" s="8"/>
      <c r="AH30" s="8"/>
      <c r="AI30" s="8"/>
      <c r="AJ30" s="180"/>
      <c r="AK30" s="7"/>
      <c r="AL30" s="7"/>
      <c r="AM30" s="7"/>
      <c r="AN30" s="8"/>
      <c r="AO30" s="8"/>
      <c r="AP30" s="8"/>
      <c r="AQ30" s="8"/>
      <c r="AR30" s="180"/>
      <c r="AS30" s="7"/>
      <c r="AT30" s="14"/>
    </row>
    <row r="31" spans="2:46" ht="12.75">
      <c r="B31" s="13"/>
      <c r="C31" s="1"/>
      <c r="D31" s="91" t="s">
        <v>680</v>
      </c>
      <c r="E31" s="95"/>
      <c r="F31" s="67"/>
      <c r="G31" s="95"/>
      <c r="H31" s="33">
        <f>SUMIF('form t'!M$11:M$109,D31,'form t'!P$11:P$109)</f>
        <v>0</v>
      </c>
      <c r="I31" s="186"/>
      <c r="J31" s="33">
        <f t="shared" si="2"/>
        <v>0</v>
      </c>
      <c r="K31" s="186"/>
      <c r="L31" s="205">
        <f>+J31*geg!$I$27</f>
        <v>0</v>
      </c>
      <c r="M31" s="1"/>
      <c r="N31" s="7"/>
      <c r="O31" s="1"/>
      <c r="P31" s="233">
        <f t="shared" si="3"/>
        <v>0</v>
      </c>
      <c r="Q31" s="182"/>
      <c r="R31" s="33">
        <f t="shared" si="4"/>
        <v>0</v>
      </c>
      <c r="S31" s="182"/>
      <c r="T31" s="205">
        <f>+R31*geg!$I$27</f>
        <v>0</v>
      </c>
      <c r="U31" s="1"/>
      <c r="V31" s="7"/>
      <c r="W31" s="1"/>
      <c r="X31" s="33">
        <f t="shared" si="0"/>
        <v>0</v>
      </c>
      <c r="Y31" s="186"/>
      <c r="Z31" s="33">
        <f t="shared" si="1"/>
        <v>0</v>
      </c>
      <c r="AA31" s="213"/>
      <c r="AB31" s="205">
        <f>+Z31*geg!$I$27</f>
        <v>0</v>
      </c>
      <c r="AC31" s="1"/>
      <c r="AD31" s="7"/>
      <c r="AE31" s="7"/>
      <c r="AF31" s="8"/>
      <c r="AG31" s="8"/>
      <c r="AH31" s="8"/>
      <c r="AI31" s="8"/>
      <c r="AJ31" s="180"/>
      <c r="AK31" s="7"/>
      <c r="AL31" s="7"/>
      <c r="AM31" s="7"/>
      <c r="AN31" s="8"/>
      <c r="AO31" s="8"/>
      <c r="AP31" s="8"/>
      <c r="AQ31" s="8"/>
      <c r="AR31" s="180"/>
      <c r="AS31" s="7"/>
      <c r="AT31" s="14"/>
    </row>
    <row r="32" spans="2:46" ht="12.75">
      <c r="B32" s="13"/>
      <c r="C32" s="1"/>
      <c r="D32" s="91" t="s">
        <v>687</v>
      </c>
      <c r="E32" s="95"/>
      <c r="F32" s="67"/>
      <c r="G32" s="95"/>
      <c r="H32" s="33">
        <f>SUMIF('form t'!M$11:M$109,D32,'form t'!P$11:P$109)</f>
        <v>0</v>
      </c>
      <c r="I32" s="186"/>
      <c r="J32" s="33">
        <f t="shared" si="2"/>
        <v>0</v>
      </c>
      <c r="K32" s="186"/>
      <c r="L32" s="205">
        <f>+J32*geg!$I$27</f>
        <v>0</v>
      </c>
      <c r="M32" s="1"/>
      <c r="N32" s="7"/>
      <c r="O32" s="1"/>
      <c r="P32" s="233">
        <f t="shared" si="3"/>
        <v>0</v>
      </c>
      <c r="Q32" s="182"/>
      <c r="R32" s="33">
        <f t="shared" si="4"/>
        <v>0</v>
      </c>
      <c r="S32" s="182"/>
      <c r="T32" s="205">
        <f>+R32*geg!$I$27</f>
        <v>0</v>
      </c>
      <c r="U32" s="1"/>
      <c r="V32" s="7"/>
      <c r="W32" s="1"/>
      <c r="X32" s="33">
        <f t="shared" si="0"/>
        <v>0</v>
      </c>
      <c r="Y32" s="186"/>
      <c r="Z32" s="33">
        <f t="shared" si="1"/>
        <v>0</v>
      </c>
      <c r="AA32" s="213"/>
      <c r="AB32" s="205">
        <f>+Z32*geg!$I$27</f>
        <v>0</v>
      </c>
      <c r="AC32" s="1"/>
      <c r="AD32" s="7"/>
      <c r="AE32" s="7"/>
      <c r="AF32" s="8"/>
      <c r="AG32" s="8"/>
      <c r="AH32" s="8"/>
      <c r="AI32" s="8"/>
      <c r="AJ32" s="180"/>
      <c r="AK32" s="7"/>
      <c r="AL32" s="7"/>
      <c r="AM32" s="7"/>
      <c r="AN32" s="8"/>
      <c r="AO32" s="8"/>
      <c r="AP32" s="8"/>
      <c r="AQ32" s="8"/>
      <c r="AR32" s="180"/>
      <c r="AS32" s="7"/>
      <c r="AT32" s="14"/>
    </row>
    <row r="33" spans="2:46" ht="12.75">
      <c r="B33" s="13"/>
      <c r="C33" s="1"/>
      <c r="D33" s="91" t="s">
        <v>670</v>
      </c>
      <c r="E33" s="95"/>
      <c r="F33" s="67"/>
      <c r="G33" s="95"/>
      <c r="H33" s="33">
        <f>SUMIF('form t'!M$11:M$109,D33,'form t'!P$11:P$109)</f>
        <v>33</v>
      </c>
      <c r="I33" s="186"/>
      <c r="J33" s="33">
        <f t="shared" si="2"/>
        <v>33</v>
      </c>
      <c r="K33" s="186"/>
      <c r="L33" s="205">
        <f>+J33*geg!$I$27</f>
        <v>1990340.7216</v>
      </c>
      <c r="M33" s="1"/>
      <c r="N33" s="7"/>
      <c r="O33" s="1"/>
      <c r="P33" s="233">
        <f t="shared" si="3"/>
        <v>33</v>
      </c>
      <c r="Q33" s="182"/>
      <c r="R33" s="33">
        <f t="shared" si="4"/>
        <v>33</v>
      </c>
      <c r="S33" s="182"/>
      <c r="T33" s="205">
        <f>+R33*geg!$I$27</f>
        <v>1990340.7216</v>
      </c>
      <c r="U33" s="1"/>
      <c r="V33" s="7"/>
      <c r="W33" s="1"/>
      <c r="X33" s="33">
        <f t="shared" si="0"/>
        <v>0</v>
      </c>
      <c r="Y33" s="186"/>
      <c r="Z33" s="33">
        <f t="shared" si="1"/>
        <v>0</v>
      </c>
      <c r="AA33" s="213"/>
      <c r="AB33" s="205">
        <f>+Z33*geg!$I$27</f>
        <v>0</v>
      </c>
      <c r="AC33" s="1"/>
      <c r="AD33" s="7"/>
      <c r="AE33" s="7"/>
      <c r="AF33" s="8"/>
      <c r="AG33" s="8"/>
      <c r="AH33" s="8"/>
      <c r="AI33" s="8"/>
      <c r="AJ33" s="180"/>
      <c r="AK33" s="7"/>
      <c r="AL33" s="7"/>
      <c r="AM33" s="7"/>
      <c r="AN33" s="8"/>
      <c r="AO33" s="8"/>
      <c r="AP33" s="8"/>
      <c r="AQ33" s="8"/>
      <c r="AR33" s="180"/>
      <c r="AS33" s="7"/>
      <c r="AT33" s="14"/>
    </row>
    <row r="34" spans="2:46" ht="12.75">
      <c r="B34" s="13"/>
      <c r="C34" s="1"/>
      <c r="D34" s="91" t="s">
        <v>688</v>
      </c>
      <c r="E34" s="95"/>
      <c r="F34" s="67"/>
      <c r="G34" s="95"/>
      <c r="H34" s="33">
        <f>SUMIF('form t'!M$11:M$109,D34,'form t'!P$11:P$109)</f>
        <v>0</v>
      </c>
      <c r="I34" s="186"/>
      <c r="J34" s="33">
        <f t="shared" si="2"/>
        <v>0</v>
      </c>
      <c r="K34" s="186"/>
      <c r="L34" s="205">
        <f>+J34*geg!$I$27</f>
        <v>0</v>
      </c>
      <c r="M34" s="1"/>
      <c r="N34" s="7"/>
      <c r="O34" s="1"/>
      <c r="P34" s="233">
        <f t="shared" si="3"/>
        <v>0</v>
      </c>
      <c r="Q34" s="182"/>
      <c r="R34" s="33">
        <f t="shared" si="4"/>
        <v>0</v>
      </c>
      <c r="S34" s="182"/>
      <c r="T34" s="205">
        <f>+R34*geg!$I$27</f>
        <v>0</v>
      </c>
      <c r="U34" s="1"/>
      <c r="V34" s="7"/>
      <c r="W34" s="1"/>
      <c r="X34" s="33">
        <f t="shared" si="0"/>
        <v>0</v>
      </c>
      <c r="Y34" s="186"/>
      <c r="Z34" s="33">
        <f t="shared" si="1"/>
        <v>0</v>
      </c>
      <c r="AA34" s="213"/>
      <c r="AB34" s="205">
        <f>+Z34*geg!$I$27</f>
        <v>0</v>
      </c>
      <c r="AC34" s="1"/>
      <c r="AD34" s="7"/>
      <c r="AE34" s="7"/>
      <c r="AF34" s="8"/>
      <c r="AG34" s="8"/>
      <c r="AH34" s="8"/>
      <c r="AI34" s="8"/>
      <c r="AJ34" s="180"/>
      <c r="AK34" s="7"/>
      <c r="AL34" s="7"/>
      <c r="AM34" s="7"/>
      <c r="AN34" s="8"/>
      <c r="AO34" s="8"/>
      <c r="AP34" s="8"/>
      <c r="AQ34" s="8"/>
      <c r="AR34" s="180"/>
      <c r="AS34" s="7"/>
      <c r="AT34" s="14"/>
    </row>
    <row r="35" spans="2:46" ht="12.75">
      <c r="B35" s="13"/>
      <c r="C35" s="1"/>
      <c r="D35" s="91" t="s">
        <v>689</v>
      </c>
      <c r="E35" s="95"/>
      <c r="F35" s="67"/>
      <c r="G35" s="95"/>
      <c r="H35" s="33">
        <f>SUMIF('form t'!M$11:M$109,D35,'form t'!P$11:P$109)</f>
        <v>0</v>
      </c>
      <c r="I35" s="186"/>
      <c r="J35" s="33">
        <f t="shared" si="2"/>
        <v>0</v>
      </c>
      <c r="K35" s="186"/>
      <c r="L35" s="205">
        <f>+J35*geg!$I$27</f>
        <v>0</v>
      </c>
      <c r="M35" s="1"/>
      <c r="N35" s="7"/>
      <c r="O35" s="1"/>
      <c r="P35" s="233">
        <f t="shared" si="3"/>
        <v>0</v>
      </c>
      <c r="Q35" s="182"/>
      <c r="R35" s="33">
        <f t="shared" si="4"/>
        <v>0</v>
      </c>
      <c r="S35" s="182"/>
      <c r="T35" s="205">
        <f>+R35*geg!$I$27</f>
        <v>0</v>
      </c>
      <c r="U35" s="1"/>
      <c r="V35" s="7"/>
      <c r="W35" s="1"/>
      <c r="X35" s="33">
        <f t="shared" si="0"/>
        <v>0</v>
      </c>
      <c r="Y35" s="186"/>
      <c r="Z35" s="33">
        <f t="shared" si="1"/>
        <v>0</v>
      </c>
      <c r="AA35" s="213"/>
      <c r="AB35" s="205">
        <f>+Z35*geg!$I$27</f>
        <v>0</v>
      </c>
      <c r="AC35" s="1"/>
      <c r="AD35" s="7"/>
      <c r="AE35" s="7"/>
      <c r="AF35" s="8"/>
      <c r="AG35" s="8"/>
      <c r="AH35" s="8"/>
      <c r="AI35" s="8"/>
      <c r="AJ35" s="180"/>
      <c r="AK35" s="7"/>
      <c r="AL35" s="7"/>
      <c r="AM35" s="7"/>
      <c r="AN35" s="8"/>
      <c r="AO35" s="8"/>
      <c r="AP35" s="8"/>
      <c r="AQ35" s="8"/>
      <c r="AR35" s="180"/>
      <c r="AS35" s="7"/>
      <c r="AT35" s="14"/>
    </row>
    <row r="36" spans="2:46" ht="12.75">
      <c r="B36" s="13"/>
      <c r="C36" s="1"/>
      <c r="D36" s="91" t="s">
        <v>690</v>
      </c>
      <c r="E36" s="95"/>
      <c r="F36" s="67"/>
      <c r="G36" s="95"/>
      <c r="H36" s="33">
        <f>SUMIF('form t'!M$11:M$109,D36,'form t'!P$11:P$109)</f>
        <v>0</v>
      </c>
      <c r="I36" s="186"/>
      <c r="J36" s="33">
        <f t="shared" si="2"/>
        <v>0</v>
      </c>
      <c r="K36" s="186"/>
      <c r="L36" s="205">
        <f>+J36*geg!$I$27</f>
        <v>0</v>
      </c>
      <c r="M36" s="1"/>
      <c r="N36" s="7"/>
      <c r="O36" s="1"/>
      <c r="P36" s="233">
        <f t="shared" si="3"/>
        <v>0</v>
      </c>
      <c r="Q36" s="182"/>
      <c r="R36" s="33">
        <f t="shared" si="4"/>
        <v>0</v>
      </c>
      <c r="S36" s="182"/>
      <c r="T36" s="205">
        <f>+R36*geg!$I$27</f>
        <v>0</v>
      </c>
      <c r="U36" s="1"/>
      <c r="V36" s="7"/>
      <c r="W36" s="1"/>
      <c r="X36" s="33">
        <f t="shared" si="0"/>
        <v>0</v>
      </c>
      <c r="Y36" s="186"/>
      <c r="Z36" s="33">
        <f t="shared" si="1"/>
        <v>0</v>
      </c>
      <c r="AA36" s="213"/>
      <c r="AB36" s="205">
        <f>+Z36*geg!$I$27</f>
        <v>0</v>
      </c>
      <c r="AC36" s="1"/>
      <c r="AD36" s="7"/>
      <c r="AE36" s="7"/>
      <c r="AF36" s="8"/>
      <c r="AG36" s="8"/>
      <c r="AH36" s="8"/>
      <c r="AI36" s="8"/>
      <c r="AJ36" s="180"/>
      <c r="AK36" s="7"/>
      <c r="AL36" s="7"/>
      <c r="AM36" s="7"/>
      <c r="AN36" s="8"/>
      <c r="AO36" s="8"/>
      <c r="AP36" s="8"/>
      <c r="AQ36" s="8"/>
      <c r="AR36" s="180"/>
      <c r="AS36" s="7"/>
      <c r="AT36" s="14"/>
    </row>
    <row r="37" spans="2:46" ht="12.75">
      <c r="B37" s="13"/>
      <c r="C37" s="1"/>
      <c r="D37" s="91">
        <v>1</v>
      </c>
      <c r="E37" s="95"/>
      <c r="F37" s="67"/>
      <c r="G37" s="95"/>
      <c r="H37" s="33">
        <f>SUMIF('form t'!M$11:M$109,D37,'form t'!P$11:P$109)</f>
        <v>0</v>
      </c>
      <c r="I37" s="186"/>
      <c r="J37" s="33">
        <f t="shared" si="2"/>
        <v>0</v>
      </c>
      <c r="K37" s="186"/>
      <c r="L37" s="205">
        <f>+J37*geg!$I$27</f>
        <v>0</v>
      </c>
      <c r="M37" s="1"/>
      <c r="N37" s="7"/>
      <c r="O37" s="1"/>
      <c r="P37" s="233">
        <f t="shared" si="3"/>
        <v>0</v>
      </c>
      <c r="Q37" s="182"/>
      <c r="R37" s="33">
        <f t="shared" si="4"/>
        <v>0</v>
      </c>
      <c r="S37" s="182"/>
      <c r="T37" s="205">
        <f>+R37*geg!$I$27</f>
        <v>0</v>
      </c>
      <c r="U37" s="1"/>
      <c r="V37" s="7"/>
      <c r="W37" s="1"/>
      <c r="X37" s="33">
        <f t="shared" si="0"/>
        <v>0</v>
      </c>
      <c r="Y37" s="186"/>
      <c r="Z37" s="33">
        <f t="shared" si="1"/>
        <v>0</v>
      </c>
      <c r="AA37" s="213"/>
      <c r="AB37" s="205">
        <f>+Z37*geg!$I$27</f>
        <v>0</v>
      </c>
      <c r="AC37" s="1"/>
      <c r="AD37" s="7"/>
      <c r="AE37" s="7"/>
      <c r="AF37" s="8"/>
      <c r="AG37" s="8"/>
      <c r="AH37" s="8"/>
      <c r="AI37" s="8"/>
      <c r="AJ37" s="180"/>
      <c r="AK37" s="7"/>
      <c r="AL37" s="7"/>
      <c r="AM37" s="7"/>
      <c r="AN37" s="8"/>
      <c r="AO37" s="8"/>
      <c r="AP37" s="8"/>
      <c r="AQ37" s="8"/>
      <c r="AR37" s="180"/>
      <c r="AS37" s="7"/>
      <c r="AT37" s="14"/>
    </row>
    <row r="38" spans="2:46" ht="12.75">
      <c r="B38" s="13"/>
      <c r="C38" s="1"/>
      <c r="D38" s="91">
        <v>2</v>
      </c>
      <c r="E38" s="95"/>
      <c r="F38" s="67"/>
      <c r="G38" s="95"/>
      <c r="H38" s="33">
        <f>SUMIF('form t'!M$11:M$109,D38,'form t'!P$11:P$109)</f>
        <v>0</v>
      </c>
      <c r="I38" s="186"/>
      <c r="J38" s="33">
        <f t="shared" si="2"/>
        <v>0</v>
      </c>
      <c r="K38" s="186"/>
      <c r="L38" s="205">
        <f>+J38*geg!$I$27</f>
        <v>0</v>
      </c>
      <c r="M38" s="1"/>
      <c r="N38" s="7"/>
      <c r="O38" s="1"/>
      <c r="P38" s="233">
        <f t="shared" si="3"/>
        <v>0</v>
      </c>
      <c r="Q38" s="182"/>
      <c r="R38" s="33">
        <f t="shared" si="4"/>
        <v>0</v>
      </c>
      <c r="S38" s="182"/>
      <c r="T38" s="205">
        <f>+R38*geg!$I$27</f>
        <v>0</v>
      </c>
      <c r="U38" s="1"/>
      <c r="V38" s="7"/>
      <c r="W38" s="1"/>
      <c r="X38" s="33">
        <f t="shared" si="0"/>
        <v>0</v>
      </c>
      <c r="Y38" s="186"/>
      <c r="Z38" s="33">
        <f t="shared" si="1"/>
        <v>0</v>
      </c>
      <c r="AA38" s="213"/>
      <c r="AB38" s="205">
        <f>+Z38*geg!$I$27</f>
        <v>0</v>
      </c>
      <c r="AC38" s="1"/>
      <c r="AD38" s="7"/>
      <c r="AE38" s="7"/>
      <c r="AF38" s="8"/>
      <c r="AG38" s="8"/>
      <c r="AH38" s="8"/>
      <c r="AI38" s="8"/>
      <c r="AJ38" s="180"/>
      <c r="AK38" s="7"/>
      <c r="AL38" s="7"/>
      <c r="AM38" s="7"/>
      <c r="AN38" s="8"/>
      <c r="AO38" s="8"/>
      <c r="AP38" s="8"/>
      <c r="AQ38" s="8"/>
      <c r="AR38" s="180"/>
      <c r="AS38" s="7"/>
      <c r="AT38" s="14"/>
    </row>
    <row r="39" spans="2:46" ht="12.75">
      <c r="B39" s="13"/>
      <c r="C39" s="1"/>
      <c r="D39" s="91">
        <v>3</v>
      </c>
      <c r="E39" s="95"/>
      <c r="F39" s="67"/>
      <c r="G39" s="95"/>
      <c r="H39" s="33">
        <f>SUMIF('form t'!M$11:M$109,D39,'form t'!P$11:P$109)</f>
        <v>0</v>
      </c>
      <c r="I39" s="186"/>
      <c r="J39" s="33">
        <f t="shared" si="2"/>
        <v>0</v>
      </c>
      <c r="K39" s="186"/>
      <c r="L39" s="205">
        <f>+J39*geg!$I$27</f>
        <v>0</v>
      </c>
      <c r="M39" s="1"/>
      <c r="N39" s="7"/>
      <c r="O39" s="1"/>
      <c r="P39" s="233">
        <f t="shared" si="3"/>
        <v>0</v>
      </c>
      <c r="Q39" s="182"/>
      <c r="R39" s="33">
        <f t="shared" si="4"/>
        <v>0</v>
      </c>
      <c r="S39" s="182"/>
      <c r="T39" s="205">
        <f>+R39*geg!$I$27</f>
        <v>0</v>
      </c>
      <c r="U39" s="1"/>
      <c r="V39" s="7"/>
      <c r="W39" s="1"/>
      <c r="X39" s="33">
        <f t="shared" si="0"/>
        <v>0</v>
      </c>
      <c r="Y39" s="186"/>
      <c r="Z39" s="33">
        <f t="shared" si="1"/>
        <v>0</v>
      </c>
      <c r="AA39" s="213"/>
      <c r="AB39" s="205">
        <f>+Z39*geg!$I$27</f>
        <v>0</v>
      </c>
      <c r="AC39" s="1"/>
      <c r="AD39" s="7"/>
      <c r="AE39" s="7"/>
      <c r="AF39" s="8"/>
      <c r="AG39" s="8"/>
      <c r="AH39" s="8"/>
      <c r="AI39" s="8"/>
      <c r="AJ39" s="180"/>
      <c r="AK39" s="7"/>
      <c r="AL39" s="7"/>
      <c r="AM39" s="7"/>
      <c r="AN39" s="8"/>
      <c r="AO39" s="8"/>
      <c r="AP39" s="8"/>
      <c r="AQ39" s="8"/>
      <c r="AR39" s="180"/>
      <c r="AS39" s="7"/>
      <c r="AT39" s="14"/>
    </row>
    <row r="40" spans="2:46" ht="12.75">
      <c r="B40" s="13"/>
      <c r="C40" s="1"/>
      <c r="D40" s="91">
        <v>4</v>
      </c>
      <c r="E40" s="95"/>
      <c r="F40" s="67"/>
      <c r="G40" s="95"/>
      <c r="H40" s="33">
        <f>SUMIF('form t'!M$11:M$109,D40,'form t'!P$11:P$109)</f>
        <v>0</v>
      </c>
      <c r="I40" s="186"/>
      <c r="J40" s="33">
        <f t="shared" si="2"/>
        <v>0</v>
      </c>
      <c r="K40" s="186"/>
      <c r="L40" s="205">
        <f>+J40*geg!$I$27</f>
        <v>0</v>
      </c>
      <c r="M40" s="1"/>
      <c r="N40" s="7"/>
      <c r="O40" s="1"/>
      <c r="P40" s="233">
        <f t="shared" si="3"/>
        <v>0</v>
      </c>
      <c r="Q40" s="182"/>
      <c r="R40" s="33">
        <f t="shared" si="4"/>
        <v>0</v>
      </c>
      <c r="S40" s="182"/>
      <c r="T40" s="205">
        <f>+R40*geg!$I$27</f>
        <v>0</v>
      </c>
      <c r="U40" s="1"/>
      <c r="V40" s="7"/>
      <c r="W40" s="1"/>
      <c r="X40" s="33">
        <f t="shared" si="0"/>
        <v>0</v>
      </c>
      <c r="Y40" s="186"/>
      <c r="Z40" s="33">
        <f t="shared" si="1"/>
        <v>0</v>
      </c>
      <c r="AA40" s="213"/>
      <c r="AB40" s="205">
        <f>+Z40*geg!$I$27</f>
        <v>0</v>
      </c>
      <c r="AC40" s="1"/>
      <c r="AD40" s="7"/>
      <c r="AE40" s="7"/>
      <c r="AF40" s="8"/>
      <c r="AG40" s="8"/>
      <c r="AH40" s="8"/>
      <c r="AI40" s="8"/>
      <c r="AJ40" s="180"/>
      <c r="AK40" s="7"/>
      <c r="AL40" s="7"/>
      <c r="AM40" s="7"/>
      <c r="AN40" s="8"/>
      <c r="AO40" s="8"/>
      <c r="AP40" s="8"/>
      <c r="AQ40" s="8"/>
      <c r="AR40" s="180"/>
      <c r="AS40" s="7"/>
      <c r="AT40" s="14"/>
    </row>
    <row r="41" spans="2:46" ht="12.75">
      <c r="B41" s="13"/>
      <c r="C41" s="1"/>
      <c r="D41" s="91">
        <v>5</v>
      </c>
      <c r="E41" s="95"/>
      <c r="F41" s="67"/>
      <c r="G41" s="95"/>
      <c r="H41" s="33">
        <f>SUMIF('form t'!M$11:M$109,D41,'form t'!P$11:P$109)</f>
        <v>0</v>
      </c>
      <c r="I41" s="186"/>
      <c r="J41" s="33">
        <f t="shared" si="2"/>
        <v>0</v>
      </c>
      <c r="K41" s="186"/>
      <c r="L41" s="205">
        <f>+J41*geg!$I$27</f>
        <v>0</v>
      </c>
      <c r="M41" s="1"/>
      <c r="N41" s="7"/>
      <c r="O41" s="1"/>
      <c r="P41" s="233">
        <f t="shared" si="3"/>
        <v>0</v>
      </c>
      <c r="Q41" s="182"/>
      <c r="R41" s="33">
        <f t="shared" si="4"/>
        <v>0</v>
      </c>
      <c r="S41" s="182"/>
      <c r="T41" s="205">
        <f>+R41*geg!$I$27</f>
        <v>0</v>
      </c>
      <c r="U41" s="1"/>
      <c r="V41" s="7"/>
      <c r="W41" s="1"/>
      <c r="X41" s="33">
        <f t="shared" si="0"/>
        <v>0</v>
      </c>
      <c r="Y41" s="186"/>
      <c r="Z41" s="33">
        <f t="shared" si="1"/>
        <v>0</v>
      </c>
      <c r="AA41" s="213"/>
      <c r="AB41" s="205">
        <f>+Z41*geg!$I$27</f>
        <v>0</v>
      </c>
      <c r="AC41" s="1"/>
      <c r="AD41" s="7"/>
      <c r="AE41" s="7"/>
      <c r="AF41" s="8"/>
      <c r="AG41" s="8"/>
      <c r="AH41" s="8"/>
      <c r="AI41" s="8"/>
      <c r="AJ41" s="180"/>
      <c r="AK41" s="7"/>
      <c r="AL41" s="7"/>
      <c r="AM41" s="7"/>
      <c r="AN41" s="8"/>
      <c r="AO41" s="8"/>
      <c r="AP41" s="8"/>
      <c r="AQ41" s="8"/>
      <c r="AR41" s="180"/>
      <c r="AS41" s="7"/>
      <c r="AT41" s="14"/>
    </row>
    <row r="42" spans="2:46" ht="12.75">
      <c r="B42" s="13"/>
      <c r="C42" s="1"/>
      <c r="D42" s="91">
        <v>6</v>
      </c>
      <c r="E42" s="95"/>
      <c r="F42" s="67"/>
      <c r="G42" s="95"/>
      <c r="H42" s="33">
        <f>SUMIF('form t'!M$11:M$109,D42,'form t'!P$11:P$109)</f>
        <v>0</v>
      </c>
      <c r="I42" s="186"/>
      <c r="J42" s="33">
        <f t="shared" si="2"/>
        <v>0</v>
      </c>
      <c r="K42" s="186"/>
      <c r="L42" s="205">
        <f>+J42*geg!$I$27</f>
        <v>0</v>
      </c>
      <c r="M42" s="1"/>
      <c r="N42" s="7"/>
      <c r="O42" s="1"/>
      <c r="P42" s="233">
        <f t="shared" si="3"/>
        <v>0</v>
      </c>
      <c r="Q42" s="182"/>
      <c r="R42" s="33">
        <f t="shared" si="4"/>
        <v>0</v>
      </c>
      <c r="S42" s="182"/>
      <c r="T42" s="205">
        <f>+R42*geg!$I$27</f>
        <v>0</v>
      </c>
      <c r="U42" s="1"/>
      <c r="V42" s="7"/>
      <c r="W42" s="1"/>
      <c r="X42" s="33">
        <f t="shared" si="0"/>
        <v>0</v>
      </c>
      <c r="Y42" s="186"/>
      <c r="Z42" s="33">
        <f t="shared" si="1"/>
        <v>0</v>
      </c>
      <c r="AA42" s="213"/>
      <c r="AB42" s="205">
        <f>+Z42*geg!$I$27</f>
        <v>0</v>
      </c>
      <c r="AC42" s="1"/>
      <c r="AD42" s="7"/>
      <c r="AE42" s="7"/>
      <c r="AF42" s="8"/>
      <c r="AG42" s="8"/>
      <c r="AH42" s="8"/>
      <c r="AI42" s="8"/>
      <c r="AJ42" s="180"/>
      <c r="AK42" s="7"/>
      <c r="AL42" s="7"/>
      <c r="AM42" s="7"/>
      <c r="AN42" s="8"/>
      <c r="AO42" s="8"/>
      <c r="AP42" s="8"/>
      <c r="AQ42" s="8"/>
      <c r="AR42" s="180"/>
      <c r="AS42" s="7"/>
      <c r="AT42" s="14"/>
    </row>
    <row r="43" spans="2:46" ht="12.75">
      <c r="B43" s="13"/>
      <c r="C43" s="1"/>
      <c r="D43" s="91">
        <v>7</v>
      </c>
      <c r="E43" s="95"/>
      <c r="F43" s="67"/>
      <c r="G43" s="95"/>
      <c r="H43" s="33">
        <f>SUMIF('form t'!M$11:M$109,D43,'form t'!P$11:P$109)</f>
        <v>0</v>
      </c>
      <c r="I43" s="186"/>
      <c r="J43" s="33">
        <f t="shared" si="2"/>
        <v>0</v>
      </c>
      <c r="K43" s="186"/>
      <c r="L43" s="205">
        <f>+J43*geg!$I$27</f>
        <v>0</v>
      </c>
      <c r="M43" s="1"/>
      <c r="N43" s="7"/>
      <c r="O43" s="1"/>
      <c r="P43" s="233">
        <f t="shared" si="3"/>
        <v>0</v>
      </c>
      <c r="Q43" s="182"/>
      <c r="R43" s="33">
        <f t="shared" si="4"/>
        <v>0</v>
      </c>
      <c r="S43" s="182"/>
      <c r="T43" s="205">
        <f>+R43*geg!$I$27</f>
        <v>0</v>
      </c>
      <c r="U43" s="1"/>
      <c r="V43" s="7"/>
      <c r="W43" s="1"/>
      <c r="X43" s="33">
        <f t="shared" si="0"/>
        <v>0</v>
      </c>
      <c r="Y43" s="186"/>
      <c r="Z43" s="33">
        <f t="shared" si="1"/>
        <v>0</v>
      </c>
      <c r="AA43" s="213"/>
      <c r="AB43" s="205">
        <f>+Z43*geg!$I$27</f>
        <v>0</v>
      </c>
      <c r="AC43" s="1"/>
      <c r="AD43" s="7"/>
      <c r="AE43" s="7"/>
      <c r="AF43" s="8"/>
      <c r="AG43" s="8"/>
      <c r="AH43" s="8"/>
      <c r="AI43" s="8"/>
      <c r="AJ43" s="180"/>
      <c r="AK43" s="7"/>
      <c r="AL43" s="7"/>
      <c r="AM43" s="7"/>
      <c r="AN43" s="8"/>
      <c r="AO43" s="8"/>
      <c r="AP43" s="8"/>
      <c r="AQ43" s="8"/>
      <c r="AR43" s="180"/>
      <c r="AS43" s="7"/>
      <c r="AT43" s="14"/>
    </row>
    <row r="44" spans="2:46" ht="12.75">
      <c r="B44" s="13"/>
      <c r="C44" s="1"/>
      <c r="D44" s="91">
        <v>8</v>
      </c>
      <c r="E44" s="95"/>
      <c r="F44" s="67"/>
      <c r="G44" s="95"/>
      <c r="H44" s="33">
        <f>SUMIF('form t'!M$11:M$109,D44,'form t'!P$11:P$109)</f>
        <v>0</v>
      </c>
      <c r="I44" s="186"/>
      <c r="J44" s="33">
        <f t="shared" si="2"/>
        <v>0</v>
      </c>
      <c r="K44" s="186"/>
      <c r="L44" s="205">
        <f>+J44*geg!$I$27</f>
        <v>0</v>
      </c>
      <c r="M44" s="1"/>
      <c r="N44" s="7"/>
      <c r="O44" s="1"/>
      <c r="P44" s="233">
        <f t="shared" si="3"/>
        <v>0</v>
      </c>
      <c r="Q44" s="182"/>
      <c r="R44" s="33">
        <f t="shared" si="4"/>
        <v>0</v>
      </c>
      <c r="S44" s="182"/>
      <c r="T44" s="205">
        <f>+R44*geg!$I$27</f>
        <v>0</v>
      </c>
      <c r="U44" s="1"/>
      <c r="V44" s="7"/>
      <c r="W44" s="1"/>
      <c r="X44" s="33">
        <f t="shared" si="0"/>
        <v>0</v>
      </c>
      <c r="Y44" s="186"/>
      <c r="Z44" s="33">
        <f t="shared" si="1"/>
        <v>0</v>
      </c>
      <c r="AA44" s="213"/>
      <c r="AB44" s="205">
        <f>+Z44*geg!$I$27</f>
        <v>0</v>
      </c>
      <c r="AC44" s="1"/>
      <c r="AD44" s="7"/>
      <c r="AE44" s="7"/>
      <c r="AF44" s="8"/>
      <c r="AG44" s="8"/>
      <c r="AH44" s="8"/>
      <c r="AI44" s="8"/>
      <c r="AJ44" s="180"/>
      <c r="AK44" s="7"/>
      <c r="AL44" s="7"/>
      <c r="AM44" s="7"/>
      <c r="AN44" s="8"/>
      <c r="AO44" s="8"/>
      <c r="AP44" s="8"/>
      <c r="AQ44" s="8"/>
      <c r="AR44" s="180"/>
      <c r="AS44" s="7"/>
      <c r="AT44" s="14"/>
    </row>
    <row r="45" spans="2:46" ht="12.75">
      <c r="B45" s="13"/>
      <c r="C45" s="1"/>
      <c r="D45" s="91">
        <v>9</v>
      </c>
      <c r="E45" s="95"/>
      <c r="F45" s="67"/>
      <c r="G45" s="95"/>
      <c r="H45" s="33">
        <f>SUMIF('form t'!M$11:M$109,D45,'form t'!P$11:P$109)</f>
        <v>0</v>
      </c>
      <c r="I45" s="186"/>
      <c r="J45" s="33">
        <f t="shared" si="2"/>
        <v>0</v>
      </c>
      <c r="K45" s="186"/>
      <c r="L45" s="205">
        <f>+J45*geg!$I$27</f>
        <v>0</v>
      </c>
      <c r="M45" s="1"/>
      <c r="N45" s="7"/>
      <c r="O45" s="1"/>
      <c r="P45" s="233">
        <f t="shared" si="3"/>
        <v>0</v>
      </c>
      <c r="Q45" s="182"/>
      <c r="R45" s="33">
        <f t="shared" si="4"/>
        <v>0</v>
      </c>
      <c r="S45" s="182"/>
      <c r="T45" s="205">
        <f>+R45*geg!$I$27</f>
        <v>0</v>
      </c>
      <c r="U45" s="1"/>
      <c r="V45" s="7"/>
      <c r="W45" s="1"/>
      <c r="X45" s="33">
        <f t="shared" si="0"/>
        <v>0</v>
      </c>
      <c r="Y45" s="186"/>
      <c r="Z45" s="33">
        <f t="shared" si="1"/>
        <v>0</v>
      </c>
      <c r="AA45" s="213"/>
      <c r="AB45" s="205">
        <f>+Z45*geg!$I$27</f>
        <v>0</v>
      </c>
      <c r="AC45" s="1"/>
      <c r="AD45" s="7"/>
      <c r="AE45" s="7"/>
      <c r="AF45" s="8"/>
      <c r="AG45" s="8"/>
      <c r="AH45" s="8"/>
      <c r="AI45" s="8"/>
      <c r="AJ45" s="180"/>
      <c r="AK45" s="7"/>
      <c r="AL45" s="7"/>
      <c r="AM45" s="7"/>
      <c r="AN45" s="8"/>
      <c r="AO45" s="8"/>
      <c r="AP45" s="8"/>
      <c r="AQ45" s="8"/>
      <c r="AR45" s="180"/>
      <c r="AS45" s="7"/>
      <c r="AT45" s="14"/>
    </row>
    <row r="46" spans="2:46" ht="12.75">
      <c r="B46" s="13"/>
      <c r="C46" s="1"/>
      <c r="D46" s="91">
        <v>10</v>
      </c>
      <c r="E46" s="95"/>
      <c r="F46" s="67"/>
      <c r="G46" s="95"/>
      <c r="H46" s="33">
        <f>SUMIF('form t'!M$11:M$109,D46,'form t'!P$11:P$109)</f>
        <v>0</v>
      </c>
      <c r="I46" s="186"/>
      <c r="J46" s="33">
        <f t="shared" si="2"/>
        <v>0</v>
      </c>
      <c r="K46" s="186"/>
      <c r="L46" s="205">
        <f>+J46*geg!$I$27</f>
        <v>0</v>
      </c>
      <c r="M46" s="1"/>
      <c r="N46" s="7"/>
      <c r="O46" s="1"/>
      <c r="P46" s="233">
        <f t="shared" si="3"/>
        <v>0</v>
      </c>
      <c r="Q46" s="182"/>
      <c r="R46" s="33">
        <f t="shared" si="4"/>
        <v>0</v>
      </c>
      <c r="S46" s="182"/>
      <c r="T46" s="205">
        <f>+R46*geg!$I$27</f>
        <v>0</v>
      </c>
      <c r="U46" s="1"/>
      <c r="V46" s="7"/>
      <c r="W46" s="1"/>
      <c r="X46" s="33">
        <f t="shared" si="0"/>
        <v>0</v>
      </c>
      <c r="Y46" s="186"/>
      <c r="Z46" s="33">
        <f t="shared" si="1"/>
        <v>0</v>
      </c>
      <c r="AA46" s="213"/>
      <c r="AB46" s="205">
        <f>+Z46*geg!$I$27</f>
        <v>0</v>
      </c>
      <c r="AC46" s="1"/>
      <c r="AD46" s="7"/>
      <c r="AE46" s="7"/>
      <c r="AF46" s="8"/>
      <c r="AG46" s="8"/>
      <c r="AH46" s="8"/>
      <c r="AI46" s="8"/>
      <c r="AJ46" s="180"/>
      <c r="AK46" s="7"/>
      <c r="AL46" s="7"/>
      <c r="AM46" s="7"/>
      <c r="AN46" s="8"/>
      <c r="AO46" s="8"/>
      <c r="AP46" s="8"/>
      <c r="AQ46" s="8"/>
      <c r="AR46" s="180"/>
      <c r="AS46" s="7"/>
      <c r="AT46" s="14"/>
    </row>
    <row r="47" spans="2:46" ht="12.75">
      <c r="B47" s="13"/>
      <c r="C47" s="1"/>
      <c r="D47" s="91">
        <v>11</v>
      </c>
      <c r="E47" s="95"/>
      <c r="F47" s="67"/>
      <c r="G47" s="95"/>
      <c r="H47" s="33">
        <f>SUMIF('form t'!M$11:M$109,D47,'form t'!P$11:P$109)</f>
        <v>0</v>
      </c>
      <c r="I47" s="186"/>
      <c r="J47" s="33">
        <f t="shared" si="2"/>
        <v>0</v>
      </c>
      <c r="K47" s="186"/>
      <c r="L47" s="205">
        <f>+J47*geg!$I$27</f>
        <v>0</v>
      </c>
      <c r="M47" s="1"/>
      <c r="N47" s="7"/>
      <c r="O47" s="1"/>
      <c r="P47" s="233">
        <f t="shared" si="3"/>
        <v>0</v>
      </c>
      <c r="Q47" s="182"/>
      <c r="R47" s="33">
        <f t="shared" si="4"/>
        <v>0</v>
      </c>
      <c r="S47" s="182"/>
      <c r="T47" s="205">
        <f>+R47*geg!$I$27</f>
        <v>0</v>
      </c>
      <c r="U47" s="1"/>
      <c r="V47" s="7"/>
      <c r="W47" s="1"/>
      <c r="X47" s="33">
        <f t="shared" si="0"/>
        <v>0</v>
      </c>
      <c r="Y47" s="186"/>
      <c r="Z47" s="33">
        <f t="shared" si="1"/>
        <v>0</v>
      </c>
      <c r="AA47" s="213"/>
      <c r="AB47" s="205">
        <f>+Z47*geg!$I$27</f>
        <v>0</v>
      </c>
      <c r="AC47" s="1"/>
      <c r="AD47" s="7"/>
      <c r="AE47" s="7"/>
      <c r="AF47" s="8"/>
      <c r="AG47" s="8"/>
      <c r="AH47" s="8"/>
      <c r="AI47" s="8"/>
      <c r="AJ47" s="180"/>
      <c r="AK47" s="7"/>
      <c r="AL47" s="7"/>
      <c r="AM47" s="7"/>
      <c r="AN47" s="8"/>
      <c r="AO47" s="8"/>
      <c r="AP47" s="8"/>
      <c r="AQ47" s="8"/>
      <c r="AR47" s="180"/>
      <c r="AS47" s="7"/>
      <c r="AT47" s="14"/>
    </row>
    <row r="48" spans="2:46" ht="12.75">
      <c r="B48" s="13"/>
      <c r="C48" s="1"/>
      <c r="D48" s="91">
        <v>12</v>
      </c>
      <c r="E48" s="95"/>
      <c r="F48" s="67"/>
      <c r="G48" s="95"/>
      <c r="H48" s="33">
        <f>SUMIF('form t'!M$11:M$109,D48,'form t'!P$11:P$109)</f>
        <v>0</v>
      </c>
      <c r="I48" s="186"/>
      <c r="J48" s="33">
        <f t="shared" si="2"/>
        <v>0</v>
      </c>
      <c r="K48" s="186"/>
      <c r="L48" s="205">
        <f>+J48*geg!$I$27</f>
        <v>0</v>
      </c>
      <c r="M48" s="1"/>
      <c r="N48" s="7"/>
      <c r="O48" s="1"/>
      <c r="P48" s="233">
        <f t="shared" si="3"/>
        <v>0</v>
      </c>
      <c r="Q48" s="182"/>
      <c r="R48" s="33">
        <f t="shared" si="4"/>
        <v>0</v>
      </c>
      <c r="S48" s="182"/>
      <c r="T48" s="205">
        <f>+R48*geg!$I$27</f>
        <v>0</v>
      </c>
      <c r="U48" s="1"/>
      <c r="V48" s="7"/>
      <c r="W48" s="1"/>
      <c r="X48" s="33">
        <f t="shared" si="0"/>
        <v>0</v>
      </c>
      <c r="Y48" s="186"/>
      <c r="Z48" s="33">
        <f t="shared" si="1"/>
        <v>0</v>
      </c>
      <c r="AA48" s="213"/>
      <c r="AB48" s="205">
        <f>+Z48*geg!$I$27</f>
        <v>0</v>
      </c>
      <c r="AC48" s="1"/>
      <c r="AD48" s="7"/>
      <c r="AE48" s="7"/>
      <c r="AF48" s="8"/>
      <c r="AG48" s="8"/>
      <c r="AH48" s="8"/>
      <c r="AI48" s="8"/>
      <c r="AJ48" s="180"/>
      <c r="AK48" s="7"/>
      <c r="AL48" s="7"/>
      <c r="AM48" s="7"/>
      <c r="AN48" s="8"/>
      <c r="AO48" s="8"/>
      <c r="AP48" s="8"/>
      <c r="AQ48" s="8"/>
      <c r="AR48" s="180"/>
      <c r="AS48" s="7"/>
      <c r="AT48" s="14"/>
    </row>
    <row r="49" spans="2:46" ht="12.75">
      <c r="B49" s="13"/>
      <c r="C49" s="1"/>
      <c r="D49" s="91">
        <v>13</v>
      </c>
      <c r="E49" s="95"/>
      <c r="F49" s="67"/>
      <c r="G49" s="95"/>
      <c r="H49" s="33">
        <f>SUMIF('form t'!M$11:M$109,D49,'form t'!P$11:P$109)</f>
        <v>0</v>
      </c>
      <c r="I49" s="186"/>
      <c r="J49" s="33">
        <f t="shared" si="2"/>
        <v>0</v>
      </c>
      <c r="K49" s="186"/>
      <c r="L49" s="205">
        <f>+J49*geg!$I$27</f>
        <v>0</v>
      </c>
      <c r="M49" s="1"/>
      <c r="N49" s="7"/>
      <c r="O49" s="1"/>
      <c r="P49" s="233">
        <f t="shared" si="3"/>
        <v>0</v>
      </c>
      <c r="Q49" s="182"/>
      <c r="R49" s="33">
        <f t="shared" si="4"/>
        <v>0</v>
      </c>
      <c r="S49" s="182"/>
      <c r="T49" s="205">
        <f>+R49*geg!$I$27</f>
        <v>0</v>
      </c>
      <c r="U49" s="1"/>
      <c r="V49" s="7"/>
      <c r="W49" s="1"/>
      <c r="X49" s="33">
        <f t="shared" si="0"/>
        <v>0</v>
      </c>
      <c r="Y49" s="186"/>
      <c r="Z49" s="33">
        <f t="shared" si="1"/>
        <v>0</v>
      </c>
      <c r="AA49" s="213"/>
      <c r="AB49" s="205">
        <f>+Z49*geg!$I$27</f>
        <v>0</v>
      </c>
      <c r="AC49" s="1"/>
      <c r="AD49" s="7"/>
      <c r="AE49" s="7"/>
      <c r="AF49" s="8"/>
      <c r="AG49" s="8"/>
      <c r="AH49" s="8"/>
      <c r="AI49" s="8"/>
      <c r="AJ49" s="180"/>
      <c r="AK49" s="7"/>
      <c r="AL49" s="7"/>
      <c r="AM49" s="7"/>
      <c r="AN49" s="8"/>
      <c r="AO49" s="8"/>
      <c r="AP49" s="8"/>
      <c r="AQ49" s="8"/>
      <c r="AR49" s="180"/>
      <c r="AS49" s="7"/>
      <c r="AT49" s="14"/>
    </row>
    <row r="50" spans="2:46" ht="12.75">
      <c r="B50" s="13"/>
      <c r="C50" s="1"/>
      <c r="D50" s="91">
        <v>14</v>
      </c>
      <c r="E50" s="95"/>
      <c r="F50" s="67"/>
      <c r="G50" s="95"/>
      <c r="H50" s="33">
        <f>SUMIF('form t'!M$11:M$109,D50,'form t'!P$11:P$109)</f>
        <v>0</v>
      </c>
      <c r="I50" s="186"/>
      <c r="J50" s="33">
        <f t="shared" si="2"/>
        <v>0</v>
      </c>
      <c r="K50" s="186"/>
      <c r="L50" s="205">
        <f>+J50*geg!$I$27</f>
        <v>0</v>
      </c>
      <c r="M50" s="1"/>
      <c r="N50" s="7"/>
      <c r="O50" s="1"/>
      <c r="P50" s="233">
        <f t="shared" si="3"/>
        <v>0</v>
      </c>
      <c r="Q50" s="182"/>
      <c r="R50" s="33">
        <f t="shared" si="4"/>
        <v>0</v>
      </c>
      <c r="S50" s="182"/>
      <c r="T50" s="205">
        <f>+R50*geg!$I$27</f>
        <v>0</v>
      </c>
      <c r="U50" s="1"/>
      <c r="V50" s="7"/>
      <c r="W50" s="1"/>
      <c r="X50" s="33">
        <f t="shared" si="0"/>
        <v>0</v>
      </c>
      <c r="Y50" s="186"/>
      <c r="Z50" s="33">
        <f t="shared" si="1"/>
        <v>0</v>
      </c>
      <c r="AA50" s="213"/>
      <c r="AB50" s="205">
        <f>+Z50*geg!$I$27</f>
        <v>0</v>
      </c>
      <c r="AC50" s="1"/>
      <c r="AD50" s="7"/>
      <c r="AE50" s="7"/>
      <c r="AF50" s="8"/>
      <c r="AG50" s="8"/>
      <c r="AH50" s="8"/>
      <c r="AI50" s="8"/>
      <c r="AJ50" s="180"/>
      <c r="AK50" s="7"/>
      <c r="AL50" s="7"/>
      <c r="AM50" s="7"/>
      <c r="AN50" s="8"/>
      <c r="AO50" s="8"/>
      <c r="AP50" s="8"/>
      <c r="AQ50" s="8"/>
      <c r="AR50" s="180"/>
      <c r="AS50" s="7"/>
      <c r="AT50" s="14"/>
    </row>
    <row r="51" spans="2:46" ht="12.75">
      <c r="B51" s="13"/>
      <c r="C51" s="1"/>
      <c r="D51" s="91">
        <v>15</v>
      </c>
      <c r="E51" s="95"/>
      <c r="F51" s="67"/>
      <c r="G51" s="95"/>
      <c r="H51" s="33">
        <f>SUMIF('form t'!M$11:M$109,D51,'form t'!P$11:P$109)</f>
        <v>0</v>
      </c>
      <c r="I51" s="186"/>
      <c r="J51" s="33">
        <f t="shared" si="2"/>
        <v>0</v>
      </c>
      <c r="K51" s="186"/>
      <c r="L51" s="205">
        <f>+J51*geg!$I$27</f>
        <v>0</v>
      </c>
      <c r="M51" s="1"/>
      <c r="N51" s="7"/>
      <c r="O51" s="1"/>
      <c r="P51" s="233">
        <f t="shared" si="3"/>
        <v>0</v>
      </c>
      <c r="Q51" s="182"/>
      <c r="R51" s="33">
        <f t="shared" si="4"/>
        <v>0</v>
      </c>
      <c r="S51" s="182"/>
      <c r="T51" s="205">
        <f>+R51*geg!$I$27</f>
        <v>0</v>
      </c>
      <c r="U51" s="1"/>
      <c r="V51" s="7"/>
      <c r="W51" s="1"/>
      <c r="X51" s="33">
        <f t="shared" si="0"/>
        <v>0</v>
      </c>
      <c r="Y51" s="186"/>
      <c r="Z51" s="33">
        <f t="shared" si="1"/>
        <v>0</v>
      </c>
      <c r="AA51" s="213"/>
      <c r="AB51" s="205">
        <f>+Z51*geg!$I$27</f>
        <v>0</v>
      </c>
      <c r="AC51" s="1"/>
      <c r="AD51" s="7"/>
      <c r="AE51" s="7"/>
      <c r="AF51" s="8"/>
      <c r="AG51" s="8"/>
      <c r="AH51" s="8"/>
      <c r="AI51" s="8"/>
      <c r="AJ51" s="180"/>
      <c r="AK51" s="7"/>
      <c r="AL51" s="7"/>
      <c r="AM51" s="7"/>
      <c r="AN51" s="8"/>
      <c r="AO51" s="8"/>
      <c r="AP51" s="8"/>
      <c r="AQ51" s="8"/>
      <c r="AR51" s="180"/>
      <c r="AS51" s="7"/>
      <c r="AT51" s="14"/>
    </row>
    <row r="52" spans="2:46" ht="12.75">
      <c r="B52" s="13"/>
      <c r="C52" s="1"/>
      <c r="D52" s="91" t="s">
        <v>691</v>
      </c>
      <c r="E52" s="95"/>
      <c r="F52" s="67"/>
      <c r="G52" s="95"/>
      <c r="H52" s="33">
        <f>SUMIF('form t'!M$11:M$109,D52,'form t'!P$11:P$109)</f>
        <v>0</v>
      </c>
      <c r="I52" s="186"/>
      <c r="J52" s="33">
        <f t="shared" si="2"/>
        <v>0</v>
      </c>
      <c r="K52" s="186"/>
      <c r="L52" s="205">
        <f>+J52*geg!$I$27</f>
        <v>0</v>
      </c>
      <c r="M52" s="1"/>
      <c r="N52" s="7"/>
      <c r="O52" s="1"/>
      <c r="P52" s="233">
        <f t="shared" si="3"/>
        <v>0</v>
      </c>
      <c r="Q52" s="182"/>
      <c r="R52" s="33">
        <f t="shared" si="4"/>
        <v>0</v>
      </c>
      <c r="S52" s="182"/>
      <c r="T52" s="205">
        <f>+R52*geg!$I$27</f>
        <v>0</v>
      </c>
      <c r="U52" s="1"/>
      <c r="V52" s="7"/>
      <c r="W52" s="1"/>
      <c r="X52" s="33">
        <f t="shared" si="0"/>
        <v>0</v>
      </c>
      <c r="Y52" s="186"/>
      <c r="Z52" s="33">
        <f t="shared" si="1"/>
        <v>0</v>
      </c>
      <c r="AA52" s="213"/>
      <c r="AB52" s="205">
        <f>+Z52*geg!$I$27</f>
        <v>0</v>
      </c>
      <c r="AC52" s="1"/>
      <c r="AD52" s="7"/>
      <c r="AE52" s="7"/>
      <c r="AF52" s="8"/>
      <c r="AG52" s="8"/>
      <c r="AH52" s="8"/>
      <c r="AI52" s="8"/>
      <c r="AJ52" s="180"/>
      <c r="AK52" s="7"/>
      <c r="AL52" s="7"/>
      <c r="AM52" s="7"/>
      <c r="AN52" s="8"/>
      <c r="AO52" s="8"/>
      <c r="AP52" s="8"/>
      <c r="AQ52" s="8"/>
      <c r="AR52" s="180"/>
      <c r="AS52" s="7"/>
      <c r="AT52" s="14"/>
    </row>
    <row r="53" spans="2:46" ht="12.75">
      <c r="B53" s="13"/>
      <c r="C53" s="1"/>
      <c r="D53" s="91" t="s">
        <v>692</v>
      </c>
      <c r="E53" s="95"/>
      <c r="F53" s="67"/>
      <c r="G53" s="95"/>
      <c r="H53" s="33">
        <f>SUMIF('form t'!M$11:M$109,D53,'form t'!P$11:P$109)</f>
        <v>0</v>
      </c>
      <c r="I53" s="186"/>
      <c r="J53" s="33">
        <f t="shared" si="2"/>
        <v>0</v>
      </c>
      <c r="K53" s="186"/>
      <c r="L53" s="205">
        <f>+J53*geg!$I$27</f>
        <v>0</v>
      </c>
      <c r="M53" s="1"/>
      <c r="N53" s="7"/>
      <c r="O53" s="1"/>
      <c r="P53" s="233">
        <f t="shared" si="3"/>
        <v>0</v>
      </c>
      <c r="Q53" s="182"/>
      <c r="R53" s="33">
        <f t="shared" si="4"/>
        <v>0</v>
      </c>
      <c r="S53" s="182"/>
      <c r="T53" s="205">
        <f>+R53*geg!$I$27</f>
        <v>0</v>
      </c>
      <c r="U53" s="1"/>
      <c r="V53" s="7"/>
      <c r="W53" s="1"/>
      <c r="X53" s="33">
        <f t="shared" si="0"/>
        <v>0</v>
      </c>
      <c r="Y53" s="186"/>
      <c r="Z53" s="33">
        <f t="shared" si="1"/>
        <v>0</v>
      </c>
      <c r="AA53" s="213"/>
      <c r="AB53" s="205">
        <f>+Z53*geg!$I$27</f>
        <v>0</v>
      </c>
      <c r="AC53" s="1"/>
      <c r="AD53" s="7"/>
      <c r="AE53" s="7"/>
      <c r="AF53" s="8"/>
      <c r="AG53" s="8"/>
      <c r="AH53" s="8"/>
      <c r="AI53" s="8"/>
      <c r="AJ53" s="180"/>
      <c r="AK53" s="7"/>
      <c r="AL53" s="7"/>
      <c r="AM53" s="7"/>
      <c r="AN53" s="8"/>
      <c r="AO53" s="8"/>
      <c r="AP53" s="8"/>
      <c r="AQ53" s="8"/>
      <c r="AR53" s="180"/>
      <c r="AS53" s="7"/>
      <c r="AT53" s="14"/>
    </row>
    <row r="54" spans="2:46" ht="12.75">
      <c r="B54" s="13"/>
      <c r="C54" s="1"/>
      <c r="D54" s="91"/>
      <c r="E54" s="95"/>
      <c r="F54" s="67"/>
      <c r="G54" s="95"/>
      <c r="H54" s="182"/>
      <c r="I54" s="186"/>
      <c r="J54" s="182"/>
      <c r="K54" s="186"/>
      <c r="L54" s="212"/>
      <c r="M54" s="1"/>
      <c r="N54" s="7"/>
      <c r="O54" s="1"/>
      <c r="P54" s="182"/>
      <c r="Q54" s="182"/>
      <c r="R54" s="182"/>
      <c r="S54" s="182"/>
      <c r="T54" s="170"/>
      <c r="U54" s="1"/>
      <c r="V54" s="7"/>
      <c r="W54" s="1"/>
      <c r="X54" s="182"/>
      <c r="Y54" s="186"/>
      <c r="Z54" s="182"/>
      <c r="AA54" s="213"/>
      <c r="AB54" s="170"/>
      <c r="AC54" s="1"/>
      <c r="AD54" s="7"/>
      <c r="AE54" s="7"/>
      <c r="AF54" s="8"/>
      <c r="AG54" s="8"/>
      <c r="AH54" s="8"/>
      <c r="AI54" s="8"/>
      <c r="AJ54" s="180"/>
      <c r="AK54" s="7"/>
      <c r="AL54" s="7"/>
      <c r="AM54" s="7"/>
      <c r="AN54" s="8"/>
      <c r="AO54" s="8"/>
      <c r="AP54" s="8"/>
      <c r="AQ54" s="8"/>
      <c r="AR54" s="180"/>
      <c r="AS54" s="7"/>
      <c r="AT54" s="14"/>
    </row>
    <row r="55" spans="2:46" ht="12.75">
      <c r="B55" s="13"/>
      <c r="C55" s="1"/>
      <c r="D55" s="2" t="s">
        <v>577</v>
      </c>
      <c r="E55" s="84"/>
      <c r="F55" s="122"/>
      <c r="G55" s="84"/>
      <c r="H55" s="42">
        <f>SUM(H20:H53)</f>
        <v>33</v>
      </c>
      <c r="I55" s="213"/>
      <c r="J55" s="42">
        <f>SUM(J20:J53)</f>
        <v>33</v>
      </c>
      <c r="K55" s="213"/>
      <c r="L55" s="205">
        <f>SUM(L20:L53)</f>
        <v>1990340.7216</v>
      </c>
      <c r="M55" s="1"/>
      <c r="N55" s="7"/>
      <c r="O55" s="1"/>
      <c r="P55" s="42">
        <f>SUM(P20:P53)</f>
        <v>33</v>
      </c>
      <c r="Q55" s="191"/>
      <c r="R55" s="42">
        <f>SUM(R20:R53)</f>
        <v>33</v>
      </c>
      <c r="S55" s="191"/>
      <c r="T55" s="177">
        <f>SUM(T20:T53)</f>
        <v>1990340.7216</v>
      </c>
      <c r="U55" s="1"/>
      <c r="V55" s="7"/>
      <c r="W55" s="1"/>
      <c r="X55" s="33">
        <f>SUM(X20:X53)</f>
        <v>0</v>
      </c>
      <c r="Y55" s="186"/>
      <c r="Z55" s="33">
        <f>SUM(Z20:Z53)</f>
        <v>0</v>
      </c>
      <c r="AA55" s="213"/>
      <c r="AB55" s="177">
        <f>SUM(AB20:AB53)</f>
        <v>0</v>
      </c>
      <c r="AC55" s="1"/>
      <c r="AD55" s="7"/>
      <c r="AE55" s="7"/>
      <c r="AF55" s="8"/>
      <c r="AG55" s="8"/>
      <c r="AH55" s="8"/>
      <c r="AI55" s="8"/>
      <c r="AJ55" s="180"/>
      <c r="AK55" s="7"/>
      <c r="AL55" s="7"/>
      <c r="AM55" s="7"/>
      <c r="AN55" s="8"/>
      <c r="AO55" s="8"/>
      <c r="AP55" s="8"/>
      <c r="AQ55" s="8"/>
      <c r="AR55" s="180"/>
      <c r="AS55" s="7"/>
      <c r="AT55" s="14"/>
    </row>
    <row r="56" spans="2:46" ht="12.75">
      <c r="B56" s="13"/>
      <c r="C56" s="1"/>
      <c r="D56" s="2"/>
      <c r="E56" s="84"/>
      <c r="F56" s="122"/>
      <c r="G56" s="84"/>
      <c r="H56" s="191"/>
      <c r="I56" s="213"/>
      <c r="J56" s="191"/>
      <c r="K56" s="213"/>
      <c r="L56" s="212"/>
      <c r="M56" s="1"/>
      <c r="N56" s="7"/>
      <c r="O56" s="1"/>
      <c r="P56" s="191"/>
      <c r="Q56" s="191"/>
      <c r="R56" s="191"/>
      <c r="S56" s="191"/>
      <c r="T56" s="170"/>
      <c r="U56" s="1"/>
      <c r="V56" s="7"/>
      <c r="W56" s="1"/>
      <c r="X56" s="191"/>
      <c r="Y56" s="213"/>
      <c r="Z56" s="191"/>
      <c r="AA56" s="213"/>
      <c r="AB56" s="170"/>
      <c r="AC56" s="1"/>
      <c r="AD56" s="7"/>
      <c r="AE56" s="7"/>
      <c r="AF56" s="8"/>
      <c r="AG56" s="8"/>
      <c r="AH56" s="8"/>
      <c r="AI56" s="8"/>
      <c r="AJ56" s="180"/>
      <c r="AK56" s="7"/>
      <c r="AL56" s="7"/>
      <c r="AM56" s="7"/>
      <c r="AN56" s="8"/>
      <c r="AO56" s="8"/>
      <c r="AP56" s="8"/>
      <c r="AQ56" s="8"/>
      <c r="AR56" s="180"/>
      <c r="AS56" s="7"/>
      <c r="AT56" s="14"/>
    </row>
    <row r="57" spans="2:46" ht="12.75">
      <c r="B57" s="13"/>
      <c r="C57" s="7"/>
      <c r="D57" s="214"/>
      <c r="E57" s="215"/>
      <c r="F57" s="215"/>
      <c r="G57" s="96"/>
      <c r="H57" s="91" t="s">
        <v>131</v>
      </c>
      <c r="I57" s="182"/>
      <c r="J57" s="33">
        <f>pers!Q197</f>
        <v>33.66108333595475</v>
      </c>
      <c r="K57" s="182"/>
      <c r="L57" s="204">
        <f>pers!I197</f>
        <v>2030500.2041702403</v>
      </c>
      <c r="M57" s="1"/>
      <c r="N57" s="7"/>
      <c r="O57" s="96"/>
      <c r="P57" s="91" t="s">
        <v>131</v>
      </c>
      <c r="Q57" s="182"/>
      <c r="R57" s="33">
        <f>J57</f>
        <v>33.66108333595475</v>
      </c>
      <c r="S57" s="182"/>
      <c r="T57" s="35">
        <f>L57</f>
        <v>2030500.2041702403</v>
      </c>
      <c r="U57" s="1"/>
      <c r="V57" s="7"/>
      <c r="W57" s="7"/>
      <c r="X57" s="8"/>
      <c r="Y57" s="7"/>
      <c r="Z57" s="8"/>
      <c r="AA57" s="7"/>
      <c r="AB57" s="134"/>
      <c r="AC57" s="7"/>
      <c r="AD57" s="7"/>
      <c r="AE57" s="7"/>
      <c r="AF57" s="8"/>
      <c r="AG57" s="8"/>
      <c r="AH57" s="8"/>
      <c r="AI57" s="8"/>
      <c r="AJ57" s="180"/>
      <c r="AK57" s="7"/>
      <c r="AL57" s="7"/>
      <c r="AM57" s="7"/>
      <c r="AN57" s="8"/>
      <c r="AO57" s="8"/>
      <c r="AP57" s="8"/>
      <c r="AQ57" s="8"/>
      <c r="AR57" s="180"/>
      <c r="AS57" s="7"/>
      <c r="AT57" s="14"/>
    </row>
    <row r="58" spans="2:46" ht="12.75">
      <c r="B58" s="13"/>
      <c r="C58" s="7"/>
      <c r="D58" s="104"/>
      <c r="E58" s="36"/>
      <c r="F58" s="36"/>
      <c r="G58" s="3"/>
      <c r="H58" s="91" t="s">
        <v>132</v>
      </c>
      <c r="I58" s="182"/>
      <c r="J58" s="33">
        <f>J55</f>
        <v>33</v>
      </c>
      <c r="K58" s="182"/>
      <c r="L58" s="204">
        <f>L55</f>
        <v>1990340.7216</v>
      </c>
      <c r="M58" s="1"/>
      <c r="N58" s="7"/>
      <c r="O58" s="3"/>
      <c r="P58" s="91" t="s">
        <v>132</v>
      </c>
      <c r="Q58" s="182"/>
      <c r="R58" s="33">
        <f>R55</f>
        <v>33</v>
      </c>
      <c r="S58" s="182"/>
      <c r="T58" s="35">
        <f>T55</f>
        <v>1990340.7216</v>
      </c>
      <c r="U58" s="1"/>
      <c r="V58" s="7"/>
      <c r="W58" s="7"/>
      <c r="X58" s="8"/>
      <c r="Y58" s="7"/>
      <c r="Z58" s="8"/>
      <c r="AA58" s="7"/>
      <c r="AB58" s="112"/>
      <c r="AC58" s="7"/>
      <c r="AD58" s="7"/>
      <c r="AE58" s="7"/>
      <c r="AF58" s="8"/>
      <c r="AG58" s="8"/>
      <c r="AH58" s="8"/>
      <c r="AI58" s="8"/>
      <c r="AJ58" s="180"/>
      <c r="AK58" s="7"/>
      <c r="AL58" s="7"/>
      <c r="AM58" s="7"/>
      <c r="AN58" s="8"/>
      <c r="AO58" s="8"/>
      <c r="AP58" s="8"/>
      <c r="AQ58" s="8"/>
      <c r="AR58" s="180"/>
      <c r="AS58" s="7"/>
      <c r="AT58" s="14"/>
    </row>
    <row r="59" spans="2:46" ht="12.75">
      <c r="B59" s="13"/>
      <c r="C59" s="7"/>
      <c r="D59" s="104"/>
      <c r="E59" s="36"/>
      <c r="F59" s="36"/>
      <c r="G59" s="3"/>
      <c r="H59" s="2" t="s">
        <v>133</v>
      </c>
      <c r="I59" s="191"/>
      <c r="J59" s="42">
        <f>J57-J55</f>
        <v>0.6610833359547499</v>
      </c>
      <c r="K59" s="191"/>
      <c r="L59" s="205">
        <f>L57-L55</f>
        <v>40159.482570240274</v>
      </c>
      <c r="M59" s="1"/>
      <c r="N59" s="7"/>
      <c r="O59" s="3"/>
      <c r="P59" s="2" t="s">
        <v>133</v>
      </c>
      <c r="Q59" s="191"/>
      <c r="R59" s="42">
        <f>R57-R55</f>
        <v>0.6610833359547499</v>
      </c>
      <c r="S59" s="191"/>
      <c r="T59" s="43">
        <f>T57-T55</f>
        <v>40159.482570240274</v>
      </c>
      <c r="U59" s="1"/>
      <c r="V59" s="7"/>
      <c r="W59" s="7"/>
      <c r="X59" s="8"/>
      <c r="Y59" s="7"/>
      <c r="Z59" s="8"/>
      <c r="AA59" s="7"/>
      <c r="AB59" s="112"/>
      <c r="AC59" s="7"/>
      <c r="AD59" s="7"/>
      <c r="AE59" s="7"/>
      <c r="AF59" s="8"/>
      <c r="AG59" s="8"/>
      <c r="AH59" s="8"/>
      <c r="AI59" s="8"/>
      <c r="AJ59" s="180"/>
      <c r="AK59" s="7"/>
      <c r="AL59" s="7"/>
      <c r="AM59" s="7"/>
      <c r="AN59" s="8"/>
      <c r="AO59" s="8"/>
      <c r="AP59" s="8"/>
      <c r="AQ59" s="8"/>
      <c r="AR59" s="180"/>
      <c r="AS59" s="7"/>
      <c r="AT59" s="14"/>
    </row>
    <row r="60" spans="2:46" ht="12.75">
      <c r="B60" s="13"/>
      <c r="C60" s="7"/>
      <c r="D60" s="104"/>
      <c r="E60" s="36"/>
      <c r="F60" s="36"/>
      <c r="G60" s="3"/>
      <c r="H60" s="25"/>
      <c r="I60" s="1"/>
      <c r="J60" s="163"/>
      <c r="K60" s="170"/>
      <c r="L60" s="212"/>
      <c r="M60" s="1"/>
      <c r="N60" s="7"/>
      <c r="O60" s="3"/>
      <c r="P60" s="25"/>
      <c r="Q60" s="1"/>
      <c r="R60" s="163"/>
      <c r="S60" s="170"/>
      <c r="T60" s="170"/>
      <c r="U60" s="1"/>
      <c r="V60" s="7"/>
      <c r="W60" s="7"/>
      <c r="X60" s="8"/>
      <c r="Y60" s="7"/>
      <c r="Z60" s="8"/>
      <c r="AA60" s="7"/>
      <c r="AB60" s="112"/>
      <c r="AC60" s="7"/>
      <c r="AD60" s="7"/>
      <c r="AE60" s="7"/>
      <c r="AF60" s="8"/>
      <c r="AG60" s="8"/>
      <c r="AH60" s="8"/>
      <c r="AI60" s="8"/>
      <c r="AJ60" s="180"/>
      <c r="AK60" s="7"/>
      <c r="AL60" s="7"/>
      <c r="AM60" s="7"/>
      <c r="AN60" s="8"/>
      <c r="AO60" s="8"/>
      <c r="AP60" s="8"/>
      <c r="AQ60" s="8"/>
      <c r="AR60" s="180"/>
      <c r="AS60" s="7"/>
      <c r="AT60" s="14"/>
    </row>
    <row r="61" spans="2:46" ht="12.75">
      <c r="B61" s="13"/>
      <c r="C61" s="7"/>
      <c r="D61" s="104"/>
      <c r="E61" s="36"/>
      <c r="F61" s="36"/>
      <c r="G61" s="36"/>
      <c r="H61" s="8"/>
      <c r="I61" s="7"/>
      <c r="J61" s="141"/>
      <c r="K61" s="112"/>
      <c r="L61" s="203"/>
      <c r="M61" s="7"/>
      <c r="N61" s="7"/>
      <c r="O61" s="7"/>
      <c r="P61" s="8"/>
      <c r="Q61" s="8"/>
      <c r="R61" s="141"/>
      <c r="S61" s="141"/>
      <c r="T61" s="112"/>
      <c r="U61" s="7"/>
      <c r="V61" s="7"/>
      <c r="W61" s="7"/>
      <c r="X61" s="8"/>
      <c r="Y61" s="7"/>
      <c r="Z61" s="8"/>
      <c r="AA61" s="7"/>
      <c r="AB61" s="112"/>
      <c r="AC61" s="7"/>
      <c r="AD61" s="7"/>
      <c r="AE61" s="7"/>
      <c r="AF61" s="8"/>
      <c r="AG61" s="8"/>
      <c r="AH61" s="8"/>
      <c r="AI61" s="8"/>
      <c r="AJ61" s="180"/>
      <c r="AK61" s="7"/>
      <c r="AL61" s="7"/>
      <c r="AM61" s="7"/>
      <c r="AN61" s="8"/>
      <c r="AO61" s="8"/>
      <c r="AP61" s="8"/>
      <c r="AQ61" s="8"/>
      <c r="AR61" s="180"/>
      <c r="AS61" s="7"/>
      <c r="AT61" s="14"/>
    </row>
    <row r="62" spans="2:46" ht="13.5" thickBot="1">
      <c r="B62" s="48"/>
      <c r="C62" s="49"/>
      <c r="D62" s="225"/>
      <c r="E62" s="49"/>
      <c r="F62" s="49"/>
      <c r="G62" s="49"/>
      <c r="H62" s="50"/>
      <c r="I62" s="49"/>
      <c r="J62" s="50"/>
      <c r="K62" s="49"/>
      <c r="L62" s="216"/>
      <c r="M62" s="49"/>
      <c r="N62" s="49"/>
      <c r="O62" s="49"/>
      <c r="P62" s="50"/>
      <c r="Q62" s="50"/>
      <c r="R62" s="50"/>
      <c r="S62" s="50"/>
      <c r="T62" s="172"/>
      <c r="U62" s="49"/>
      <c r="V62" s="49"/>
      <c r="W62" s="49"/>
      <c r="X62" s="50"/>
      <c r="Y62" s="49"/>
      <c r="Z62" s="50"/>
      <c r="AA62" s="49"/>
      <c r="AB62" s="172"/>
      <c r="AC62" s="49"/>
      <c r="AD62" s="49"/>
      <c r="AE62" s="49"/>
      <c r="AF62" s="50"/>
      <c r="AG62" s="50"/>
      <c r="AH62" s="50"/>
      <c r="AI62" s="50"/>
      <c r="AJ62" s="231"/>
      <c r="AK62" s="49"/>
      <c r="AL62" s="49"/>
      <c r="AM62" s="49"/>
      <c r="AN62" s="50"/>
      <c r="AO62" s="50"/>
      <c r="AP62" s="50"/>
      <c r="AQ62" s="50"/>
      <c r="AR62" s="231"/>
      <c r="AS62" s="49"/>
      <c r="AT62" s="51"/>
    </row>
    <row r="63" spans="2:46" ht="12.75">
      <c r="B63" s="9"/>
      <c r="C63" s="10"/>
      <c r="D63" s="206"/>
      <c r="E63" s="10"/>
      <c r="F63" s="10"/>
      <c r="G63" s="10"/>
      <c r="H63" s="11"/>
      <c r="I63" s="10"/>
      <c r="J63" s="11"/>
      <c r="K63" s="10"/>
      <c r="L63" s="207"/>
      <c r="M63" s="10"/>
      <c r="N63" s="10"/>
      <c r="O63" s="10"/>
      <c r="P63" s="11"/>
      <c r="Q63" s="11"/>
      <c r="R63" s="11"/>
      <c r="S63" s="11"/>
      <c r="T63" s="173"/>
      <c r="U63" s="10"/>
      <c r="V63" s="10"/>
      <c r="W63" s="10"/>
      <c r="X63" s="11"/>
      <c r="Y63" s="10"/>
      <c r="Z63" s="11"/>
      <c r="AA63" s="10"/>
      <c r="AB63" s="173"/>
      <c r="AC63" s="10"/>
      <c r="AD63" s="10"/>
      <c r="AE63" s="10"/>
      <c r="AF63" s="11"/>
      <c r="AG63" s="11"/>
      <c r="AH63" s="11"/>
      <c r="AI63" s="11"/>
      <c r="AJ63" s="227"/>
      <c r="AK63" s="10"/>
      <c r="AL63" s="10"/>
      <c r="AM63" s="10"/>
      <c r="AN63" s="11"/>
      <c r="AO63" s="11"/>
      <c r="AP63" s="11"/>
      <c r="AQ63" s="11"/>
      <c r="AR63" s="227"/>
      <c r="AS63" s="10"/>
      <c r="AT63" s="12"/>
    </row>
    <row r="64" spans="2:46" ht="12.75">
      <c r="B64" s="13"/>
      <c r="C64" s="7"/>
      <c r="D64" s="99"/>
      <c r="E64" s="7"/>
      <c r="F64" s="7"/>
      <c r="G64" s="7"/>
      <c r="H64" s="8"/>
      <c r="I64" s="7"/>
      <c r="J64" s="8"/>
      <c r="K64" s="7"/>
      <c r="L64" s="208"/>
      <c r="M64" s="7"/>
      <c r="N64" s="7"/>
      <c r="O64" s="7"/>
      <c r="P64" s="8"/>
      <c r="Q64" s="8"/>
      <c r="R64" s="8"/>
      <c r="S64" s="8"/>
      <c r="T64" s="134"/>
      <c r="U64" s="7"/>
      <c r="V64" s="7"/>
      <c r="W64" s="7"/>
      <c r="X64" s="8"/>
      <c r="Y64" s="7"/>
      <c r="Z64" s="8"/>
      <c r="AA64" s="7"/>
      <c r="AB64" s="134"/>
      <c r="AC64" s="7"/>
      <c r="AD64" s="7"/>
      <c r="AE64" s="7"/>
      <c r="AF64" s="8"/>
      <c r="AG64" s="8"/>
      <c r="AH64" s="8"/>
      <c r="AI64" s="8"/>
      <c r="AJ64" s="180"/>
      <c r="AK64" s="7"/>
      <c r="AL64" s="7"/>
      <c r="AM64" s="7"/>
      <c r="AN64" s="8"/>
      <c r="AO64" s="8"/>
      <c r="AP64" s="8"/>
      <c r="AQ64" s="8"/>
      <c r="AR64" s="180"/>
      <c r="AS64" s="7"/>
      <c r="AT64" s="14"/>
    </row>
    <row r="65" spans="2:46" s="201" customFormat="1" ht="18">
      <c r="B65" s="16"/>
      <c r="C65" s="123" t="s">
        <v>130</v>
      </c>
      <c r="D65" s="15"/>
      <c r="E65" s="17"/>
      <c r="F65" s="17"/>
      <c r="G65" s="17"/>
      <c r="H65" s="18"/>
      <c r="I65" s="15"/>
      <c r="J65" s="18"/>
      <c r="K65" s="15"/>
      <c r="L65" s="209"/>
      <c r="M65" s="15"/>
      <c r="N65" s="15"/>
      <c r="O65" s="15"/>
      <c r="P65" s="18"/>
      <c r="Q65" s="18"/>
      <c r="R65" s="18"/>
      <c r="S65" s="18"/>
      <c r="T65" s="210"/>
      <c r="U65" s="15"/>
      <c r="V65" s="15"/>
      <c r="W65" s="15"/>
      <c r="X65" s="18"/>
      <c r="Y65" s="15"/>
      <c r="Z65" s="18"/>
      <c r="AA65" s="15"/>
      <c r="AB65" s="210"/>
      <c r="AC65" s="15"/>
      <c r="AD65" s="15"/>
      <c r="AE65" s="15"/>
      <c r="AF65" s="18"/>
      <c r="AG65" s="18"/>
      <c r="AH65" s="18"/>
      <c r="AI65" s="18"/>
      <c r="AJ65" s="232"/>
      <c r="AK65" s="15"/>
      <c r="AL65" s="15"/>
      <c r="AM65" s="15"/>
      <c r="AN65" s="18"/>
      <c r="AO65" s="18"/>
      <c r="AP65" s="18"/>
      <c r="AQ65" s="18"/>
      <c r="AR65" s="232"/>
      <c r="AS65" s="15"/>
      <c r="AT65" s="20"/>
    </row>
    <row r="66" spans="2:46" ht="12.75">
      <c r="B66" s="13"/>
      <c r="C66" s="7"/>
      <c r="D66" s="104"/>
      <c r="E66" s="36"/>
      <c r="F66" s="36"/>
      <c r="G66" s="36"/>
      <c r="H66" s="8"/>
      <c r="I66" s="7"/>
      <c r="J66" s="8"/>
      <c r="K66" s="7"/>
      <c r="L66" s="208"/>
      <c r="M66" s="7"/>
      <c r="N66" s="7"/>
      <c r="O66" s="7"/>
      <c r="P66" s="8"/>
      <c r="Q66" s="8"/>
      <c r="R66" s="8"/>
      <c r="S66" s="8"/>
      <c r="T66" s="134"/>
      <c r="U66" s="7"/>
      <c r="V66" s="7"/>
      <c r="W66" s="7"/>
      <c r="X66" s="8"/>
      <c r="Y66" s="7"/>
      <c r="Z66" s="8"/>
      <c r="AA66" s="7"/>
      <c r="AB66" s="134"/>
      <c r="AC66" s="7"/>
      <c r="AD66" s="7"/>
      <c r="AE66" s="7"/>
      <c r="AF66" s="8"/>
      <c r="AG66" s="8"/>
      <c r="AH66" s="8"/>
      <c r="AI66" s="8"/>
      <c r="AJ66" s="180"/>
      <c r="AK66" s="7"/>
      <c r="AL66" s="7"/>
      <c r="AM66" s="7"/>
      <c r="AN66" s="8"/>
      <c r="AO66" s="8"/>
      <c r="AP66" s="8"/>
      <c r="AQ66" s="8"/>
      <c r="AR66" s="180"/>
      <c r="AS66" s="7"/>
      <c r="AT66" s="14"/>
    </row>
    <row r="67" spans="2:46" ht="12.75">
      <c r="B67" s="13"/>
      <c r="C67" s="7"/>
      <c r="D67" s="104"/>
      <c r="E67" s="36"/>
      <c r="F67" s="36"/>
      <c r="G67" s="36"/>
      <c r="H67" s="8"/>
      <c r="I67" s="7"/>
      <c r="J67" s="8"/>
      <c r="K67" s="7"/>
      <c r="L67" s="208"/>
      <c r="M67" s="7"/>
      <c r="N67" s="7"/>
      <c r="O67" s="7"/>
      <c r="P67" s="8"/>
      <c r="Q67" s="8"/>
      <c r="R67" s="8"/>
      <c r="S67" s="8"/>
      <c r="T67" s="134"/>
      <c r="U67" s="7"/>
      <c r="V67" s="7"/>
      <c r="W67" s="7"/>
      <c r="X67" s="8"/>
      <c r="Y67" s="7"/>
      <c r="Z67" s="8"/>
      <c r="AA67" s="7"/>
      <c r="AB67" s="134"/>
      <c r="AC67" s="7"/>
      <c r="AD67" s="7"/>
      <c r="AE67" s="7"/>
      <c r="AF67" s="8"/>
      <c r="AG67" s="8"/>
      <c r="AH67" s="8"/>
      <c r="AI67" s="8"/>
      <c r="AJ67" s="180"/>
      <c r="AK67" s="7"/>
      <c r="AL67" s="7"/>
      <c r="AM67" s="7"/>
      <c r="AN67" s="8"/>
      <c r="AO67" s="8"/>
      <c r="AP67" s="8"/>
      <c r="AQ67" s="8"/>
      <c r="AR67" s="180"/>
      <c r="AS67" s="7"/>
      <c r="AT67" s="14"/>
    </row>
    <row r="68" spans="2:46" ht="12.75">
      <c r="B68" s="13"/>
      <c r="C68" s="7"/>
      <c r="D68" s="99"/>
      <c r="E68" s="7"/>
      <c r="F68" s="7"/>
      <c r="G68" s="543" t="str">
        <f>tabel!C2</f>
        <v>2009/10</v>
      </c>
      <c r="H68" s="544"/>
      <c r="I68" s="544"/>
      <c r="J68" s="544"/>
      <c r="K68" s="544"/>
      <c r="L68" s="544"/>
      <c r="M68" s="544"/>
      <c r="N68" s="7"/>
      <c r="O68" s="543" t="str">
        <f>tabel!D2</f>
        <v>2010/11</v>
      </c>
      <c r="P68" s="544"/>
      <c r="Q68" s="544"/>
      <c r="R68" s="544"/>
      <c r="S68" s="544"/>
      <c r="T68" s="544"/>
      <c r="U68" s="544"/>
      <c r="V68" s="7"/>
      <c r="W68" s="543" t="str">
        <f>tabel!E2</f>
        <v>2011/12</v>
      </c>
      <c r="X68" s="544"/>
      <c r="Y68" s="544"/>
      <c r="Z68" s="544"/>
      <c r="AA68" s="544"/>
      <c r="AB68" s="544"/>
      <c r="AC68" s="544"/>
      <c r="AD68" s="7"/>
      <c r="AE68" s="543" t="str">
        <f>tabel!F2</f>
        <v>2012/13</v>
      </c>
      <c r="AF68" s="544"/>
      <c r="AG68" s="544"/>
      <c r="AH68" s="544"/>
      <c r="AI68" s="544"/>
      <c r="AJ68" s="544"/>
      <c r="AK68" s="544"/>
      <c r="AL68" s="349"/>
      <c r="AM68" s="543" t="str">
        <f>tabel!G2</f>
        <v>2013/14</v>
      </c>
      <c r="AN68" s="544"/>
      <c r="AO68" s="544"/>
      <c r="AP68" s="544"/>
      <c r="AQ68" s="544"/>
      <c r="AR68" s="544"/>
      <c r="AS68" s="544"/>
      <c r="AT68" s="14"/>
    </row>
    <row r="69" spans="2:46" ht="12.75">
      <c r="B69" s="13"/>
      <c r="C69" s="7"/>
      <c r="D69" s="99"/>
      <c r="E69" s="7"/>
      <c r="F69" s="7"/>
      <c r="G69" s="7"/>
      <c r="H69" s="8"/>
      <c r="I69" s="7"/>
      <c r="J69" s="47"/>
      <c r="K69" s="47"/>
      <c r="L69" s="104"/>
      <c r="M69" s="7"/>
      <c r="N69" s="7"/>
      <c r="O69" s="7"/>
      <c r="P69" s="8"/>
      <c r="Q69" s="8"/>
      <c r="R69" s="47"/>
      <c r="S69" s="47"/>
      <c r="T69" s="47"/>
      <c r="U69" s="7"/>
      <c r="V69" s="7"/>
      <c r="W69" s="7"/>
      <c r="X69" s="8"/>
      <c r="Y69" s="7"/>
      <c r="Z69" s="47"/>
      <c r="AA69" s="47"/>
      <c r="AB69" s="47"/>
      <c r="AC69" s="7"/>
      <c r="AD69" s="7"/>
      <c r="AE69" s="7"/>
      <c r="AF69" s="8"/>
      <c r="AG69" s="8"/>
      <c r="AH69" s="47"/>
      <c r="AI69" s="47"/>
      <c r="AJ69" s="141"/>
      <c r="AK69" s="47"/>
      <c r="AL69" s="47"/>
      <c r="AM69" s="7"/>
      <c r="AN69" s="8"/>
      <c r="AO69" s="8"/>
      <c r="AP69" s="47"/>
      <c r="AQ69" s="47"/>
      <c r="AR69" s="141"/>
      <c r="AS69" s="47"/>
      <c r="AT69" s="14"/>
    </row>
    <row r="70" spans="2:46" ht="12.75">
      <c r="B70" s="13"/>
      <c r="C70" s="1"/>
      <c r="D70" s="91"/>
      <c r="E70" s="1"/>
      <c r="F70" s="7"/>
      <c r="G70" s="1"/>
      <c r="H70" s="25"/>
      <c r="I70" s="1"/>
      <c r="J70" s="4"/>
      <c r="K70" s="4"/>
      <c r="L70" s="2"/>
      <c r="M70" s="1"/>
      <c r="N70" s="7"/>
      <c r="O70" s="1"/>
      <c r="P70" s="25"/>
      <c r="Q70" s="25"/>
      <c r="R70" s="4"/>
      <c r="S70" s="4"/>
      <c r="T70" s="4"/>
      <c r="U70" s="1"/>
      <c r="V70" s="7"/>
      <c r="W70" s="1"/>
      <c r="X70" s="25"/>
      <c r="Y70" s="1"/>
      <c r="Z70" s="4"/>
      <c r="AA70" s="4"/>
      <c r="AB70" s="4"/>
      <c r="AC70" s="1"/>
      <c r="AD70" s="7"/>
      <c r="AE70" s="1"/>
      <c r="AF70" s="25"/>
      <c r="AG70" s="25"/>
      <c r="AH70" s="4"/>
      <c r="AI70" s="4"/>
      <c r="AJ70" s="163"/>
      <c r="AK70" s="4"/>
      <c r="AL70" s="47"/>
      <c r="AM70" s="1"/>
      <c r="AN70" s="25"/>
      <c r="AO70" s="25"/>
      <c r="AP70" s="4"/>
      <c r="AQ70" s="4"/>
      <c r="AR70" s="163"/>
      <c r="AS70" s="4"/>
      <c r="AT70" s="14"/>
    </row>
    <row r="71" spans="2:46" ht="12.75">
      <c r="B71" s="13"/>
      <c r="C71" s="1"/>
      <c r="D71" s="2" t="s">
        <v>736</v>
      </c>
      <c r="E71" s="3"/>
      <c r="F71" s="36"/>
      <c r="G71" s="3"/>
      <c r="H71" s="4" t="s">
        <v>737</v>
      </c>
      <c r="I71" s="3"/>
      <c r="J71" s="4" t="s">
        <v>738</v>
      </c>
      <c r="K71" s="3"/>
      <c r="L71" s="212" t="s">
        <v>739</v>
      </c>
      <c r="M71" s="1"/>
      <c r="N71" s="7"/>
      <c r="O71" s="1"/>
      <c r="P71" s="4" t="s">
        <v>737</v>
      </c>
      <c r="Q71" s="4"/>
      <c r="R71" s="4" t="s">
        <v>738</v>
      </c>
      <c r="S71" s="4"/>
      <c r="T71" s="170" t="s">
        <v>739</v>
      </c>
      <c r="U71" s="1"/>
      <c r="V71" s="7"/>
      <c r="W71" s="1"/>
      <c r="X71" s="4" t="s">
        <v>737</v>
      </c>
      <c r="Y71" s="3"/>
      <c r="Z71" s="4" t="s">
        <v>738</v>
      </c>
      <c r="AA71" s="3"/>
      <c r="AB71" s="170" t="s">
        <v>739</v>
      </c>
      <c r="AC71" s="1"/>
      <c r="AD71" s="7"/>
      <c r="AE71" s="1"/>
      <c r="AF71" s="4" t="s">
        <v>737</v>
      </c>
      <c r="AG71" s="4"/>
      <c r="AH71" s="4" t="s">
        <v>738</v>
      </c>
      <c r="AI71" s="4"/>
      <c r="AJ71" s="163" t="s">
        <v>739</v>
      </c>
      <c r="AK71" s="3"/>
      <c r="AL71" s="36"/>
      <c r="AM71" s="1"/>
      <c r="AN71" s="4" t="s">
        <v>737</v>
      </c>
      <c r="AO71" s="4"/>
      <c r="AP71" s="4" t="s">
        <v>738</v>
      </c>
      <c r="AQ71" s="4"/>
      <c r="AR71" s="163" t="s">
        <v>739</v>
      </c>
      <c r="AS71" s="3"/>
      <c r="AT71" s="14"/>
    </row>
    <row r="72" spans="2:46" ht="12.75">
      <c r="B72" s="13"/>
      <c r="C72" s="1"/>
      <c r="D72" s="2"/>
      <c r="E72" s="84"/>
      <c r="F72" s="122"/>
      <c r="G72" s="84"/>
      <c r="H72" s="191"/>
      <c r="I72" s="213"/>
      <c r="J72" s="191"/>
      <c r="K72" s="213"/>
      <c r="L72" s="212"/>
      <c r="M72" s="1"/>
      <c r="N72" s="7"/>
      <c r="O72" s="1"/>
      <c r="P72" s="191"/>
      <c r="Q72" s="191"/>
      <c r="R72" s="191"/>
      <c r="S72" s="191"/>
      <c r="T72" s="170"/>
      <c r="U72" s="1"/>
      <c r="V72" s="7"/>
      <c r="W72" s="1"/>
      <c r="X72" s="191"/>
      <c r="Y72" s="213"/>
      <c r="Z72" s="191"/>
      <c r="AA72" s="213"/>
      <c r="AB72" s="170"/>
      <c r="AC72" s="1"/>
      <c r="AD72" s="7"/>
      <c r="AE72" s="1"/>
      <c r="AF72" s="191"/>
      <c r="AG72" s="191"/>
      <c r="AH72" s="191"/>
      <c r="AI72" s="191"/>
      <c r="AJ72" s="163"/>
      <c r="AK72" s="160"/>
      <c r="AL72" s="110"/>
      <c r="AM72" s="1"/>
      <c r="AN72" s="191"/>
      <c r="AO72" s="191"/>
      <c r="AP72" s="191"/>
      <c r="AQ72" s="191"/>
      <c r="AR72" s="163"/>
      <c r="AS72" s="160"/>
      <c r="AT72" s="14"/>
    </row>
    <row r="73" spans="2:46" ht="12.75">
      <c r="B73" s="13"/>
      <c r="C73" s="1"/>
      <c r="D73" s="91" t="s">
        <v>681</v>
      </c>
      <c r="E73" s="95"/>
      <c r="F73" s="67"/>
      <c r="G73" s="95"/>
      <c r="H73" s="33">
        <f>+H20</f>
        <v>0</v>
      </c>
      <c r="I73" s="186"/>
      <c r="J73" s="33">
        <f>+H73*VLOOKUP(D73,kosten_functies_LB,2,FALSE)</f>
        <v>0</v>
      </c>
      <c r="K73" s="186"/>
      <c r="L73" s="205">
        <f>+J73*geg!$I$27</f>
        <v>0</v>
      </c>
      <c r="M73" s="1"/>
      <c r="N73" s="7"/>
      <c r="O73" s="1"/>
      <c r="P73" s="33">
        <f>SUMIF('form t+1'!M$11:M$109,D73,'form t+1'!P$11:P$109)</f>
        <v>0</v>
      </c>
      <c r="Q73" s="182"/>
      <c r="R73" s="33">
        <f>+P73*VLOOKUP(D73,kosten_functies_LB,2,FALSE)</f>
        <v>0</v>
      </c>
      <c r="S73" s="182"/>
      <c r="T73" s="205">
        <f>+R73*geg!$L$27</f>
        <v>0</v>
      </c>
      <c r="U73" s="1"/>
      <c r="V73" s="7"/>
      <c r="W73" s="1"/>
      <c r="X73" s="233">
        <f>+P73</f>
        <v>0</v>
      </c>
      <c r="Y73" s="186"/>
      <c r="Z73" s="33">
        <f>+X73*VLOOKUP(D73,kosten_functies_LB,2,FALSE)</f>
        <v>0</v>
      </c>
      <c r="AA73" s="186"/>
      <c r="AB73" s="205">
        <f>+Z73*geg!$L$27</f>
        <v>0</v>
      </c>
      <c r="AC73" s="1"/>
      <c r="AD73" s="7"/>
      <c r="AE73" s="1"/>
      <c r="AF73" s="233">
        <f>+X73</f>
        <v>0</v>
      </c>
      <c r="AG73" s="182"/>
      <c r="AH73" s="33">
        <f>+AF73*VLOOKUP(D73,kosten_functies_LB,2,FALSE)</f>
        <v>0</v>
      </c>
      <c r="AI73" s="182"/>
      <c r="AJ73" s="205">
        <f>+AH73*geg!$L$27</f>
        <v>0</v>
      </c>
      <c r="AK73" s="160"/>
      <c r="AL73" s="110"/>
      <c r="AM73" s="1"/>
      <c r="AN73" s="233">
        <f>+AF73</f>
        <v>0</v>
      </c>
      <c r="AO73" s="182"/>
      <c r="AP73" s="33">
        <f>+AN73*VLOOKUP(D73,kosten_functies_LB,2,FALSE)</f>
        <v>0</v>
      </c>
      <c r="AQ73" s="182"/>
      <c r="AR73" s="205">
        <f>+AP73*geg!$L$27</f>
        <v>0</v>
      </c>
      <c r="AS73" s="160"/>
      <c r="AT73" s="14"/>
    </row>
    <row r="74" spans="2:46" ht="12.75">
      <c r="B74" s="13"/>
      <c r="C74" s="1"/>
      <c r="D74" s="91" t="s">
        <v>682</v>
      </c>
      <c r="E74" s="95"/>
      <c r="F74" s="67"/>
      <c r="G74" s="95"/>
      <c r="H74" s="33">
        <f aca="true" t="shared" si="5" ref="H74:H106">+H21</f>
        <v>0</v>
      </c>
      <c r="I74" s="186"/>
      <c r="J74" s="33">
        <f aca="true" t="shared" si="6" ref="J74:J106">+H74*VLOOKUP(D74,kosten_functies_LB,2,FALSE)</f>
        <v>0</v>
      </c>
      <c r="K74" s="186"/>
      <c r="L74" s="205">
        <f>+J74*geg!$I$27</f>
        <v>0</v>
      </c>
      <c r="M74" s="1"/>
      <c r="N74" s="7"/>
      <c r="O74" s="1"/>
      <c r="P74" s="33">
        <f>SUMIF('form t+1'!M$11:M$109,D74,'form t+1'!P$11:P$109)</f>
        <v>0</v>
      </c>
      <c r="Q74" s="182"/>
      <c r="R74" s="33">
        <f aca="true" t="shared" si="7" ref="R74:R106">+P74*VLOOKUP(D74,kosten_functies_LB,2,FALSE)</f>
        <v>0</v>
      </c>
      <c r="S74" s="182"/>
      <c r="T74" s="205">
        <f>+R74*geg!$L$27</f>
        <v>0</v>
      </c>
      <c r="U74" s="1"/>
      <c r="V74" s="7"/>
      <c r="W74" s="1"/>
      <c r="X74" s="233">
        <f aca="true" t="shared" si="8" ref="X74:X106">+P74</f>
        <v>0</v>
      </c>
      <c r="Y74" s="186"/>
      <c r="Z74" s="33">
        <f aca="true" t="shared" si="9" ref="Z74:Z106">+X74*VLOOKUP(D74,kosten_functies_LB,2,FALSE)</f>
        <v>0</v>
      </c>
      <c r="AA74" s="186"/>
      <c r="AB74" s="205">
        <f>+Z74*geg!$L$27</f>
        <v>0</v>
      </c>
      <c r="AC74" s="1"/>
      <c r="AD74" s="7"/>
      <c r="AE74" s="1"/>
      <c r="AF74" s="233">
        <f aca="true" t="shared" si="10" ref="AF74:AF106">+X74</f>
        <v>0</v>
      </c>
      <c r="AG74" s="182"/>
      <c r="AH74" s="33">
        <f aca="true" t="shared" si="11" ref="AH74:AH106">+AF74*VLOOKUP(D74,kosten_functies_LB,2,FALSE)</f>
        <v>0</v>
      </c>
      <c r="AI74" s="182"/>
      <c r="AJ74" s="205">
        <f>+AH74*geg!$L$27</f>
        <v>0</v>
      </c>
      <c r="AK74" s="160"/>
      <c r="AL74" s="110"/>
      <c r="AM74" s="1"/>
      <c r="AN74" s="233">
        <f aca="true" t="shared" si="12" ref="AN74:AN106">+AF74</f>
        <v>0</v>
      </c>
      <c r="AO74" s="182"/>
      <c r="AP74" s="33">
        <f aca="true" t="shared" si="13" ref="AP74:AP106">+AN74*VLOOKUP(D74,kosten_functies_LB,2,FALSE)</f>
        <v>0</v>
      </c>
      <c r="AQ74" s="182"/>
      <c r="AR74" s="205">
        <f>+AP74*geg!$L$27</f>
        <v>0</v>
      </c>
      <c r="AS74" s="160"/>
      <c r="AT74" s="14"/>
    </row>
    <row r="75" spans="2:46" ht="12.75">
      <c r="B75" s="13"/>
      <c r="C75" s="1"/>
      <c r="D75" s="91" t="s">
        <v>683</v>
      </c>
      <c r="E75" s="95"/>
      <c r="F75" s="67"/>
      <c r="G75" s="95"/>
      <c r="H75" s="33">
        <f t="shared" si="5"/>
        <v>0</v>
      </c>
      <c r="I75" s="186"/>
      <c r="J75" s="33">
        <f t="shared" si="6"/>
        <v>0</v>
      </c>
      <c r="K75" s="186"/>
      <c r="L75" s="205">
        <f>+J75*geg!$I$27</f>
        <v>0</v>
      </c>
      <c r="M75" s="1"/>
      <c r="N75" s="7"/>
      <c r="O75" s="1"/>
      <c r="P75" s="33">
        <f>SUMIF('form t+1'!M$11:M$109,D75,'form t+1'!P$11:P$109)</f>
        <v>0</v>
      </c>
      <c r="Q75" s="182"/>
      <c r="R75" s="33">
        <f t="shared" si="7"/>
        <v>0</v>
      </c>
      <c r="S75" s="182"/>
      <c r="T75" s="205">
        <f>+R75*geg!$L$27</f>
        <v>0</v>
      </c>
      <c r="U75" s="1"/>
      <c r="V75" s="7"/>
      <c r="W75" s="1"/>
      <c r="X75" s="233">
        <f t="shared" si="8"/>
        <v>0</v>
      </c>
      <c r="Y75" s="186"/>
      <c r="Z75" s="33">
        <f t="shared" si="9"/>
        <v>0</v>
      </c>
      <c r="AA75" s="186"/>
      <c r="AB75" s="205">
        <f>+Z75*geg!$L$27</f>
        <v>0</v>
      </c>
      <c r="AC75" s="1"/>
      <c r="AD75" s="7"/>
      <c r="AE75" s="1"/>
      <c r="AF75" s="233">
        <f t="shared" si="10"/>
        <v>0</v>
      </c>
      <c r="AG75" s="182"/>
      <c r="AH75" s="33">
        <f t="shared" si="11"/>
        <v>0</v>
      </c>
      <c r="AI75" s="182"/>
      <c r="AJ75" s="205">
        <f>+AH75*geg!$L$27</f>
        <v>0</v>
      </c>
      <c r="AK75" s="160"/>
      <c r="AL75" s="110"/>
      <c r="AM75" s="1"/>
      <c r="AN75" s="233">
        <f t="shared" si="12"/>
        <v>0</v>
      </c>
      <c r="AO75" s="182"/>
      <c r="AP75" s="33">
        <f t="shared" si="13"/>
        <v>0</v>
      </c>
      <c r="AQ75" s="182"/>
      <c r="AR75" s="205">
        <f>+AP75*geg!$L$27</f>
        <v>0</v>
      </c>
      <c r="AS75" s="160"/>
      <c r="AT75" s="14"/>
    </row>
    <row r="76" spans="2:46" ht="12.75">
      <c r="B76" s="13"/>
      <c r="C76" s="1"/>
      <c r="D76" s="91" t="s">
        <v>669</v>
      </c>
      <c r="E76" s="95"/>
      <c r="F76" s="67"/>
      <c r="G76" s="95"/>
      <c r="H76" s="33">
        <f t="shared" si="5"/>
        <v>0</v>
      </c>
      <c r="I76" s="186"/>
      <c r="J76" s="33">
        <f t="shared" si="6"/>
        <v>0</v>
      </c>
      <c r="K76" s="186"/>
      <c r="L76" s="205">
        <f>+J76*geg!$I$27</f>
        <v>0</v>
      </c>
      <c r="M76" s="1"/>
      <c r="N76" s="7"/>
      <c r="O76" s="1"/>
      <c r="P76" s="33">
        <f>SUMIF('form t+1'!M$11:M$109,D76,'form t+1'!P$11:P$109)</f>
        <v>0</v>
      </c>
      <c r="Q76" s="182"/>
      <c r="R76" s="33">
        <f t="shared" si="7"/>
        <v>0</v>
      </c>
      <c r="S76" s="182"/>
      <c r="T76" s="205">
        <f>+R76*geg!$L$27</f>
        <v>0</v>
      </c>
      <c r="U76" s="1"/>
      <c r="V76" s="7"/>
      <c r="W76" s="1"/>
      <c r="X76" s="233">
        <f>+P76</f>
        <v>0</v>
      </c>
      <c r="Y76" s="186"/>
      <c r="Z76" s="33">
        <f t="shared" si="9"/>
        <v>0</v>
      </c>
      <c r="AA76" s="186"/>
      <c r="AB76" s="205">
        <f>+Z76*geg!$L$27</f>
        <v>0</v>
      </c>
      <c r="AC76" s="1"/>
      <c r="AD76" s="7"/>
      <c r="AE76" s="1"/>
      <c r="AF76" s="233">
        <f t="shared" si="10"/>
        <v>0</v>
      </c>
      <c r="AG76" s="182"/>
      <c r="AH76" s="33">
        <f t="shared" si="11"/>
        <v>0</v>
      </c>
      <c r="AI76" s="182"/>
      <c r="AJ76" s="205">
        <f>+AH76*geg!$L$27</f>
        <v>0</v>
      </c>
      <c r="AK76" s="160"/>
      <c r="AL76" s="110"/>
      <c r="AM76" s="1"/>
      <c r="AN76" s="233">
        <f t="shared" si="12"/>
        <v>0</v>
      </c>
      <c r="AO76" s="182"/>
      <c r="AP76" s="33">
        <f t="shared" si="13"/>
        <v>0</v>
      </c>
      <c r="AQ76" s="182"/>
      <c r="AR76" s="205">
        <f>+AP76*geg!$L$27</f>
        <v>0</v>
      </c>
      <c r="AS76" s="160"/>
      <c r="AT76" s="14"/>
    </row>
    <row r="77" spans="2:46" ht="12.75">
      <c r="B77" s="13"/>
      <c r="C77" s="1"/>
      <c r="D77" s="91" t="s">
        <v>684</v>
      </c>
      <c r="E77" s="95"/>
      <c r="F77" s="67"/>
      <c r="G77" s="95"/>
      <c r="H77" s="33">
        <f t="shared" si="5"/>
        <v>0</v>
      </c>
      <c r="I77" s="186"/>
      <c r="J77" s="33">
        <f t="shared" si="6"/>
        <v>0</v>
      </c>
      <c r="K77" s="186"/>
      <c r="L77" s="205">
        <f>+J77*geg!$I$27</f>
        <v>0</v>
      </c>
      <c r="M77" s="1"/>
      <c r="N77" s="7"/>
      <c r="O77" s="1"/>
      <c r="P77" s="33">
        <f>SUMIF('form t+1'!M$11:M$109,D77,'form t+1'!P$11:P$109)</f>
        <v>0</v>
      </c>
      <c r="Q77" s="182"/>
      <c r="R77" s="33">
        <f t="shared" si="7"/>
        <v>0</v>
      </c>
      <c r="S77" s="182"/>
      <c r="T77" s="205">
        <f>+R77*geg!$L$27</f>
        <v>0</v>
      </c>
      <c r="U77" s="1"/>
      <c r="V77" s="7"/>
      <c r="W77" s="1"/>
      <c r="X77" s="233">
        <f t="shared" si="8"/>
        <v>0</v>
      </c>
      <c r="Y77" s="186"/>
      <c r="Z77" s="33">
        <f t="shared" si="9"/>
        <v>0</v>
      </c>
      <c r="AA77" s="186"/>
      <c r="AB77" s="205">
        <f>+Z77*geg!$L$27</f>
        <v>0</v>
      </c>
      <c r="AC77" s="1"/>
      <c r="AD77" s="7"/>
      <c r="AE77" s="1"/>
      <c r="AF77" s="233">
        <f t="shared" si="10"/>
        <v>0</v>
      </c>
      <c r="AG77" s="182"/>
      <c r="AH77" s="33">
        <f t="shared" si="11"/>
        <v>0</v>
      </c>
      <c r="AI77" s="182"/>
      <c r="AJ77" s="205">
        <f>+AH77*geg!$L$27</f>
        <v>0</v>
      </c>
      <c r="AK77" s="160"/>
      <c r="AL77" s="110"/>
      <c r="AM77" s="1"/>
      <c r="AN77" s="233">
        <f t="shared" si="12"/>
        <v>0</v>
      </c>
      <c r="AO77" s="182"/>
      <c r="AP77" s="33">
        <f t="shared" si="13"/>
        <v>0</v>
      </c>
      <c r="AQ77" s="182"/>
      <c r="AR77" s="205">
        <f>+AP77*geg!$L$27</f>
        <v>0</v>
      </c>
      <c r="AS77" s="160"/>
      <c r="AT77" s="14"/>
    </row>
    <row r="78" spans="2:46" ht="12.75">
      <c r="B78" s="13"/>
      <c r="C78" s="1"/>
      <c r="D78" s="91" t="s">
        <v>685</v>
      </c>
      <c r="E78" s="95"/>
      <c r="F78" s="67"/>
      <c r="G78" s="95"/>
      <c r="H78" s="33">
        <f t="shared" si="5"/>
        <v>0</v>
      </c>
      <c r="I78" s="186"/>
      <c r="J78" s="33">
        <f t="shared" si="6"/>
        <v>0</v>
      </c>
      <c r="K78" s="186"/>
      <c r="L78" s="205">
        <f>+J78*geg!$I$27</f>
        <v>0</v>
      </c>
      <c r="M78" s="1"/>
      <c r="N78" s="7"/>
      <c r="O78" s="1"/>
      <c r="P78" s="33">
        <f>SUMIF('form t+1'!M$11:M$109,D78,'form t+1'!P$11:P$109)</f>
        <v>0</v>
      </c>
      <c r="Q78" s="182"/>
      <c r="R78" s="33">
        <f t="shared" si="7"/>
        <v>0</v>
      </c>
      <c r="S78" s="182"/>
      <c r="T78" s="205">
        <f>+R78*geg!$L$27</f>
        <v>0</v>
      </c>
      <c r="U78" s="1"/>
      <c r="V78" s="7"/>
      <c r="W78" s="1"/>
      <c r="X78" s="233">
        <f t="shared" si="8"/>
        <v>0</v>
      </c>
      <c r="Y78" s="186"/>
      <c r="Z78" s="33">
        <f t="shared" si="9"/>
        <v>0</v>
      </c>
      <c r="AA78" s="186"/>
      <c r="AB78" s="205">
        <f>+Z78*geg!$L$27</f>
        <v>0</v>
      </c>
      <c r="AC78" s="1"/>
      <c r="AD78" s="7"/>
      <c r="AE78" s="1"/>
      <c r="AF78" s="233">
        <f t="shared" si="10"/>
        <v>0</v>
      </c>
      <c r="AG78" s="182"/>
      <c r="AH78" s="33">
        <f t="shared" si="11"/>
        <v>0</v>
      </c>
      <c r="AI78" s="182"/>
      <c r="AJ78" s="205">
        <f>+AH78*geg!$L$27</f>
        <v>0</v>
      </c>
      <c r="AK78" s="160"/>
      <c r="AL78" s="110"/>
      <c r="AM78" s="1"/>
      <c r="AN78" s="233">
        <f t="shared" si="12"/>
        <v>0</v>
      </c>
      <c r="AO78" s="182"/>
      <c r="AP78" s="33">
        <f t="shared" si="13"/>
        <v>0</v>
      </c>
      <c r="AQ78" s="182"/>
      <c r="AR78" s="205">
        <f>+AP78*geg!$L$27</f>
        <v>0</v>
      </c>
      <c r="AS78" s="160"/>
      <c r="AT78" s="14"/>
    </row>
    <row r="79" spans="2:46" ht="12.75">
      <c r="B79" s="13"/>
      <c r="C79" s="1"/>
      <c r="D79" s="91" t="s">
        <v>686</v>
      </c>
      <c r="E79" s="95"/>
      <c r="F79" s="67"/>
      <c r="G79" s="95"/>
      <c r="H79" s="33">
        <f t="shared" si="5"/>
        <v>0</v>
      </c>
      <c r="I79" s="186"/>
      <c r="J79" s="33">
        <f t="shared" si="6"/>
        <v>0</v>
      </c>
      <c r="K79" s="186"/>
      <c r="L79" s="205">
        <f>+J79*geg!$I$27</f>
        <v>0</v>
      </c>
      <c r="M79" s="1"/>
      <c r="N79" s="7"/>
      <c r="O79" s="1"/>
      <c r="P79" s="33">
        <f>SUMIF('form t+1'!M$11:M$109,D79,'form t+1'!P$11:P$109)</f>
        <v>0</v>
      </c>
      <c r="Q79" s="182"/>
      <c r="R79" s="33">
        <f t="shared" si="7"/>
        <v>0</v>
      </c>
      <c r="S79" s="182"/>
      <c r="T79" s="205">
        <f>+R79*geg!$L$27</f>
        <v>0</v>
      </c>
      <c r="U79" s="1"/>
      <c r="V79" s="7"/>
      <c r="W79" s="1"/>
      <c r="X79" s="233">
        <f t="shared" si="8"/>
        <v>0</v>
      </c>
      <c r="Y79" s="186"/>
      <c r="Z79" s="33">
        <f t="shared" si="9"/>
        <v>0</v>
      </c>
      <c r="AA79" s="186"/>
      <c r="AB79" s="205">
        <f>+Z79*geg!$L$27</f>
        <v>0</v>
      </c>
      <c r="AC79" s="1"/>
      <c r="AD79" s="7"/>
      <c r="AE79" s="1"/>
      <c r="AF79" s="233">
        <f t="shared" si="10"/>
        <v>0</v>
      </c>
      <c r="AG79" s="182"/>
      <c r="AH79" s="33">
        <f t="shared" si="11"/>
        <v>0</v>
      </c>
      <c r="AI79" s="182"/>
      <c r="AJ79" s="205">
        <f>+AH79*geg!$L$27</f>
        <v>0</v>
      </c>
      <c r="AK79" s="160"/>
      <c r="AL79" s="110"/>
      <c r="AM79" s="1"/>
      <c r="AN79" s="233">
        <f t="shared" si="12"/>
        <v>0</v>
      </c>
      <c r="AO79" s="182"/>
      <c r="AP79" s="33">
        <f t="shared" si="13"/>
        <v>0</v>
      </c>
      <c r="AQ79" s="182"/>
      <c r="AR79" s="205">
        <f>+AP79*geg!$L$27</f>
        <v>0</v>
      </c>
      <c r="AS79" s="160"/>
      <c r="AT79" s="14"/>
    </row>
    <row r="80" spans="2:46" ht="12.75">
      <c r="B80" s="13"/>
      <c r="C80" s="1"/>
      <c r="D80" s="91" t="s">
        <v>676</v>
      </c>
      <c r="E80" s="95"/>
      <c r="F80" s="67"/>
      <c r="G80" s="95"/>
      <c r="H80" s="33">
        <f t="shared" si="5"/>
        <v>0</v>
      </c>
      <c r="I80" s="186"/>
      <c r="J80" s="33">
        <f t="shared" si="6"/>
        <v>0</v>
      </c>
      <c r="K80" s="186"/>
      <c r="L80" s="205">
        <f>+J80*geg!$I$27</f>
        <v>0</v>
      </c>
      <c r="M80" s="1"/>
      <c r="N80" s="7"/>
      <c r="O80" s="1"/>
      <c r="P80" s="33">
        <f>SUMIF('form t+1'!M$11:M$109,D80,'form t+1'!P$11:P$109)</f>
        <v>0</v>
      </c>
      <c r="Q80" s="182"/>
      <c r="R80" s="33">
        <f t="shared" si="7"/>
        <v>0</v>
      </c>
      <c r="S80" s="182"/>
      <c r="T80" s="205">
        <f>+R80*geg!$L$27</f>
        <v>0</v>
      </c>
      <c r="U80" s="1"/>
      <c r="V80" s="7"/>
      <c r="W80" s="1"/>
      <c r="X80" s="233">
        <f t="shared" si="8"/>
        <v>0</v>
      </c>
      <c r="Y80" s="186"/>
      <c r="Z80" s="33">
        <f t="shared" si="9"/>
        <v>0</v>
      </c>
      <c r="AA80" s="186"/>
      <c r="AB80" s="205">
        <f>+Z80*geg!$L$27</f>
        <v>0</v>
      </c>
      <c r="AC80" s="1"/>
      <c r="AD80" s="7"/>
      <c r="AE80" s="1"/>
      <c r="AF80" s="233">
        <f t="shared" si="10"/>
        <v>0</v>
      </c>
      <c r="AG80" s="182"/>
      <c r="AH80" s="33">
        <f t="shared" si="11"/>
        <v>0</v>
      </c>
      <c r="AI80" s="182"/>
      <c r="AJ80" s="205">
        <f>+AH80*geg!$L$27</f>
        <v>0</v>
      </c>
      <c r="AK80" s="160"/>
      <c r="AL80" s="110"/>
      <c r="AM80" s="1"/>
      <c r="AN80" s="233">
        <f t="shared" si="12"/>
        <v>0</v>
      </c>
      <c r="AO80" s="182"/>
      <c r="AP80" s="33">
        <f t="shared" si="13"/>
        <v>0</v>
      </c>
      <c r="AQ80" s="182"/>
      <c r="AR80" s="205">
        <f>+AP80*geg!$L$27</f>
        <v>0</v>
      </c>
      <c r="AS80" s="160"/>
      <c r="AT80" s="14"/>
    </row>
    <row r="81" spans="2:46" ht="12.75">
      <c r="B81" s="13"/>
      <c r="C81" s="1"/>
      <c r="D81" s="91" t="s">
        <v>677</v>
      </c>
      <c r="E81" s="95"/>
      <c r="F81" s="67"/>
      <c r="G81" s="95"/>
      <c r="H81" s="33">
        <f t="shared" si="5"/>
        <v>0</v>
      </c>
      <c r="I81" s="186"/>
      <c r="J81" s="33">
        <f t="shared" si="6"/>
        <v>0</v>
      </c>
      <c r="K81" s="186"/>
      <c r="L81" s="205">
        <f>+J81*geg!$I$27</f>
        <v>0</v>
      </c>
      <c r="M81" s="1"/>
      <c r="N81" s="7"/>
      <c r="O81" s="1"/>
      <c r="P81" s="33">
        <f>SUMIF('form t+1'!M$11:M$109,D81,'form t+1'!P$11:P$109)</f>
        <v>0</v>
      </c>
      <c r="Q81" s="182"/>
      <c r="R81" s="33">
        <f t="shared" si="7"/>
        <v>0</v>
      </c>
      <c r="S81" s="182"/>
      <c r="T81" s="205">
        <f>+R81*geg!$L$27</f>
        <v>0</v>
      </c>
      <c r="U81" s="1"/>
      <c r="V81" s="7"/>
      <c r="W81" s="1"/>
      <c r="X81" s="233">
        <f t="shared" si="8"/>
        <v>0</v>
      </c>
      <c r="Y81" s="186"/>
      <c r="Z81" s="33">
        <f t="shared" si="9"/>
        <v>0</v>
      </c>
      <c r="AA81" s="186"/>
      <c r="AB81" s="205">
        <f>+Z81*geg!$L$27</f>
        <v>0</v>
      </c>
      <c r="AC81" s="1"/>
      <c r="AD81" s="7"/>
      <c r="AE81" s="1"/>
      <c r="AF81" s="233">
        <f t="shared" si="10"/>
        <v>0</v>
      </c>
      <c r="AG81" s="182"/>
      <c r="AH81" s="33">
        <f t="shared" si="11"/>
        <v>0</v>
      </c>
      <c r="AI81" s="182"/>
      <c r="AJ81" s="205">
        <f>+AH81*geg!$L$27</f>
        <v>0</v>
      </c>
      <c r="AK81" s="160"/>
      <c r="AL81" s="110"/>
      <c r="AM81" s="1"/>
      <c r="AN81" s="233">
        <f t="shared" si="12"/>
        <v>0</v>
      </c>
      <c r="AO81" s="182"/>
      <c r="AP81" s="33">
        <f t="shared" si="13"/>
        <v>0</v>
      </c>
      <c r="AQ81" s="182"/>
      <c r="AR81" s="205">
        <f>+AP81*geg!$L$27</f>
        <v>0</v>
      </c>
      <c r="AS81" s="160"/>
      <c r="AT81" s="14"/>
    </row>
    <row r="82" spans="2:46" ht="12.75">
      <c r="B82" s="13"/>
      <c r="C82" s="1"/>
      <c r="D82" s="91" t="s">
        <v>678</v>
      </c>
      <c r="E82" s="95"/>
      <c r="F82" s="67"/>
      <c r="G82" s="95"/>
      <c r="H82" s="33">
        <f t="shared" si="5"/>
        <v>0</v>
      </c>
      <c r="I82" s="186"/>
      <c r="J82" s="33">
        <f t="shared" si="6"/>
        <v>0</v>
      </c>
      <c r="K82" s="186"/>
      <c r="L82" s="205">
        <f>+J82*geg!$I$27</f>
        <v>0</v>
      </c>
      <c r="M82" s="1"/>
      <c r="N82" s="7"/>
      <c r="O82" s="1"/>
      <c r="P82" s="33">
        <f>SUMIF('form t+1'!M$11:M$109,D82,'form t+1'!P$11:P$109)</f>
        <v>0</v>
      </c>
      <c r="Q82" s="182"/>
      <c r="R82" s="33">
        <f t="shared" si="7"/>
        <v>0</v>
      </c>
      <c r="S82" s="182"/>
      <c r="T82" s="205">
        <f>+R82*geg!$L$27</f>
        <v>0</v>
      </c>
      <c r="U82" s="1"/>
      <c r="V82" s="7"/>
      <c r="W82" s="1"/>
      <c r="X82" s="233">
        <f t="shared" si="8"/>
        <v>0</v>
      </c>
      <c r="Y82" s="186"/>
      <c r="Z82" s="33">
        <f t="shared" si="9"/>
        <v>0</v>
      </c>
      <c r="AA82" s="186"/>
      <c r="AB82" s="205">
        <f>+Z82*geg!$L$27</f>
        <v>0</v>
      </c>
      <c r="AC82" s="1"/>
      <c r="AD82" s="7"/>
      <c r="AE82" s="1"/>
      <c r="AF82" s="233">
        <f t="shared" si="10"/>
        <v>0</v>
      </c>
      <c r="AG82" s="182"/>
      <c r="AH82" s="33">
        <f t="shared" si="11"/>
        <v>0</v>
      </c>
      <c r="AI82" s="182"/>
      <c r="AJ82" s="205">
        <f>+AH82*geg!$L$27</f>
        <v>0</v>
      </c>
      <c r="AK82" s="160"/>
      <c r="AL82" s="110"/>
      <c r="AM82" s="1"/>
      <c r="AN82" s="233">
        <f t="shared" si="12"/>
        <v>0</v>
      </c>
      <c r="AO82" s="182"/>
      <c r="AP82" s="33">
        <f t="shared" si="13"/>
        <v>0</v>
      </c>
      <c r="AQ82" s="182"/>
      <c r="AR82" s="205">
        <f>+AP82*geg!$L$27</f>
        <v>0</v>
      </c>
      <c r="AS82" s="160"/>
      <c r="AT82" s="14"/>
    </row>
    <row r="83" spans="2:46" ht="12.75">
      <c r="B83" s="13"/>
      <c r="C83" s="1"/>
      <c r="D83" s="91" t="s">
        <v>679</v>
      </c>
      <c r="E83" s="95"/>
      <c r="F83" s="67"/>
      <c r="G83" s="95"/>
      <c r="H83" s="33">
        <f t="shared" si="5"/>
        <v>0</v>
      </c>
      <c r="I83" s="186"/>
      <c r="J83" s="33">
        <f t="shared" si="6"/>
        <v>0</v>
      </c>
      <c r="K83" s="186"/>
      <c r="L83" s="205">
        <f>+J83*geg!$I$27</f>
        <v>0</v>
      </c>
      <c r="M83" s="1"/>
      <c r="N83" s="7"/>
      <c r="O83" s="1"/>
      <c r="P83" s="33">
        <f>SUMIF('form t+1'!M$11:M$109,D83,'form t+1'!P$11:P$109)</f>
        <v>0</v>
      </c>
      <c r="Q83" s="182"/>
      <c r="R83" s="33">
        <f t="shared" si="7"/>
        <v>0</v>
      </c>
      <c r="S83" s="182"/>
      <c r="T83" s="205">
        <f>+R83*geg!$L$27</f>
        <v>0</v>
      </c>
      <c r="U83" s="1"/>
      <c r="V83" s="7"/>
      <c r="W83" s="1"/>
      <c r="X83" s="233">
        <f t="shared" si="8"/>
        <v>0</v>
      </c>
      <c r="Y83" s="186"/>
      <c r="Z83" s="33">
        <f t="shared" si="9"/>
        <v>0</v>
      </c>
      <c r="AA83" s="186"/>
      <c r="AB83" s="205">
        <f>+Z83*geg!$L$27</f>
        <v>0</v>
      </c>
      <c r="AC83" s="1"/>
      <c r="AD83" s="7"/>
      <c r="AE83" s="1"/>
      <c r="AF83" s="233">
        <f t="shared" si="10"/>
        <v>0</v>
      </c>
      <c r="AG83" s="182"/>
      <c r="AH83" s="33">
        <f t="shared" si="11"/>
        <v>0</v>
      </c>
      <c r="AI83" s="182"/>
      <c r="AJ83" s="205">
        <f>+AH83*geg!$L$27</f>
        <v>0</v>
      </c>
      <c r="AK83" s="160"/>
      <c r="AL83" s="110"/>
      <c r="AM83" s="1"/>
      <c r="AN83" s="233">
        <f t="shared" si="12"/>
        <v>0</v>
      </c>
      <c r="AO83" s="182"/>
      <c r="AP83" s="33">
        <f t="shared" si="13"/>
        <v>0</v>
      </c>
      <c r="AQ83" s="182"/>
      <c r="AR83" s="205">
        <f>+AP83*geg!$L$27</f>
        <v>0</v>
      </c>
      <c r="AS83" s="160"/>
      <c r="AT83" s="14"/>
    </row>
    <row r="84" spans="2:46" ht="12.75">
      <c r="B84" s="13"/>
      <c r="C84" s="1"/>
      <c r="D84" s="91" t="s">
        <v>680</v>
      </c>
      <c r="E84" s="95"/>
      <c r="F84" s="67"/>
      <c r="G84" s="95"/>
      <c r="H84" s="33">
        <f t="shared" si="5"/>
        <v>0</v>
      </c>
      <c r="I84" s="186"/>
      <c r="J84" s="33">
        <f t="shared" si="6"/>
        <v>0</v>
      </c>
      <c r="K84" s="186"/>
      <c r="L84" s="205">
        <f>+J84*geg!$I$27</f>
        <v>0</v>
      </c>
      <c r="M84" s="1"/>
      <c r="N84" s="7"/>
      <c r="O84" s="1"/>
      <c r="P84" s="33">
        <f>SUMIF('form t+1'!M$11:M$109,D84,'form t+1'!P$11:P$109)</f>
        <v>0</v>
      </c>
      <c r="Q84" s="182"/>
      <c r="R84" s="33">
        <f t="shared" si="7"/>
        <v>0</v>
      </c>
      <c r="S84" s="182"/>
      <c r="T84" s="205">
        <f>+R84*geg!$L$27</f>
        <v>0</v>
      </c>
      <c r="U84" s="1"/>
      <c r="V84" s="7"/>
      <c r="W84" s="1"/>
      <c r="X84" s="233">
        <f t="shared" si="8"/>
        <v>0</v>
      </c>
      <c r="Y84" s="186"/>
      <c r="Z84" s="33">
        <f t="shared" si="9"/>
        <v>0</v>
      </c>
      <c r="AA84" s="186"/>
      <c r="AB84" s="205">
        <f>+Z84*geg!$L$27</f>
        <v>0</v>
      </c>
      <c r="AC84" s="1"/>
      <c r="AD84" s="7"/>
      <c r="AE84" s="1"/>
      <c r="AF84" s="233">
        <f t="shared" si="10"/>
        <v>0</v>
      </c>
      <c r="AG84" s="182"/>
      <c r="AH84" s="33">
        <f t="shared" si="11"/>
        <v>0</v>
      </c>
      <c r="AI84" s="182"/>
      <c r="AJ84" s="205">
        <f>+AH84*geg!$L$27</f>
        <v>0</v>
      </c>
      <c r="AK84" s="160"/>
      <c r="AL84" s="110"/>
      <c r="AM84" s="1"/>
      <c r="AN84" s="233">
        <f t="shared" si="12"/>
        <v>0</v>
      </c>
      <c r="AO84" s="182"/>
      <c r="AP84" s="33">
        <f t="shared" si="13"/>
        <v>0</v>
      </c>
      <c r="AQ84" s="182"/>
      <c r="AR84" s="205">
        <f>+AP84*geg!$L$27</f>
        <v>0</v>
      </c>
      <c r="AS84" s="160"/>
      <c r="AT84" s="14"/>
    </row>
    <row r="85" spans="2:46" ht="12.75">
      <c r="B85" s="13"/>
      <c r="C85" s="1"/>
      <c r="D85" s="91" t="s">
        <v>687</v>
      </c>
      <c r="E85" s="95"/>
      <c r="F85" s="67"/>
      <c r="G85" s="95"/>
      <c r="H85" s="33">
        <f t="shared" si="5"/>
        <v>0</v>
      </c>
      <c r="I85" s="186"/>
      <c r="J85" s="33">
        <f t="shared" si="6"/>
        <v>0</v>
      </c>
      <c r="K85" s="186"/>
      <c r="L85" s="205">
        <f>+J85*geg!$I$27</f>
        <v>0</v>
      </c>
      <c r="M85" s="1"/>
      <c r="N85" s="7"/>
      <c r="O85" s="1"/>
      <c r="P85" s="33">
        <f>SUMIF('form t+1'!M$11:M$109,D85,'form t+1'!P$11:P$109)</f>
        <v>0</v>
      </c>
      <c r="Q85" s="182"/>
      <c r="R85" s="33">
        <f t="shared" si="7"/>
        <v>0</v>
      </c>
      <c r="S85" s="182"/>
      <c r="T85" s="205">
        <f>+R85*geg!$L$27</f>
        <v>0</v>
      </c>
      <c r="U85" s="1"/>
      <c r="V85" s="7"/>
      <c r="W85" s="1"/>
      <c r="X85" s="233">
        <f t="shared" si="8"/>
        <v>0</v>
      </c>
      <c r="Y85" s="186"/>
      <c r="Z85" s="33">
        <f t="shared" si="9"/>
        <v>0</v>
      </c>
      <c r="AA85" s="186"/>
      <c r="AB85" s="205">
        <f>+Z85*geg!$L$27</f>
        <v>0</v>
      </c>
      <c r="AC85" s="1"/>
      <c r="AD85" s="7"/>
      <c r="AE85" s="1"/>
      <c r="AF85" s="233">
        <f t="shared" si="10"/>
        <v>0</v>
      </c>
      <c r="AG85" s="182"/>
      <c r="AH85" s="33">
        <f t="shared" si="11"/>
        <v>0</v>
      </c>
      <c r="AI85" s="182"/>
      <c r="AJ85" s="205">
        <f>+AH85*geg!$L$27</f>
        <v>0</v>
      </c>
      <c r="AK85" s="160"/>
      <c r="AL85" s="110"/>
      <c r="AM85" s="1"/>
      <c r="AN85" s="233">
        <f t="shared" si="12"/>
        <v>0</v>
      </c>
      <c r="AO85" s="182"/>
      <c r="AP85" s="33">
        <f>+AN85*VLOOKUP(D85,kosten_functies_LB,2,FALSE)</f>
        <v>0</v>
      </c>
      <c r="AQ85" s="182"/>
      <c r="AR85" s="205">
        <f>+AP85*geg!$L$27</f>
        <v>0</v>
      </c>
      <c r="AS85" s="160"/>
      <c r="AT85" s="14"/>
    </row>
    <row r="86" spans="2:46" ht="12.75">
      <c r="B86" s="13"/>
      <c r="C86" s="1"/>
      <c r="D86" s="91" t="s">
        <v>670</v>
      </c>
      <c r="E86" s="95"/>
      <c r="F86" s="67"/>
      <c r="G86" s="95"/>
      <c r="H86" s="33">
        <f t="shared" si="5"/>
        <v>33</v>
      </c>
      <c r="I86" s="186"/>
      <c r="J86" s="33">
        <f t="shared" si="6"/>
        <v>33</v>
      </c>
      <c r="K86" s="186"/>
      <c r="L86" s="205">
        <f>+J86*geg!$I$27</f>
        <v>1990340.7216</v>
      </c>
      <c r="M86" s="1"/>
      <c r="N86" s="7"/>
      <c r="O86" s="1"/>
      <c r="P86" s="33">
        <f>SUMIF('form t+1'!M$11:M$109,D86,'form t+1'!P$11:P$109)</f>
        <v>33</v>
      </c>
      <c r="Q86" s="182"/>
      <c r="R86" s="33">
        <f t="shared" si="7"/>
        <v>33</v>
      </c>
      <c r="S86" s="182"/>
      <c r="T86" s="205">
        <f>+R86*geg!$L$27</f>
        <v>1990340.7216</v>
      </c>
      <c r="U86" s="1"/>
      <c r="V86" s="7"/>
      <c r="W86" s="1"/>
      <c r="X86" s="233">
        <f t="shared" si="8"/>
        <v>33</v>
      </c>
      <c r="Y86" s="186"/>
      <c r="Z86" s="33">
        <f t="shared" si="9"/>
        <v>33</v>
      </c>
      <c r="AA86" s="186"/>
      <c r="AB86" s="205">
        <f>+Z86*geg!$L$27</f>
        <v>1990340.7216</v>
      </c>
      <c r="AC86" s="1"/>
      <c r="AD86" s="7"/>
      <c r="AE86" s="1"/>
      <c r="AF86" s="233">
        <f t="shared" si="10"/>
        <v>33</v>
      </c>
      <c r="AG86" s="182"/>
      <c r="AH86" s="33">
        <f t="shared" si="11"/>
        <v>33</v>
      </c>
      <c r="AI86" s="182"/>
      <c r="AJ86" s="205">
        <f>+AH86*geg!$L$27</f>
        <v>1990340.7216</v>
      </c>
      <c r="AK86" s="160"/>
      <c r="AL86" s="110"/>
      <c r="AM86" s="1"/>
      <c r="AN86" s="233">
        <f t="shared" si="12"/>
        <v>33</v>
      </c>
      <c r="AO86" s="182"/>
      <c r="AP86" s="33">
        <f t="shared" si="13"/>
        <v>33</v>
      </c>
      <c r="AQ86" s="182"/>
      <c r="AR86" s="205">
        <f>+AP86*geg!$L$27</f>
        <v>1990340.7216</v>
      </c>
      <c r="AS86" s="160"/>
      <c r="AT86" s="14"/>
    </row>
    <row r="87" spans="2:46" ht="12.75">
      <c r="B87" s="13"/>
      <c r="C87" s="1"/>
      <c r="D87" s="91" t="s">
        <v>688</v>
      </c>
      <c r="E87" s="95"/>
      <c r="F87" s="67"/>
      <c r="G87" s="95"/>
      <c r="H87" s="33">
        <f t="shared" si="5"/>
        <v>0</v>
      </c>
      <c r="I87" s="186"/>
      <c r="J87" s="33">
        <f t="shared" si="6"/>
        <v>0</v>
      </c>
      <c r="K87" s="186"/>
      <c r="L87" s="205">
        <f>+J87*geg!$I$27</f>
        <v>0</v>
      </c>
      <c r="M87" s="1"/>
      <c r="N87" s="7"/>
      <c r="O87" s="1"/>
      <c r="P87" s="33">
        <f>SUMIF('form t+1'!M$11:M$109,D87,'form t+1'!P$11:P$109)</f>
        <v>0</v>
      </c>
      <c r="Q87" s="182"/>
      <c r="R87" s="33">
        <f t="shared" si="7"/>
        <v>0</v>
      </c>
      <c r="S87" s="182"/>
      <c r="T87" s="205">
        <f>+R87*geg!$L$27</f>
        <v>0</v>
      </c>
      <c r="U87" s="1"/>
      <c r="V87" s="7"/>
      <c r="W87" s="1"/>
      <c r="X87" s="233">
        <f t="shared" si="8"/>
        <v>0</v>
      </c>
      <c r="Y87" s="186"/>
      <c r="Z87" s="33">
        <f t="shared" si="9"/>
        <v>0</v>
      </c>
      <c r="AA87" s="186"/>
      <c r="AB87" s="205">
        <f>+Z87*geg!$L$27</f>
        <v>0</v>
      </c>
      <c r="AC87" s="1"/>
      <c r="AD87" s="7"/>
      <c r="AE87" s="1"/>
      <c r="AF87" s="233">
        <f t="shared" si="10"/>
        <v>0</v>
      </c>
      <c r="AG87" s="182"/>
      <c r="AH87" s="33">
        <f t="shared" si="11"/>
        <v>0</v>
      </c>
      <c r="AI87" s="182"/>
      <c r="AJ87" s="205">
        <f>+AH87*geg!$L$27</f>
        <v>0</v>
      </c>
      <c r="AK87" s="160"/>
      <c r="AL87" s="110"/>
      <c r="AM87" s="1"/>
      <c r="AN87" s="233">
        <f t="shared" si="12"/>
        <v>0</v>
      </c>
      <c r="AO87" s="182"/>
      <c r="AP87" s="33">
        <f t="shared" si="13"/>
        <v>0</v>
      </c>
      <c r="AQ87" s="182"/>
      <c r="AR87" s="205">
        <f>+AP87*geg!$L$27</f>
        <v>0</v>
      </c>
      <c r="AS87" s="160"/>
      <c r="AT87" s="14"/>
    </row>
    <row r="88" spans="2:46" ht="12.75">
      <c r="B88" s="13"/>
      <c r="C88" s="1"/>
      <c r="D88" s="91" t="s">
        <v>689</v>
      </c>
      <c r="E88" s="95"/>
      <c r="F88" s="67"/>
      <c r="G88" s="95"/>
      <c r="H88" s="33">
        <f t="shared" si="5"/>
        <v>0</v>
      </c>
      <c r="I88" s="186"/>
      <c r="J88" s="33">
        <f t="shared" si="6"/>
        <v>0</v>
      </c>
      <c r="K88" s="186"/>
      <c r="L88" s="205">
        <f>+J88*geg!$I$27</f>
        <v>0</v>
      </c>
      <c r="M88" s="1"/>
      <c r="N88" s="7"/>
      <c r="O88" s="1"/>
      <c r="P88" s="33">
        <f>SUMIF('form t+1'!M$11:M$109,D88,'form t+1'!P$11:P$109)</f>
        <v>0</v>
      </c>
      <c r="Q88" s="182"/>
      <c r="R88" s="33">
        <f t="shared" si="7"/>
        <v>0</v>
      </c>
      <c r="S88" s="182"/>
      <c r="T88" s="205">
        <f>+R88*geg!$L$27</f>
        <v>0</v>
      </c>
      <c r="U88" s="1"/>
      <c r="V88" s="7"/>
      <c r="W88" s="1"/>
      <c r="X88" s="233">
        <f t="shared" si="8"/>
        <v>0</v>
      </c>
      <c r="Y88" s="186"/>
      <c r="Z88" s="33">
        <f t="shared" si="9"/>
        <v>0</v>
      </c>
      <c r="AA88" s="186"/>
      <c r="AB88" s="205">
        <f>+Z88*geg!$L$27</f>
        <v>0</v>
      </c>
      <c r="AC88" s="1"/>
      <c r="AD88" s="7"/>
      <c r="AE88" s="1"/>
      <c r="AF88" s="233">
        <f t="shared" si="10"/>
        <v>0</v>
      </c>
      <c r="AG88" s="182"/>
      <c r="AH88" s="33">
        <f t="shared" si="11"/>
        <v>0</v>
      </c>
      <c r="AI88" s="182"/>
      <c r="AJ88" s="205">
        <f>+AH88*geg!$L$27</f>
        <v>0</v>
      </c>
      <c r="AK88" s="160"/>
      <c r="AL88" s="110"/>
      <c r="AM88" s="1"/>
      <c r="AN88" s="233">
        <f t="shared" si="12"/>
        <v>0</v>
      </c>
      <c r="AO88" s="182"/>
      <c r="AP88" s="33">
        <f t="shared" si="13"/>
        <v>0</v>
      </c>
      <c r="AQ88" s="182"/>
      <c r="AR88" s="205">
        <f>+AP88*geg!$L$27</f>
        <v>0</v>
      </c>
      <c r="AS88" s="160"/>
      <c r="AT88" s="14"/>
    </row>
    <row r="89" spans="2:46" ht="12.75">
      <c r="B89" s="13"/>
      <c r="C89" s="1"/>
      <c r="D89" s="91" t="s">
        <v>690</v>
      </c>
      <c r="E89" s="95"/>
      <c r="F89" s="67"/>
      <c r="G89" s="95"/>
      <c r="H89" s="33">
        <f t="shared" si="5"/>
        <v>0</v>
      </c>
      <c r="I89" s="186"/>
      <c r="J89" s="33">
        <f t="shared" si="6"/>
        <v>0</v>
      </c>
      <c r="K89" s="186"/>
      <c r="L89" s="205">
        <f>+J89*geg!$I$27</f>
        <v>0</v>
      </c>
      <c r="M89" s="1"/>
      <c r="N89" s="7"/>
      <c r="O89" s="1"/>
      <c r="P89" s="33">
        <f>SUMIF('form t+1'!M$11:M$109,D89,'form t+1'!P$11:P$109)</f>
        <v>0</v>
      </c>
      <c r="Q89" s="182"/>
      <c r="R89" s="33">
        <f t="shared" si="7"/>
        <v>0</v>
      </c>
      <c r="S89" s="182"/>
      <c r="T89" s="205">
        <f>+R89*geg!$L$27</f>
        <v>0</v>
      </c>
      <c r="U89" s="1"/>
      <c r="V89" s="7"/>
      <c r="W89" s="1"/>
      <c r="X89" s="233">
        <f t="shared" si="8"/>
        <v>0</v>
      </c>
      <c r="Y89" s="186"/>
      <c r="Z89" s="33">
        <f t="shared" si="9"/>
        <v>0</v>
      </c>
      <c r="AA89" s="186"/>
      <c r="AB89" s="205">
        <f>+Z89*geg!$L$27</f>
        <v>0</v>
      </c>
      <c r="AC89" s="1"/>
      <c r="AD89" s="7"/>
      <c r="AE89" s="1"/>
      <c r="AF89" s="233">
        <f t="shared" si="10"/>
        <v>0</v>
      </c>
      <c r="AG89" s="182"/>
      <c r="AH89" s="33">
        <f t="shared" si="11"/>
        <v>0</v>
      </c>
      <c r="AI89" s="182"/>
      <c r="AJ89" s="205">
        <f>+AH89*geg!$L$27</f>
        <v>0</v>
      </c>
      <c r="AK89" s="160"/>
      <c r="AL89" s="110"/>
      <c r="AM89" s="1"/>
      <c r="AN89" s="233">
        <f t="shared" si="12"/>
        <v>0</v>
      </c>
      <c r="AO89" s="182"/>
      <c r="AP89" s="33">
        <f t="shared" si="13"/>
        <v>0</v>
      </c>
      <c r="AQ89" s="182"/>
      <c r="AR89" s="205">
        <f>+AP89*geg!$L$27</f>
        <v>0</v>
      </c>
      <c r="AS89" s="160"/>
      <c r="AT89" s="14"/>
    </row>
    <row r="90" spans="2:46" ht="12.75">
      <c r="B90" s="13"/>
      <c r="C90" s="1"/>
      <c r="D90" s="91">
        <v>1</v>
      </c>
      <c r="E90" s="95"/>
      <c r="F90" s="67"/>
      <c r="G90" s="95"/>
      <c r="H90" s="33">
        <f t="shared" si="5"/>
        <v>0</v>
      </c>
      <c r="I90" s="186"/>
      <c r="J90" s="33">
        <f t="shared" si="6"/>
        <v>0</v>
      </c>
      <c r="K90" s="186"/>
      <c r="L90" s="205">
        <f>+J90*geg!$I$27</f>
        <v>0</v>
      </c>
      <c r="M90" s="1"/>
      <c r="N90" s="7"/>
      <c r="O90" s="1"/>
      <c r="P90" s="33">
        <f>SUMIF('form t+1'!M$11:M$109,D90,'form t+1'!P$11:P$109)</f>
        <v>0</v>
      </c>
      <c r="Q90" s="182"/>
      <c r="R90" s="33">
        <f t="shared" si="7"/>
        <v>0</v>
      </c>
      <c r="S90" s="182"/>
      <c r="T90" s="205">
        <f>+R90*geg!$L$27</f>
        <v>0</v>
      </c>
      <c r="U90" s="1"/>
      <c r="V90" s="7"/>
      <c r="W90" s="1"/>
      <c r="X90" s="233">
        <f t="shared" si="8"/>
        <v>0</v>
      </c>
      <c r="Y90" s="186"/>
      <c r="Z90" s="33">
        <f t="shared" si="9"/>
        <v>0</v>
      </c>
      <c r="AA90" s="186"/>
      <c r="AB90" s="205">
        <f>+Z90*geg!$L$27</f>
        <v>0</v>
      </c>
      <c r="AC90" s="1"/>
      <c r="AD90" s="7"/>
      <c r="AE90" s="1"/>
      <c r="AF90" s="233">
        <f t="shared" si="10"/>
        <v>0</v>
      </c>
      <c r="AG90" s="182"/>
      <c r="AH90" s="33">
        <f t="shared" si="11"/>
        <v>0</v>
      </c>
      <c r="AI90" s="182"/>
      <c r="AJ90" s="205">
        <f>+AH90*geg!$L$27</f>
        <v>0</v>
      </c>
      <c r="AK90" s="160"/>
      <c r="AL90" s="110"/>
      <c r="AM90" s="1"/>
      <c r="AN90" s="233">
        <f t="shared" si="12"/>
        <v>0</v>
      </c>
      <c r="AO90" s="182"/>
      <c r="AP90" s="33">
        <f t="shared" si="13"/>
        <v>0</v>
      </c>
      <c r="AQ90" s="182"/>
      <c r="AR90" s="205">
        <f>+AP90*geg!$L$27</f>
        <v>0</v>
      </c>
      <c r="AS90" s="160"/>
      <c r="AT90" s="14"/>
    </row>
    <row r="91" spans="2:46" ht="12.75">
      <c r="B91" s="13"/>
      <c r="C91" s="1"/>
      <c r="D91" s="91">
        <v>2</v>
      </c>
      <c r="E91" s="95"/>
      <c r="F91" s="67"/>
      <c r="G91" s="95"/>
      <c r="H91" s="33">
        <f t="shared" si="5"/>
        <v>0</v>
      </c>
      <c r="I91" s="186"/>
      <c r="J91" s="33">
        <f t="shared" si="6"/>
        <v>0</v>
      </c>
      <c r="K91" s="186"/>
      <c r="L91" s="205">
        <f>+J91*geg!$I$27</f>
        <v>0</v>
      </c>
      <c r="M91" s="1"/>
      <c r="N91" s="7"/>
      <c r="O91" s="1"/>
      <c r="P91" s="33">
        <f>SUMIF('form t+1'!M$11:M$109,D91,'form t+1'!P$11:P$109)</f>
        <v>0</v>
      </c>
      <c r="Q91" s="182"/>
      <c r="R91" s="33">
        <f t="shared" si="7"/>
        <v>0</v>
      </c>
      <c r="S91" s="182"/>
      <c r="T91" s="205">
        <f>+R91*geg!$L$27</f>
        <v>0</v>
      </c>
      <c r="U91" s="1"/>
      <c r="V91" s="7"/>
      <c r="W91" s="1"/>
      <c r="X91" s="233">
        <f t="shared" si="8"/>
        <v>0</v>
      </c>
      <c r="Y91" s="186"/>
      <c r="Z91" s="33">
        <f t="shared" si="9"/>
        <v>0</v>
      </c>
      <c r="AA91" s="186"/>
      <c r="AB91" s="205">
        <f>+Z91*geg!$L$27</f>
        <v>0</v>
      </c>
      <c r="AC91" s="1"/>
      <c r="AD91" s="7"/>
      <c r="AE91" s="1"/>
      <c r="AF91" s="233">
        <f t="shared" si="10"/>
        <v>0</v>
      </c>
      <c r="AG91" s="182"/>
      <c r="AH91" s="33">
        <f t="shared" si="11"/>
        <v>0</v>
      </c>
      <c r="AI91" s="182"/>
      <c r="AJ91" s="205">
        <f>+AH91*geg!$L$27</f>
        <v>0</v>
      </c>
      <c r="AK91" s="160"/>
      <c r="AL91" s="110"/>
      <c r="AM91" s="1"/>
      <c r="AN91" s="233">
        <f t="shared" si="12"/>
        <v>0</v>
      </c>
      <c r="AO91" s="182"/>
      <c r="AP91" s="33">
        <f t="shared" si="13"/>
        <v>0</v>
      </c>
      <c r="AQ91" s="182"/>
      <c r="AR91" s="205">
        <f>+AP91*geg!$L$27</f>
        <v>0</v>
      </c>
      <c r="AS91" s="160"/>
      <c r="AT91" s="14"/>
    </row>
    <row r="92" spans="2:46" ht="12.75">
      <c r="B92" s="13"/>
      <c r="C92" s="1"/>
      <c r="D92" s="91">
        <v>3</v>
      </c>
      <c r="E92" s="95"/>
      <c r="F92" s="67"/>
      <c r="G92" s="95"/>
      <c r="H92" s="33">
        <f t="shared" si="5"/>
        <v>0</v>
      </c>
      <c r="I92" s="186"/>
      <c r="J92" s="33">
        <f t="shared" si="6"/>
        <v>0</v>
      </c>
      <c r="K92" s="186"/>
      <c r="L92" s="205">
        <f>+J92*geg!$I$27</f>
        <v>0</v>
      </c>
      <c r="M92" s="1"/>
      <c r="N92" s="7"/>
      <c r="O92" s="1"/>
      <c r="P92" s="33">
        <f>SUMIF('form t+1'!M$11:M$109,D92,'form t+1'!P$11:P$109)</f>
        <v>0</v>
      </c>
      <c r="Q92" s="182"/>
      <c r="R92" s="33">
        <f t="shared" si="7"/>
        <v>0</v>
      </c>
      <c r="S92" s="182"/>
      <c r="T92" s="205">
        <f>+R92*geg!$L$27</f>
        <v>0</v>
      </c>
      <c r="U92" s="1"/>
      <c r="V92" s="7"/>
      <c r="W92" s="1"/>
      <c r="X92" s="233">
        <f t="shared" si="8"/>
        <v>0</v>
      </c>
      <c r="Y92" s="186"/>
      <c r="Z92" s="33">
        <f t="shared" si="9"/>
        <v>0</v>
      </c>
      <c r="AA92" s="186"/>
      <c r="AB92" s="205">
        <f>+Z92*geg!$L$27</f>
        <v>0</v>
      </c>
      <c r="AC92" s="1"/>
      <c r="AD92" s="7"/>
      <c r="AE92" s="1"/>
      <c r="AF92" s="233">
        <f t="shared" si="10"/>
        <v>0</v>
      </c>
      <c r="AG92" s="182"/>
      <c r="AH92" s="33">
        <f t="shared" si="11"/>
        <v>0</v>
      </c>
      <c r="AI92" s="182"/>
      <c r="AJ92" s="205">
        <f>+AH92*geg!$L$27</f>
        <v>0</v>
      </c>
      <c r="AK92" s="160"/>
      <c r="AL92" s="110"/>
      <c r="AM92" s="1"/>
      <c r="AN92" s="233">
        <f t="shared" si="12"/>
        <v>0</v>
      </c>
      <c r="AO92" s="182"/>
      <c r="AP92" s="33">
        <f t="shared" si="13"/>
        <v>0</v>
      </c>
      <c r="AQ92" s="182"/>
      <c r="AR92" s="205">
        <f>+AP92*geg!$L$27</f>
        <v>0</v>
      </c>
      <c r="AS92" s="160"/>
      <c r="AT92" s="14"/>
    </row>
    <row r="93" spans="2:46" ht="12.75">
      <c r="B93" s="13"/>
      <c r="C93" s="1"/>
      <c r="D93" s="91">
        <v>4</v>
      </c>
      <c r="E93" s="95"/>
      <c r="F93" s="67"/>
      <c r="G93" s="95"/>
      <c r="H93" s="33">
        <f t="shared" si="5"/>
        <v>0</v>
      </c>
      <c r="I93" s="186"/>
      <c r="J93" s="33">
        <f t="shared" si="6"/>
        <v>0</v>
      </c>
      <c r="K93" s="186"/>
      <c r="L93" s="205">
        <f>+J93*geg!$I$27</f>
        <v>0</v>
      </c>
      <c r="M93" s="1"/>
      <c r="N93" s="7"/>
      <c r="O93" s="1"/>
      <c r="P93" s="33">
        <f>SUMIF('form t+1'!M$11:M$109,D93,'form t+1'!P$11:P$109)</f>
        <v>0</v>
      </c>
      <c r="Q93" s="182"/>
      <c r="R93" s="33">
        <f t="shared" si="7"/>
        <v>0</v>
      </c>
      <c r="S93" s="182"/>
      <c r="T93" s="205">
        <f>+R93*geg!$L$27</f>
        <v>0</v>
      </c>
      <c r="U93" s="1"/>
      <c r="V93" s="7"/>
      <c r="W93" s="1"/>
      <c r="X93" s="233">
        <f t="shared" si="8"/>
        <v>0</v>
      </c>
      <c r="Y93" s="186"/>
      <c r="Z93" s="33">
        <f t="shared" si="9"/>
        <v>0</v>
      </c>
      <c r="AA93" s="186"/>
      <c r="AB93" s="205">
        <f>+Z93*geg!$L$27</f>
        <v>0</v>
      </c>
      <c r="AC93" s="1"/>
      <c r="AD93" s="7"/>
      <c r="AE93" s="1"/>
      <c r="AF93" s="233">
        <f t="shared" si="10"/>
        <v>0</v>
      </c>
      <c r="AG93" s="182"/>
      <c r="AH93" s="33">
        <f t="shared" si="11"/>
        <v>0</v>
      </c>
      <c r="AI93" s="182"/>
      <c r="AJ93" s="205">
        <f>+AH93*geg!$L$27</f>
        <v>0</v>
      </c>
      <c r="AK93" s="160"/>
      <c r="AL93" s="110"/>
      <c r="AM93" s="1"/>
      <c r="AN93" s="233">
        <f t="shared" si="12"/>
        <v>0</v>
      </c>
      <c r="AO93" s="182"/>
      <c r="AP93" s="33">
        <f t="shared" si="13"/>
        <v>0</v>
      </c>
      <c r="AQ93" s="182"/>
      <c r="AR93" s="205">
        <f>+AP93*geg!$L$27</f>
        <v>0</v>
      </c>
      <c r="AS93" s="160"/>
      <c r="AT93" s="14"/>
    </row>
    <row r="94" spans="2:46" ht="12.75">
      <c r="B94" s="13"/>
      <c r="C94" s="1"/>
      <c r="D94" s="91">
        <v>5</v>
      </c>
      <c r="E94" s="95"/>
      <c r="F94" s="67"/>
      <c r="G94" s="95"/>
      <c r="H94" s="33">
        <f t="shared" si="5"/>
        <v>0</v>
      </c>
      <c r="I94" s="186"/>
      <c r="J94" s="33">
        <f t="shared" si="6"/>
        <v>0</v>
      </c>
      <c r="K94" s="186"/>
      <c r="L94" s="205">
        <f>+J94*geg!$I$27</f>
        <v>0</v>
      </c>
      <c r="M94" s="1"/>
      <c r="N94" s="7"/>
      <c r="O94" s="1"/>
      <c r="P94" s="33">
        <f>SUMIF('form t+1'!M$11:M$109,D94,'form t+1'!P$11:P$109)</f>
        <v>0</v>
      </c>
      <c r="Q94" s="182"/>
      <c r="R94" s="33">
        <f t="shared" si="7"/>
        <v>0</v>
      </c>
      <c r="S94" s="182"/>
      <c r="T94" s="205">
        <f>+R94*geg!$L$27</f>
        <v>0</v>
      </c>
      <c r="U94" s="1"/>
      <c r="V94" s="7"/>
      <c r="W94" s="1"/>
      <c r="X94" s="233">
        <f t="shared" si="8"/>
        <v>0</v>
      </c>
      <c r="Y94" s="186"/>
      <c r="Z94" s="33">
        <f t="shared" si="9"/>
        <v>0</v>
      </c>
      <c r="AA94" s="186"/>
      <c r="AB94" s="205">
        <f>+Z94*geg!$L$27</f>
        <v>0</v>
      </c>
      <c r="AC94" s="1"/>
      <c r="AD94" s="7"/>
      <c r="AE94" s="1"/>
      <c r="AF94" s="233">
        <f t="shared" si="10"/>
        <v>0</v>
      </c>
      <c r="AG94" s="182"/>
      <c r="AH94" s="33">
        <f t="shared" si="11"/>
        <v>0</v>
      </c>
      <c r="AI94" s="182"/>
      <c r="AJ94" s="205">
        <f>+AH94*geg!$L$27</f>
        <v>0</v>
      </c>
      <c r="AK94" s="160"/>
      <c r="AL94" s="110"/>
      <c r="AM94" s="1"/>
      <c r="AN94" s="233">
        <f t="shared" si="12"/>
        <v>0</v>
      </c>
      <c r="AO94" s="182"/>
      <c r="AP94" s="33">
        <f t="shared" si="13"/>
        <v>0</v>
      </c>
      <c r="AQ94" s="182"/>
      <c r="AR94" s="205">
        <f>+AP94*geg!$L$27</f>
        <v>0</v>
      </c>
      <c r="AS94" s="160"/>
      <c r="AT94" s="14"/>
    </row>
    <row r="95" spans="2:46" ht="12.75">
      <c r="B95" s="13"/>
      <c r="C95" s="1"/>
      <c r="D95" s="91">
        <v>6</v>
      </c>
      <c r="E95" s="95"/>
      <c r="F95" s="67"/>
      <c r="G95" s="95"/>
      <c r="H95" s="33">
        <f t="shared" si="5"/>
        <v>0</v>
      </c>
      <c r="I95" s="186"/>
      <c r="J95" s="33">
        <f t="shared" si="6"/>
        <v>0</v>
      </c>
      <c r="K95" s="186"/>
      <c r="L95" s="205">
        <f>+J95*geg!$I$27</f>
        <v>0</v>
      </c>
      <c r="M95" s="1"/>
      <c r="N95" s="7"/>
      <c r="O95" s="1"/>
      <c r="P95" s="33">
        <f>SUMIF('form t+1'!M$11:M$109,D95,'form t+1'!P$11:P$109)</f>
        <v>0</v>
      </c>
      <c r="Q95" s="182"/>
      <c r="R95" s="33">
        <f t="shared" si="7"/>
        <v>0</v>
      </c>
      <c r="S95" s="182"/>
      <c r="T95" s="205">
        <f>+R95*geg!$L$27</f>
        <v>0</v>
      </c>
      <c r="U95" s="1"/>
      <c r="V95" s="7"/>
      <c r="W95" s="1"/>
      <c r="X95" s="233">
        <f t="shared" si="8"/>
        <v>0</v>
      </c>
      <c r="Y95" s="186"/>
      <c r="Z95" s="33">
        <f t="shared" si="9"/>
        <v>0</v>
      </c>
      <c r="AA95" s="186"/>
      <c r="AB95" s="205">
        <f>+Z95*geg!$L$27</f>
        <v>0</v>
      </c>
      <c r="AC95" s="1"/>
      <c r="AD95" s="7"/>
      <c r="AE95" s="1"/>
      <c r="AF95" s="233">
        <f t="shared" si="10"/>
        <v>0</v>
      </c>
      <c r="AG95" s="182"/>
      <c r="AH95" s="33">
        <f t="shared" si="11"/>
        <v>0</v>
      </c>
      <c r="AI95" s="182"/>
      <c r="AJ95" s="205">
        <f>+AH95*geg!$L$27</f>
        <v>0</v>
      </c>
      <c r="AK95" s="160"/>
      <c r="AL95" s="110"/>
      <c r="AM95" s="1"/>
      <c r="AN95" s="233">
        <f t="shared" si="12"/>
        <v>0</v>
      </c>
      <c r="AO95" s="182"/>
      <c r="AP95" s="33">
        <f t="shared" si="13"/>
        <v>0</v>
      </c>
      <c r="AQ95" s="182"/>
      <c r="AR95" s="205">
        <f>+AP95*geg!$L$27</f>
        <v>0</v>
      </c>
      <c r="AS95" s="160"/>
      <c r="AT95" s="14"/>
    </row>
    <row r="96" spans="2:46" ht="12.75">
      <c r="B96" s="13"/>
      <c r="C96" s="1"/>
      <c r="D96" s="91">
        <v>7</v>
      </c>
      <c r="E96" s="95"/>
      <c r="F96" s="67"/>
      <c r="G96" s="95"/>
      <c r="H96" s="33">
        <f t="shared" si="5"/>
        <v>0</v>
      </c>
      <c r="I96" s="186"/>
      <c r="J96" s="33">
        <f t="shared" si="6"/>
        <v>0</v>
      </c>
      <c r="K96" s="186"/>
      <c r="L96" s="205">
        <f>+J96*geg!$I$27</f>
        <v>0</v>
      </c>
      <c r="M96" s="1"/>
      <c r="N96" s="7"/>
      <c r="O96" s="1"/>
      <c r="P96" s="33">
        <f>SUMIF('form t+1'!M$11:M$109,D96,'form t+1'!P$11:P$109)</f>
        <v>0</v>
      </c>
      <c r="Q96" s="182"/>
      <c r="R96" s="33">
        <f t="shared" si="7"/>
        <v>0</v>
      </c>
      <c r="S96" s="182"/>
      <c r="T96" s="205">
        <f>+R96*geg!$L$27</f>
        <v>0</v>
      </c>
      <c r="U96" s="1"/>
      <c r="V96" s="7"/>
      <c r="W96" s="1"/>
      <c r="X96" s="233">
        <f t="shared" si="8"/>
        <v>0</v>
      </c>
      <c r="Y96" s="186"/>
      <c r="Z96" s="33">
        <f t="shared" si="9"/>
        <v>0</v>
      </c>
      <c r="AA96" s="186"/>
      <c r="AB96" s="205">
        <f>+Z96*geg!$L$27</f>
        <v>0</v>
      </c>
      <c r="AC96" s="1"/>
      <c r="AD96" s="7"/>
      <c r="AE96" s="1"/>
      <c r="AF96" s="233">
        <f t="shared" si="10"/>
        <v>0</v>
      </c>
      <c r="AG96" s="182"/>
      <c r="AH96" s="33">
        <f t="shared" si="11"/>
        <v>0</v>
      </c>
      <c r="AI96" s="182"/>
      <c r="AJ96" s="205">
        <f>+AH96*geg!$L$27</f>
        <v>0</v>
      </c>
      <c r="AK96" s="160"/>
      <c r="AL96" s="110"/>
      <c r="AM96" s="1"/>
      <c r="AN96" s="233">
        <f t="shared" si="12"/>
        <v>0</v>
      </c>
      <c r="AO96" s="182"/>
      <c r="AP96" s="33">
        <f t="shared" si="13"/>
        <v>0</v>
      </c>
      <c r="AQ96" s="182"/>
      <c r="AR96" s="205">
        <f>+AP96*geg!$L$27</f>
        <v>0</v>
      </c>
      <c r="AS96" s="160"/>
      <c r="AT96" s="14"/>
    </row>
    <row r="97" spans="2:46" ht="12.75">
      <c r="B97" s="13"/>
      <c r="C97" s="1"/>
      <c r="D97" s="91">
        <v>8</v>
      </c>
      <c r="E97" s="95"/>
      <c r="F97" s="67"/>
      <c r="G97" s="95"/>
      <c r="H97" s="33">
        <f t="shared" si="5"/>
        <v>0</v>
      </c>
      <c r="I97" s="186"/>
      <c r="J97" s="33">
        <f t="shared" si="6"/>
        <v>0</v>
      </c>
      <c r="K97" s="186"/>
      <c r="L97" s="205">
        <f>+J97*geg!$I$27</f>
        <v>0</v>
      </c>
      <c r="M97" s="1"/>
      <c r="N97" s="7"/>
      <c r="O97" s="1"/>
      <c r="P97" s="33">
        <f>SUMIF('form t+1'!M$11:M$109,D97,'form t+1'!P$11:P$109)</f>
        <v>0</v>
      </c>
      <c r="Q97" s="182"/>
      <c r="R97" s="33">
        <f t="shared" si="7"/>
        <v>0</v>
      </c>
      <c r="S97" s="182"/>
      <c r="T97" s="205">
        <f>+R97*geg!$L$27</f>
        <v>0</v>
      </c>
      <c r="U97" s="1"/>
      <c r="V97" s="7"/>
      <c r="W97" s="1"/>
      <c r="X97" s="233">
        <f t="shared" si="8"/>
        <v>0</v>
      </c>
      <c r="Y97" s="186"/>
      <c r="Z97" s="33">
        <f t="shared" si="9"/>
        <v>0</v>
      </c>
      <c r="AA97" s="186"/>
      <c r="AB97" s="205">
        <f>+Z97*geg!$L$27</f>
        <v>0</v>
      </c>
      <c r="AC97" s="1"/>
      <c r="AD97" s="7"/>
      <c r="AE97" s="1"/>
      <c r="AF97" s="233">
        <f t="shared" si="10"/>
        <v>0</v>
      </c>
      <c r="AG97" s="182"/>
      <c r="AH97" s="33">
        <f t="shared" si="11"/>
        <v>0</v>
      </c>
      <c r="AI97" s="182"/>
      <c r="AJ97" s="205">
        <f>+AH97*geg!$L$27</f>
        <v>0</v>
      </c>
      <c r="AK97" s="160"/>
      <c r="AL97" s="110"/>
      <c r="AM97" s="1"/>
      <c r="AN97" s="233">
        <f t="shared" si="12"/>
        <v>0</v>
      </c>
      <c r="AO97" s="182"/>
      <c r="AP97" s="33">
        <f t="shared" si="13"/>
        <v>0</v>
      </c>
      <c r="AQ97" s="182"/>
      <c r="AR97" s="205">
        <f>+AP97*geg!$L$27</f>
        <v>0</v>
      </c>
      <c r="AS97" s="160"/>
      <c r="AT97" s="14"/>
    </row>
    <row r="98" spans="2:46" ht="12.75">
      <c r="B98" s="13"/>
      <c r="C98" s="1"/>
      <c r="D98" s="91">
        <v>9</v>
      </c>
      <c r="E98" s="95"/>
      <c r="F98" s="67"/>
      <c r="G98" s="95"/>
      <c r="H98" s="33">
        <f t="shared" si="5"/>
        <v>0</v>
      </c>
      <c r="I98" s="186"/>
      <c r="J98" s="33">
        <f t="shared" si="6"/>
        <v>0</v>
      </c>
      <c r="K98" s="186"/>
      <c r="L98" s="205">
        <f>+J98*geg!$I$27</f>
        <v>0</v>
      </c>
      <c r="M98" s="1"/>
      <c r="N98" s="7"/>
      <c r="O98" s="1"/>
      <c r="P98" s="33">
        <f>SUMIF('form t+1'!M$11:M$109,D98,'form t+1'!P$11:P$109)</f>
        <v>0</v>
      </c>
      <c r="Q98" s="182"/>
      <c r="R98" s="33">
        <f t="shared" si="7"/>
        <v>0</v>
      </c>
      <c r="S98" s="182"/>
      <c r="T98" s="205">
        <f>+R98*geg!$L$27</f>
        <v>0</v>
      </c>
      <c r="U98" s="1"/>
      <c r="V98" s="7"/>
      <c r="W98" s="1"/>
      <c r="X98" s="233">
        <f t="shared" si="8"/>
        <v>0</v>
      </c>
      <c r="Y98" s="186"/>
      <c r="Z98" s="33">
        <f t="shared" si="9"/>
        <v>0</v>
      </c>
      <c r="AA98" s="186"/>
      <c r="AB98" s="205">
        <f>+Z98*geg!$L$27</f>
        <v>0</v>
      </c>
      <c r="AC98" s="1"/>
      <c r="AD98" s="7"/>
      <c r="AE98" s="1"/>
      <c r="AF98" s="233">
        <f t="shared" si="10"/>
        <v>0</v>
      </c>
      <c r="AG98" s="182"/>
      <c r="AH98" s="33">
        <f t="shared" si="11"/>
        <v>0</v>
      </c>
      <c r="AI98" s="182"/>
      <c r="AJ98" s="205">
        <f>+AH98*geg!$L$27</f>
        <v>0</v>
      </c>
      <c r="AK98" s="160"/>
      <c r="AL98" s="110"/>
      <c r="AM98" s="1"/>
      <c r="AN98" s="233">
        <f t="shared" si="12"/>
        <v>0</v>
      </c>
      <c r="AO98" s="182"/>
      <c r="AP98" s="33">
        <f t="shared" si="13"/>
        <v>0</v>
      </c>
      <c r="AQ98" s="182"/>
      <c r="AR98" s="205">
        <f>+AP98*geg!$L$27</f>
        <v>0</v>
      </c>
      <c r="AS98" s="160"/>
      <c r="AT98" s="14"/>
    </row>
    <row r="99" spans="2:46" ht="12.75">
      <c r="B99" s="13"/>
      <c r="C99" s="1"/>
      <c r="D99" s="91">
        <v>10</v>
      </c>
      <c r="E99" s="95"/>
      <c r="F99" s="67"/>
      <c r="G99" s="95"/>
      <c r="H99" s="33">
        <f t="shared" si="5"/>
        <v>0</v>
      </c>
      <c r="I99" s="186"/>
      <c r="J99" s="33">
        <f t="shared" si="6"/>
        <v>0</v>
      </c>
      <c r="K99" s="186"/>
      <c r="L99" s="205">
        <f>+J99*geg!$I$27</f>
        <v>0</v>
      </c>
      <c r="M99" s="1"/>
      <c r="N99" s="7"/>
      <c r="O99" s="1"/>
      <c r="P99" s="33">
        <f>SUMIF('form t+1'!M$11:M$109,D99,'form t+1'!P$11:P$109)</f>
        <v>0</v>
      </c>
      <c r="Q99" s="182"/>
      <c r="R99" s="33">
        <f t="shared" si="7"/>
        <v>0</v>
      </c>
      <c r="S99" s="182"/>
      <c r="T99" s="205">
        <f>+R99*geg!$L$27</f>
        <v>0</v>
      </c>
      <c r="U99" s="1"/>
      <c r="V99" s="7"/>
      <c r="W99" s="1"/>
      <c r="X99" s="233">
        <f t="shared" si="8"/>
        <v>0</v>
      </c>
      <c r="Y99" s="186"/>
      <c r="Z99" s="33">
        <f t="shared" si="9"/>
        <v>0</v>
      </c>
      <c r="AA99" s="186"/>
      <c r="AB99" s="205">
        <f>+Z99*geg!$L$27</f>
        <v>0</v>
      </c>
      <c r="AC99" s="1"/>
      <c r="AD99" s="7"/>
      <c r="AE99" s="1"/>
      <c r="AF99" s="233">
        <f t="shared" si="10"/>
        <v>0</v>
      </c>
      <c r="AG99" s="182"/>
      <c r="AH99" s="33">
        <f t="shared" si="11"/>
        <v>0</v>
      </c>
      <c r="AI99" s="182"/>
      <c r="AJ99" s="205">
        <f>+AH99*geg!$L$27</f>
        <v>0</v>
      </c>
      <c r="AK99" s="160"/>
      <c r="AL99" s="110"/>
      <c r="AM99" s="1"/>
      <c r="AN99" s="233">
        <f t="shared" si="12"/>
        <v>0</v>
      </c>
      <c r="AO99" s="182"/>
      <c r="AP99" s="33">
        <f t="shared" si="13"/>
        <v>0</v>
      </c>
      <c r="AQ99" s="182"/>
      <c r="AR99" s="205">
        <f>+AP99*geg!$L$27</f>
        <v>0</v>
      </c>
      <c r="AS99" s="160"/>
      <c r="AT99" s="14"/>
    </row>
    <row r="100" spans="2:46" ht="12.75">
      <c r="B100" s="13"/>
      <c r="C100" s="1"/>
      <c r="D100" s="91">
        <v>11</v>
      </c>
      <c r="E100" s="95"/>
      <c r="F100" s="67"/>
      <c r="G100" s="95"/>
      <c r="H100" s="33">
        <f t="shared" si="5"/>
        <v>0</v>
      </c>
      <c r="I100" s="186"/>
      <c r="J100" s="33">
        <f t="shared" si="6"/>
        <v>0</v>
      </c>
      <c r="K100" s="186"/>
      <c r="L100" s="205">
        <f>+J100*geg!$I$27</f>
        <v>0</v>
      </c>
      <c r="M100" s="1"/>
      <c r="N100" s="7"/>
      <c r="O100" s="1"/>
      <c r="P100" s="33">
        <f>SUMIF('form t+1'!M$11:M$109,D100,'form t+1'!P$11:P$109)</f>
        <v>0</v>
      </c>
      <c r="Q100" s="182"/>
      <c r="R100" s="33">
        <f t="shared" si="7"/>
        <v>0</v>
      </c>
      <c r="S100" s="182"/>
      <c r="T100" s="205">
        <f>+R100*geg!$L$27</f>
        <v>0</v>
      </c>
      <c r="U100" s="1"/>
      <c r="V100" s="7"/>
      <c r="W100" s="1"/>
      <c r="X100" s="233">
        <f t="shared" si="8"/>
        <v>0</v>
      </c>
      <c r="Y100" s="186"/>
      <c r="Z100" s="33">
        <f t="shared" si="9"/>
        <v>0</v>
      </c>
      <c r="AA100" s="186"/>
      <c r="AB100" s="205">
        <f>+Z100*geg!$L$27</f>
        <v>0</v>
      </c>
      <c r="AC100" s="1"/>
      <c r="AD100" s="7"/>
      <c r="AE100" s="1"/>
      <c r="AF100" s="233">
        <f t="shared" si="10"/>
        <v>0</v>
      </c>
      <c r="AG100" s="182"/>
      <c r="AH100" s="33">
        <f t="shared" si="11"/>
        <v>0</v>
      </c>
      <c r="AI100" s="182"/>
      <c r="AJ100" s="205">
        <f>+AH100*geg!$L$27</f>
        <v>0</v>
      </c>
      <c r="AK100" s="160"/>
      <c r="AL100" s="110"/>
      <c r="AM100" s="1"/>
      <c r="AN100" s="233">
        <f t="shared" si="12"/>
        <v>0</v>
      </c>
      <c r="AO100" s="182"/>
      <c r="AP100" s="33">
        <f t="shared" si="13"/>
        <v>0</v>
      </c>
      <c r="AQ100" s="182"/>
      <c r="AR100" s="205">
        <f>+AP100*geg!$L$27</f>
        <v>0</v>
      </c>
      <c r="AS100" s="160"/>
      <c r="AT100" s="14"/>
    </row>
    <row r="101" spans="2:46" ht="12.75">
      <c r="B101" s="13"/>
      <c r="C101" s="1"/>
      <c r="D101" s="91">
        <v>12</v>
      </c>
      <c r="E101" s="95"/>
      <c r="F101" s="67"/>
      <c r="G101" s="95"/>
      <c r="H101" s="33">
        <f t="shared" si="5"/>
        <v>0</v>
      </c>
      <c r="I101" s="186"/>
      <c r="J101" s="33">
        <f t="shared" si="6"/>
        <v>0</v>
      </c>
      <c r="K101" s="186"/>
      <c r="L101" s="205">
        <f>+J101*geg!$I$27</f>
        <v>0</v>
      </c>
      <c r="M101" s="1"/>
      <c r="N101" s="7"/>
      <c r="O101" s="1"/>
      <c r="P101" s="33">
        <f>SUMIF('form t+1'!M$11:M$109,D101,'form t+1'!P$11:P$109)</f>
        <v>0</v>
      </c>
      <c r="Q101" s="182"/>
      <c r="R101" s="33">
        <f t="shared" si="7"/>
        <v>0</v>
      </c>
      <c r="S101" s="182"/>
      <c r="T101" s="205">
        <f>+R101*geg!$L$27</f>
        <v>0</v>
      </c>
      <c r="U101" s="1"/>
      <c r="V101" s="7"/>
      <c r="W101" s="1"/>
      <c r="X101" s="233">
        <f t="shared" si="8"/>
        <v>0</v>
      </c>
      <c r="Y101" s="186"/>
      <c r="Z101" s="33">
        <f t="shared" si="9"/>
        <v>0</v>
      </c>
      <c r="AA101" s="186"/>
      <c r="AB101" s="205">
        <f>+Z101*geg!$L$27</f>
        <v>0</v>
      </c>
      <c r="AC101" s="1"/>
      <c r="AD101" s="7"/>
      <c r="AE101" s="1"/>
      <c r="AF101" s="233">
        <f t="shared" si="10"/>
        <v>0</v>
      </c>
      <c r="AG101" s="182"/>
      <c r="AH101" s="33">
        <f t="shared" si="11"/>
        <v>0</v>
      </c>
      <c r="AI101" s="182"/>
      <c r="AJ101" s="205">
        <f>+AH101*geg!$L$27</f>
        <v>0</v>
      </c>
      <c r="AK101" s="160"/>
      <c r="AL101" s="110"/>
      <c r="AM101" s="1"/>
      <c r="AN101" s="233">
        <f t="shared" si="12"/>
        <v>0</v>
      </c>
      <c r="AO101" s="182"/>
      <c r="AP101" s="33">
        <f t="shared" si="13"/>
        <v>0</v>
      </c>
      <c r="AQ101" s="182"/>
      <c r="AR101" s="205">
        <f>+AP101*geg!$L$27</f>
        <v>0</v>
      </c>
      <c r="AS101" s="160"/>
      <c r="AT101" s="14"/>
    </row>
    <row r="102" spans="2:46" ht="12.75">
      <c r="B102" s="13"/>
      <c r="C102" s="1"/>
      <c r="D102" s="91">
        <v>13</v>
      </c>
      <c r="E102" s="95"/>
      <c r="F102" s="67"/>
      <c r="G102" s="95"/>
      <c r="H102" s="33">
        <f t="shared" si="5"/>
        <v>0</v>
      </c>
      <c r="I102" s="186"/>
      <c r="J102" s="33">
        <f t="shared" si="6"/>
        <v>0</v>
      </c>
      <c r="K102" s="186"/>
      <c r="L102" s="205">
        <f>+J102*geg!$I$27</f>
        <v>0</v>
      </c>
      <c r="M102" s="1"/>
      <c r="N102" s="7"/>
      <c r="O102" s="1"/>
      <c r="P102" s="33">
        <f>SUMIF('form t+1'!M$11:M$109,D102,'form t+1'!P$11:P$109)</f>
        <v>0</v>
      </c>
      <c r="Q102" s="182"/>
      <c r="R102" s="33">
        <f t="shared" si="7"/>
        <v>0</v>
      </c>
      <c r="S102" s="182"/>
      <c r="T102" s="205">
        <f>+R102*geg!$L$27</f>
        <v>0</v>
      </c>
      <c r="U102" s="1"/>
      <c r="V102" s="7"/>
      <c r="W102" s="1"/>
      <c r="X102" s="233">
        <f t="shared" si="8"/>
        <v>0</v>
      </c>
      <c r="Y102" s="186"/>
      <c r="Z102" s="33">
        <f t="shared" si="9"/>
        <v>0</v>
      </c>
      <c r="AA102" s="186"/>
      <c r="AB102" s="205">
        <f>+Z102*geg!$L$27</f>
        <v>0</v>
      </c>
      <c r="AC102" s="1"/>
      <c r="AD102" s="7"/>
      <c r="AE102" s="1"/>
      <c r="AF102" s="233">
        <f t="shared" si="10"/>
        <v>0</v>
      </c>
      <c r="AG102" s="182"/>
      <c r="AH102" s="33">
        <f t="shared" si="11"/>
        <v>0</v>
      </c>
      <c r="AI102" s="182"/>
      <c r="AJ102" s="205">
        <f>+AH102*geg!$L$27</f>
        <v>0</v>
      </c>
      <c r="AK102" s="160"/>
      <c r="AL102" s="110"/>
      <c r="AM102" s="1"/>
      <c r="AN102" s="233">
        <f t="shared" si="12"/>
        <v>0</v>
      </c>
      <c r="AO102" s="182"/>
      <c r="AP102" s="33">
        <f t="shared" si="13"/>
        <v>0</v>
      </c>
      <c r="AQ102" s="182"/>
      <c r="AR102" s="205">
        <f>+AP102*geg!$L$27</f>
        <v>0</v>
      </c>
      <c r="AS102" s="160"/>
      <c r="AT102" s="14"/>
    </row>
    <row r="103" spans="2:46" ht="12.75">
      <c r="B103" s="13"/>
      <c r="C103" s="1"/>
      <c r="D103" s="91">
        <v>14</v>
      </c>
      <c r="E103" s="95"/>
      <c r="F103" s="67"/>
      <c r="G103" s="95"/>
      <c r="H103" s="33">
        <f t="shared" si="5"/>
        <v>0</v>
      </c>
      <c r="I103" s="186"/>
      <c r="J103" s="33">
        <f t="shared" si="6"/>
        <v>0</v>
      </c>
      <c r="K103" s="186"/>
      <c r="L103" s="205">
        <f>+J103*geg!$I$27</f>
        <v>0</v>
      </c>
      <c r="M103" s="1"/>
      <c r="N103" s="7"/>
      <c r="O103" s="1"/>
      <c r="P103" s="33">
        <f>SUMIF('form t+1'!M$11:M$109,D103,'form t+1'!P$11:P$109)</f>
        <v>0</v>
      </c>
      <c r="Q103" s="182"/>
      <c r="R103" s="33">
        <f t="shared" si="7"/>
        <v>0</v>
      </c>
      <c r="S103" s="182"/>
      <c r="T103" s="205">
        <f>+R103*geg!$L$27</f>
        <v>0</v>
      </c>
      <c r="U103" s="1"/>
      <c r="V103" s="7"/>
      <c r="W103" s="1"/>
      <c r="X103" s="233">
        <f t="shared" si="8"/>
        <v>0</v>
      </c>
      <c r="Y103" s="186"/>
      <c r="Z103" s="33">
        <f t="shared" si="9"/>
        <v>0</v>
      </c>
      <c r="AA103" s="186"/>
      <c r="AB103" s="205">
        <f>+Z103*geg!$L$27</f>
        <v>0</v>
      </c>
      <c r="AC103" s="1"/>
      <c r="AD103" s="7"/>
      <c r="AE103" s="1"/>
      <c r="AF103" s="233">
        <f t="shared" si="10"/>
        <v>0</v>
      </c>
      <c r="AG103" s="182"/>
      <c r="AH103" s="33">
        <f t="shared" si="11"/>
        <v>0</v>
      </c>
      <c r="AI103" s="182"/>
      <c r="AJ103" s="205">
        <f>+AH103*geg!$L$27</f>
        <v>0</v>
      </c>
      <c r="AK103" s="160"/>
      <c r="AL103" s="110"/>
      <c r="AM103" s="1"/>
      <c r="AN103" s="233">
        <f t="shared" si="12"/>
        <v>0</v>
      </c>
      <c r="AO103" s="182"/>
      <c r="AP103" s="33">
        <f t="shared" si="13"/>
        <v>0</v>
      </c>
      <c r="AQ103" s="182"/>
      <c r="AR103" s="205">
        <f>+AP103*geg!$L$27</f>
        <v>0</v>
      </c>
      <c r="AS103" s="160"/>
      <c r="AT103" s="14"/>
    </row>
    <row r="104" spans="2:46" ht="12.75">
      <c r="B104" s="13"/>
      <c r="C104" s="1"/>
      <c r="D104" s="91">
        <v>15</v>
      </c>
      <c r="E104" s="95"/>
      <c r="F104" s="67"/>
      <c r="G104" s="95"/>
      <c r="H104" s="33">
        <f t="shared" si="5"/>
        <v>0</v>
      </c>
      <c r="I104" s="186"/>
      <c r="J104" s="33">
        <f t="shared" si="6"/>
        <v>0</v>
      </c>
      <c r="K104" s="186"/>
      <c r="L104" s="205">
        <f>+J104*geg!$I$27</f>
        <v>0</v>
      </c>
      <c r="M104" s="1"/>
      <c r="N104" s="7"/>
      <c r="O104" s="1"/>
      <c r="P104" s="33">
        <f>SUMIF('form t+1'!M$11:M$109,D104,'form t+1'!P$11:P$109)</f>
        <v>0</v>
      </c>
      <c r="Q104" s="182"/>
      <c r="R104" s="33">
        <f t="shared" si="7"/>
        <v>0</v>
      </c>
      <c r="S104" s="182"/>
      <c r="T104" s="205">
        <f>+R104*geg!$L$27</f>
        <v>0</v>
      </c>
      <c r="U104" s="1"/>
      <c r="V104" s="7"/>
      <c r="W104" s="1"/>
      <c r="X104" s="233">
        <f t="shared" si="8"/>
        <v>0</v>
      </c>
      <c r="Y104" s="186"/>
      <c r="Z104" s="33">
        <f t="shared" si="9"/>
        <v>0</v>
      </c>
      <c r="AA104" s="186"/>
      <c r="AB104" s="205">
        <f>+Z104*geg!$L$27</f>
        <v>0</v>
      </c>
      <c r="AC104" s="1"/>
      <c r="AD104" s="7"/>
      <c r="AE104" s="1"/>
      <c r="AF104" s="233">
        <f t="shared" si="10"/>
        <v>0</v>
      </c>
      <c r="AG104" s="182"/>
      <c r="AH104" s="33">
        <f t="shared" si="11"/>
        <v>0</v>
      </c>
      <c r="AI104" s="182"/>
      <c r="AJ104" s="205">
        <f>+AH104*geg!$L$27</f>
        <v>0</v>
      </c>
      <c r="AK104" s="160"/>
      <c r="AL104" s="110"/>
      <c r="AM104" s="1"/>
      <c r="AN104" s="233">
        <f t="shared" si="12"/>
        <v>0</v>
      </c>
      <c r="AO104" s="182"/>
      <c r="AP104" s="33">
        <f t="shared" si="13"/>
        <v>0</v>
      </c>
      <c r="AQ104" s="182"/>
      <c r="AR104" s="205">
        <f>+AP104*geg!$L$27</f>
        <v>0</v>
      </c>
      <c r="AS104" s="160"/>
      <c r="AT104" s="14"/>
    </row>
    <row r="105" spans="2:46" ht="12.75">
      <c r="B105" s="13"/>
      <c r="C105" s="1"/>
      <c r="D105" s="91" t="s">
        <v>691</v>
      </c>
      <c r="E105" s="95"/>
      <c r="F105" s="67"/>
      <c r="G105" s="95"/>
      <c r="H105" s="33">
        <f t="shared" si="5"/>
        <v>0</v>
      </c>
      <c r="I105" s="186"/>
      <c r="J105" s="33">
        <f t="shared" si="6"/>
        <v>0</v>
      </c>
      <c r="K105" s="186"/>
      <c r="L105" s="205">
        <f>+J105*geg!$I$27</f>
        <v>0</v>
      </c>
      <c r="M105" s="1"/>
      <c r="N105" s="7"/>
      <c r="O105" s="1"/>
      <c r="P105" s="33">
        <f>SUMIF('form t+1'!M$11:M$109,D105,'form t+1'!P$11:P$109)</f>
        <v>0</v>
      </c>
      <c r="Q105" s="182"/>
      <c r="R105" s="33">
        <f t="shared" si="7"/>
        <v>0</v>
      </c>
      <c r="S105" s="182"/>
      <c r="T105" s="205">
        <f>+R105*geg!$L$27</f>
        <v>0</v>
      </c>
      <c r="U105" s="1"/>
      <c r="V105" s="7"/>
      <c r="W105" s="1"/>
      <c r="X105" s="233">
        <f t="shared" si="8"/>
        <v>0</v>
      </c>
      <c r="Y105" s="186"/>
      <c r="Z105" s="33">
        <f t="shared" si="9"/>
        <v>0</v>
      </c>
      <c r="AA105" s="186"/>
      <c r="AB105" s="205">
        <f>+Z105*geg!$L$27</f>
        <v>0</v>
      </c>
      <c r="AC105" s="1"/>
      <c r="AD105" s="7"/>
      <c r="AE105" s="1"/>
      <c r="AF105" s="233">
        <f t="shared" si="10"/>
        <v>0</v>
      </c>
      <c r="AG105" s="182"/>
      <c r="AH105" s="33">
        <f t="shared" si="11"/>
        <v>0</v>
      </c>
      <c r="AI105" s="182"/>
      <c r="AJ105" s="205">
        <f>+AH105*geg!$L$27</f>
        <v>0</v>
      </c>
      <c r="AK105" s="160"/>
      <c r="AL105" s="110"/>
      <c r="AM105" s="1"/>
      <c r="AN105" s="233">
        <f t="shared" si="12"/>
        <v>0</v>
      </c>
      <c r="AO105" s="182"/>
      <c r="AP105" s="33">
        <f t="shared" si="13"/>
        <v>0</v>
      </c>
      <c r="AQ105" s="182"/>
      <c r="AR105" s="205">
        <f>+AP105*geg!$L$27</f>
        <v>0</v>
      </c>
      <c r="AS105" s="160"/>
      <c r="AT105" s="14"/>
    </row>
    <row r="106" spans="2:46" ht="12.75">
      <c r="B106" s="13"/>
      <c r="C106" s="1"/>
      <c r="D106" s="91" t="s">
        <v>692</v>
      </c>
      <c r="E106" s="95"/>
      <c r="F106" s="67"/>
      <c r="G106" s="95"/>
      <c r="H106" s="33">
        <f t="shared" si="5"/>
        <v>0</v>
      </c>
      <c r="I106" s="186"/>
      <c r="J106" s="33">
        <f t="shared" si="6"/>
        <v>0</v>
      </c>
      <c r="K106" s="186"/>
      <c r="L106" s="205">
        <f>+J106*geg!$I$27</f>
        <v>0</v>
      </c>
      <c r="M106" s="1"/>
      <c r="N106" s="7"/>
      <c r="O106" s="1"/>
      <c r="P106" s="33">
        <f>SUMIF('form t+1'!M$11:M$109,D106,'form t+1'!P$11:P$109)</f>
        <v>0</v>
      </c>
      <c r="Q106" s="182"/>
      <c r="R106" s="33">
        <f t="shared" si="7"/>
        <v>0</v>
      </c>
      <c r="S106" s="182"/>
      <c r="T106" s="205">
        <f>+R106*geg!$L$27</f>
        <v>0</v>
      </c>
      <c r="U106" s="1"/>
      <c r="V106" s="7"/>
      <c r="W106" s="1"/>
      <c r="X106" s="233">
        <f t="shared" si="8"/>
        <v>0</v>
      </c>
      <c r="Y106" s="186"/>
      <c r="Z106" s="33">
        <f t="shared" si="9"/>
        <v>0</v>
      </c>
      <c r="AA106" s="186"/>
      <c r="AB106" s="205">
        <f>+Z106*geg!$L$27</f>
        <v>0</v>
      </c>
      <c r="AC106" s="1"/>
      <c r="AD106" s="7"/>
      <c r="AE106" s="1"/>
      <c r="AF106" s="233">
        <f t="shared" si="10"/>
        <v>0</v>
      </c>
      <c r="AG106" s="182"/>
      <c r="AH106" s="33">
        <f t="shared" si="11"/>
        <v>0</v>
      </c>
      <c r="AI106" s="182"/>
      <c r="AJ106" s="205">
        <f>+AH106*geg!$L$27</f>
        <v>0</v>
      </c>
      <c r="AK106" s="160"/>
      <c r="AL106" s="110"/>
      <c r="AM106" s="1"/>
      <c r="AN106" s="233">
        <f t="shared" si="12"/>
        <v>0</v>
      </c>
      <c r="AO106" s="182"/>
      <c r="AP106" s="33">
        <f t="shared" si="13"/>
        <v>0</v>
      </c>
      <c r="AQ106" s="182"/>
      <c r="AR106" s="205">
        <f>+AP106*geg!$L$27</f>
        <v>0</v>
      </c>
      <c r="AS106" s="160"/>
      <c r="AT106" s="14"/>
    </row>
    <row r="107" spans="2:46" ht="12.75">
      <c r="B107" s="13"/>
      <c r="C107" s="1"/>
      <c r="D107" s="91"/>
      <c r="E107" s="95"/>
      <c r="F107" s="67"/>
      <c r="G107" s="95"/>
      <c r="H107" s="182"/>
      <c r="I107" s="186"/>
      <c r="J107" s="182"/>
      <c r="K107" s="186"/>
      <c r="L107" s="212"/>
      <c r="M107" s="1"/>
      <c r="N107" s="7"/>
      <c r="O107" s="1"/>
      <c r="P107" s="182"/>
      <c r="Q107" s="182"/>
      <c r="R107" s="182"/>
      <c r="S107" s="182"/>
      <c r="T107" s="170"/>
      <c r="U107" s="1"/>
      <c r="V107" s="7"/>
      <c r="W107" s="1"/>
      <c r="X107" s="182"/>
      <c r="Y107" s="186"/>
      <c r="Z107" s="182"/>
      <c r="AA107" s="186"/>
      <c r="AB107" s="170"/>
      <c r="AC107" s="1"/>
      <c r="AD107" s="7"/>
      <c r="AE107" s="1"/>
      <c r="AF107" s="182"/>
      <c r="AG107" s="182"/>
      <c r="AH107" s="182"/>
      <c r="AI107" s="182"/>
      <c r="AJ107" s="163"/>
      <c r="AK107" s="160"/>
      <c r="AL107" s="110"/>
      <c r="AM107" s="1"/>
      <c r="AN107" s="182"/>
      <c r="AO107" s="182"/>
      <c r="AP107" s="182"/>
      <c r="AQ107" s="182"/>
      <c r="AR107" s="163"/>
      <c r="AS107" s="160"/>
      <c r="AT107" s="14"/>
    </row>
    <row r="108" spans="2:46" ht="12.75">
      <c r="B108" s="13"/>
      <c r="C108" s="1"/>
      <c r="D108" s="2" t="s">
        <v>577</v>
      </c>
      <c r="E108" s="84"/>
      <c r="F108" s="122"/>
      <c r="G108" s="84"/>
      <c r="H108" s="42">
        <f>SUM(H73:H106)</f>
        <v>33</v>
      </c>
      <c r="I108" s="213"/>
      <c r="J108" s="42">
        <f>SUM(J73:J106)</f>
        <v>33</v>
      </c>
      <c r="K108" s="213"/>
      <c r="L108" s="205">
        <f>SUM(L73:L106)</f>
        <v>1990340.7216</v>
      </c>
      <c r="M108" s="1"/>
      <c r="N108" s="7"/>
      <c r="O108" s="1"/>
      <c r="P108" s="42">
        <f>SUM(P73:P106)</f>
        <v>33</v>
      </c>
      <c r="Q108" s="191"/>
      <c r="R108" s="42">
        <f>SUM(R73:R106)</f>
        <v>33</v>
      </c>
      <c r="S108" s="191"/>
      <c r="T108" s="177">
        <f>SUM(T73:T106)</f>
        <v>1990340.7216</v>
      </c>
      <c r="U108" s="1"/>
      <c r="V108" s="7"/>
      <c r="W108" s="1"/>
      <c r="X108" s="42">
        <f>SUM(X73:X106)</f>
        <v>33</v>
      </c>
      <c r="Y108" s="213"/>
      <c r="Z108" s="42">
        <f>SUM(Z73:Z106)</f>
        <v>33</v>
      </c>
      <c r="AA108" s="213"/>
      <c r="AB108" s="177">
        <f>SUM(AB73:AB106)</f>
        <v>1990340.7216</v>
      </c>
      <c r="AC108" s="1"/>
      <c r="AD108" s="7"/>
      <c r="AE108" s="1"/>
      <c r="AF108" s="42">
        <f>SUM(AF73:AF106)</f>
        <v>33</v>
      </c>
      <c r="AG108" s="191"/>
      <c r="AH108" s="42">
        <f>SUM(AH73:AH106)</f>
        <v>33</v>
      </c>
      <c r="AI108" s="191"/>
      <c r="AJ108" s="43">
        <f>SUM(AJ73:AJ106)</f>
        <v>1990340.7216</v>
      </c>
      <c r="AK108" s="160"/>
      <c r="AL108" s="110"/>
      <c r="AM108" s="1"/>
      <c r="AN108" s="42">
        <f>SUM(AN73:AN106)</f>
        <v>33</v>
      </c>
      <c r="AO108" s="191"/>
      <c r="AP108" s="42">
        <f>SUM(AP73:AP106)</f>
        <v>33</v>
      </c>
      <c r="AQ108" s="191"/>
      <c r="AR108" s="43">
        <f>SUM(AR73:AR106)</f>
        <v>1990340.7216</v>
      </c>
      <c r="AS108" s="160"/>
      <c r="AT108" s="14"/>
    </row>
    <row r="109" spans="2:46" ht="12.75">
      <c r="B109" s="13"/>
      <c r="C109" s="1"/>
      <c r="D109" s="2"/>
      <c r="E109" s="84"/>
      <c r="F109" s="122"/>
      <c r="G109" s="84"/>
      <c r="H109" s="191"/>
      <c r="I109" s="213"/>
      <c r="J109" s="191"/>
      <c r="K109" s="213"/>
      <c r="L109" s="212"/>
      <c r="M109" s="1"/>
      <c r="N109" s="7"/>
      <c r="O109" s="1"/>
      <c r="P109" s="191"/>
      <c r="Q109" s="191"/>
      <c r="R109" s="191"/>
      <c r="S109" s="191"/>
      <c r="T109" s="170"/>
      <c r="U109" s="1"/>
      <c r="V109" s="7"/>
      <c r="W109" s="1"/>
      <c r="X109" s="191"/>
      <c r="Y109" s="213"/>
      <c r="Z109" s="191"/>
      <c r="AA109" s="213"/>
      <c r="AB109" s="170"/>
      <c r="AC109" s="1"/>
      <c r="AD109" s="7"/>
      <c r="AE109" s="1"/>
      <c r="AF109" s="25"/>
      <c r="AG109" s="25"/>
      <c r="AH109" s="25"/>
      <c r="AI109" s="25"/>
      <c r="AJ109" s="181"/>
      <c r="AK109" s="1"/>
      <c r="AL109" s="7"/>
      <c r="AM109" s="1"/>
      <c r="AN109" s="25"/>
      <c r="AO109" s="25"/>
      <c r="AP109" s="25"/>
      <c r="AQ109" s="25"/>
      <c r="AR109" s="181"/>
      <c r="AS109" s="1"/>
      <c r="AT109" s="14"/>
    </row>
    <row r="110" spans="2:46" ht="12.75">
      <c r="B110" s="13"/>
      <c r="C110" s="7"/>
      <c r="D110" s="214"/>
      <c r="E110" s="215"/>
      <c r="F110" s="215"/>
      <c r="G110" s="96"/>
      <c r="H110" s="91" t="s">
        <v>131</v>
      </c>
      <c r="I110" s="182"/>
      <c r="J110" s="33">
        <f>pers!Q197</f>
        <v>33.66108333595475</v>
      </c>
      <c r="K110" s="182"/>
      <c r="L110" s="204">
        <f>pers!I197</f>
        <v>2030500.2041702403</v>
      </c>
      <c r="M110" s="1"/>
      <c r="N110" s="7"/>
      <c r="O110" s="96"/>
      <c r="P110" s="91" t="s">
        <v>131</v>
      </c>
      <c r="Q110" s="182"/>
      <c r="R110" s="33">
        <f>+pers!R197</f>
        <v>33.95988333595475</v>
      </c>
      <c r="S110" s="182"/>
      <c r="T110" s="35">
        <f>pers!J197</f>
        <v>2048521.8357920002</v>
      </c>
      <c r="U110" s="1"/>
      <c r="V110" s="7"/>
      <c r="W110" s="1"/>
      <c r="X110" s="91" t="s">
        <v>131</v>
      </c>
      <c r="Y110" s="182"/>
      <c r="Z110" s="33">
        <f>pers!S197</f>
        <v>33.95988333595475</v>
      </c>
      <c r="AA110" s="182"/>
      <c r="AB110" s="35">
        <f>pers!K197</f>
        <v>2048521.8357920002</v>
      </c>
      <c r="AC110" s="1"/>
      <c r="AD110" s="7"/>
      <c r="AE110" s="1"/>
      <c r="AF110" s="25" t="s">
        <v>131</v>
      </c>
      <c r="AG110" s="182"/>
      <c r="AH110" s="33">
        <f>pers!T197</f>
        <v>33.95988333595475</v>
      </c>
      <c r="AI110" s="182"/>
      <c r="AJ110" s="35">
        <f>pers!L197</f>
        <v>2048521.8357920002</v>
      </c>
      <c r="AK110" s="1"/>
      <c r="AL110" s="7"/>
      <c r="AM110" s="1"/>
      <c r="AN110" s="25" t="s">
        <v>131</v>
      </c>
      <c r="AO110" s="182"/>
      <c r="AP110" s="33">
        <f>pers!U197</f>
        <v>33.95988333595475</v>
      </c>
      <c r="AQ110" s="182"/>
      <c r="AR110" s="35">
        <f>pers!M197</f>
        <v>2048521.8357920002</v>
      </c>
      <c r="AS110" s="1"/>
      <c r="AT110" s="14"/>
    </row>
    <row r="111" spans="2:46" ht="12.75">
      <c r="B111" s="13"/>
      <c r="C111" s="7"/>
      <c r="D111" s="104"/>
      <c r="E111" s="36"/>
      <c r="F111" s="36"/>
      <c r="G111" s="3"/>
      <c r="H111" s="91" t="s">
        <v>132</v>
      </c>
      <c r="I111" s="182"/>
      <c r="J111" s="33">
        <f>J108</f>
        <v>33</v>
      </c>
      <c r="K111" s="182"/>
      <c r="L111" s="204">
        <f>L108</f>
        <v>1990340.7216</v>
      </c>
      <c r="M111" s="1"/>
      <c r="N111" s="7"/>
      <c r="O111" s="3"/>
      <c r="P111" s="91" t="s">
        <v>132</v>
      </c>
      <c r="Q111" s="182"/>
      <c r="R111" s="33">
        <f>R108</f>
        <v>33</v>
      </c>
      <c r="S111" s="182"/>
      <c r="T111" s="35">
        <f>T108</f>
        <v>1990340.7216</v>
      </c>
      <c r="U111" s="1"/>
      <c r="V111" s="7"/>
      <c r="W111" s="1"/>
      <c r="X111" s="91" t="s">
        <v>132</v>
      </c>
      <c r="Y111" s="182"/>
      <c r="Z111" s="33">
        <f>Z108</f>
        <v>33</v>
      </c>
      <c r="AA111" s="182"/>
      <c r="AB111" s="35">
        <f>AB108</f>
        <v>1990340.7216</v>
      </c>
      <c r="AC111" s="1"/>
      <c r="AD111" s="7"/>
      <c r="AE111" s="1"/>
      <c r="AF111" s="25" t="s">
        <v>132</v>
      </c>
      <c r="AG111" s="182"/>
      <c r="AH111" s="33">
        <f>AH108</f>
        <v>33</v>
      </c>
      <c r="AI111" s="182"/>
      <c r="AJ111" s="35">
        <f>AJ108</f>
        <v>1990340.7216</v>
      </c>
      <c r="AK111" s="1"/>
      <c r="AL111" s="7"/>
      <c r="AM111" s="1"/>
      <c r="AN111" s="25" t="s">
        <v>132</v>
      </c>
      <c r="AO111" s="182"/>
      <c r="AP111" s="33">
        <f>AP108</f>
        <v>33</v>
      </c>
      <c r="AQ111" s="182"/>
      <c r="AR111" s="35">
        <f>AR108</f>
        <v>1990340.7216</v>
      </c>
      <c r="AS111" s="1"/>
      <c r="AT111" s="14"/>
    </row>
    <row r="112" spans="2:46" ht="12.75">
      <c r="B112" s="13"/>
      <c r="C112" s="7"/>
      <c r="D112" s="104"/>
      <c r="E112" s="36"/>
      <c r="F112" s="36"/>
      <c r="G112" s="3"/>
      <c r="H112" s="2" t="s">
        <v>133</v>
      </c>
      <c r="I112" s="191"/>
      <c r="J112" s="42">
        <f>J110-J108</f>
        <v>0.6610833359547499</v>
      </c>
      <c r="K112" s="191"/>
      <c r="L112" s="205">
        <f>L110-L108</f>
        <v>40159.482570240274</v>
      </c>
      <c r="M112" s="1"/>
      <c r="N112" s="7"/>
      <c r="O112" s="3"/>
      <c r="P112" s="2" t="s">
        <v>133</v>
      </c>
      <c r="Q112" s="191"/>
      <c r="R112" s="42">
        <f>R110-R108</f>
        <v>0.9598833359547498</v>
      </c>
      <c r="S112" s="191"/>
      <c r="T112" s="43">
        <f>T110-T108</f>
        <v>58181.114192000125</v>
      </c>
      <c r="U112" s="1"/>
      <c r="V112" s="7"/>
      <c r="W112" s="1"/>
      <c r="X112" s="2" t="s">
        <v>133</v>
      </c>
      <c r="Y112" s="191"/>
      <c r="Z112" s="42">
        <f>Z110-Z108</f>
        <v>0.9598833359547498</v>
      </c>
      <c r="AA112" s="191"/>
      <c r="AB112" s="43">
        <f>AB110-AB108</f>
        <v>58181.114192000125</v>
      </c>
      <c r="AC112" s="1"/>
      <c r="AD112" s="7"/>
      <c r="AE112" s="1"/>
      <c r="AF112" s="4" t="s">
        <v>133</v>
      </c>
      <c r="AG112" s="191"/>
      <c r="AH112" s="42">
        <f>AH110-AH108</f>
        <v>0.9598833359547498</v>
      </c>
      <c r="AI112" s="191"/>
      <c r="AJ112" s="43">
        <f>AJ110-AJ108</f>
        <v>58181.114192000125</v>
      </c>
      <c r="AK112" s="1"/>
      <c r="AL112" s="7"/>
      <c r="AM112" s="1"/>
      <c r="AN112" s="4" t="s">
        <v>133</v>
      </c>
      <c r="AO112" s="191"/>
      <c r="AP112" s="42">
        <f>AP110-AP108</f>
        <v>0.9598833359547498</v>
      </c>
      <c r="AQ112" s="191"/>
      <c r="AR112" s="43">
        <f>AR110-AR108</f>
        <v>58181.114192000125</v>
      </c>
      <c r="AS112" s="1"/>
      <c r="AT112" s="14"/>
    </row>
    <row r="113" spans="2:46" ht="12.75">
      <c r="B113" s="13"/>
      <c r="C113" s="7"/>
      <c r="D113" s="104"/>
      <c r="E113" s="36"/>
      <c r="F113" s="36"/>
      <c r="G113" s="3"/>
      <c r="H113" s="25"/>
      <c r="I113" s="1"/>
      <c r="J113" s="163"/>
      <c r="K113" s="170"/>
      <c r="L113" s="212"/>
      <c r="M113" s="1"/>
      <c r="N113" s="7"/>
      <c r="O113" s="3"/>
      <c r="P113" s="25"/>
      <c r="Q113" s="1"/>
      <c r="R113" s="163"/>
      <c r="S113" s="170"/>
      <c r="T113" s="170"/>
      <c r="U113" s="1"/>
      <c r="V113" s="7"/>
      <c r="W113" s="1"/>
      <c r="X113" s="25"/>
      <c r="Y113" s="1"/>
      <c r="Z113" s="25"/>
      <c r="AA113" s="1"/>
      <c r="AB113" s="170"/>
      <c r="AC113" s="1"/>
      <c r="AD113" s="7"/>
      <c r="AE113" s="1"/>
      <c r="AF113" s="25"/>
      <c r="AG113" s="25"/>
      <c r="AH113" s="25"/>
      <c r="AI113" s="25"/>
      <c r="AJ113" s="181"/>
      <c r="AK113" s="1"/>
      <c r="AL113" s="7"/>
      <c r="AM113" s="1"/>
      <c r="AN113" s="25"/>
      <c r="AO113" s="25"/>
      <c r="AP113" s="25"/>
      <c r="AQ113" s="25"/>
      <c r="AR113" s="181"/>
      <c r="AS113" s="1"/>
      <c r="AT113" s="14"/>
    </row>
    <row r="114" spans="2:46" ht="12.75">
      <c r="B114" s="13"/>
      <c r="C114" s="7"/>
      <c r="D114" s="214"/>
      <c r="E114" s="215"/>
      <c r="F114" s="215"/>
      <c r="G114" s="215"/>
      <c r="H114" s="8"/>
      <c r="I114" s="7"/>
      <c r="J114" s="8"/>
      <c r="K114" s="7"/>
      <c r="L114" s="208"/>
      <c r="M114" s="7"/>
      <c r="N114" s="7"/>
      <c r="O114" s="7"/>
      <c r="P114" s="8"/>
      <c r="Q114" s="8"/>
      <c r="R114" s="8"/>
      <c r="S114" s="8"/>
      <c r="T114" s="134"/>
      <c r="U114" s="7"/>
      <c r="V114" s="7"/>
      <c r="W114" s="7"/>
      <c r="X114" s="8"/>
      <c r="Y114" s="7"/>
      <c r="Z114" s="8"/>
      <c r="AA114" s="7"/>
      <c r="AB114" s="134"/>
      <c r="AC114" s="7"/>
      <c r="AD114" s="7"/>
      <c r="AE114" s="7"/>
      <c r="AF114" s="8"/>
      <c r="AG114" s="8"/>
      <c r="AH114" s="8"/>
      <c r="AI114" s="8"/>
      <c r="AJ114" s="180"/>
      <c r="AK114" s="7"/>
      <c r="AL114" s="7"/>
      <c r="AM114" s="7"/>
      <c r="AN114" s="8"/>
      <c r="AO114" s="8"/>
      <c r="AP114" s="8"/>
      <c r="AQ114" s="8"/>
      <c r="AR114" s="180"/>
      <c r="AS114" s="7"/>
      <c r="AT114" s="14"/>
    </row>
    <row r="115" spans="2:46" ht="13.5" thickBot="1">
      <c r="B115" s="48"/>
      <c r="C115" s="49"/>
      <c r="D115" s="217"/>
      <c r="E115" s="72"/>
      <c r="F115" s="72"/>
      <c r="G115" s="72"/>
      <c r="H115" s="50"/>
      <c r="I115" s="49"/>
      <c r="J115" s="218"/>
      <c r="K115" s="219"/>
      <c r="L115" s="220"/>
      <c r="M115" s="49"/>
      <c r="N115" s="49"/>
      <c r="O115" s="49"/>
      <c r="P115" s="50"/>
      <c r="Q115" s="50"/>
      <c r="R115" s="218"/>
      <c r="S115" s="218"/>
      <c r="T115" s="219"/>
      <c r="U115" s="49"/>
      <c r="V115" s="49"/>
      <c r="W115" s="49"/>
      <c r="X115" s="50"/>
      <c r="Y115" s="49"/>
      <c r="Z115" s="218"/>
      <c r="AA115" s="219"/>
      <c r="AB115" s="219"/>
      <c r="AC115" s="49"/>
      <c r="AD115" s="49"/>
      <c r="AE115" s="49"/>
      <c r="AF115" s="50"/>
      <c r="AG115" s="50"/>
      <c r="AH115" s="218"/>
      <c r="AI115" s="218"/>
      <c r="AJ115" s="218"/>
      <c r="AK115" s="219"/>
      <c r="AL115" s="219"/>
      <c r="AM115" s="49"/>
      <c r="AN115" s="50"/>
      <c r="AO115" s="50"/>
      <c r="AP115" s="218"/>
      <c r="AQ115" s="218"/>
      <c r="AR115" s="218"/>
      <c r="AS115" s="219"/>
      <c r="AT115" s="51"/>
    </row>
    <row r="119" spans="10:11" ht="12.75">
      <c r="J119" s="456"/>
      <c r="K119" s="456"/>
    </row>
  </sheetData>
  <sheetProtection password="DE55" sheet="1" objects="1" scenarios="1"/>
  <mergeCells count="8">
    <mergeCell ref="G15:M15"/>
    <mergeCell ref="O15:U15"/>
    <mergeCell ref="W15:AC15"/>
    <mergeCell ref="G68:M68"/>
    <mergeCell ref="AM68:AS68"/>
    <mergeCell ref="O68:U68"/>
    <mergeCell ref="W68:AC68"/>
    <mergeCell ref="AE68:AK68"/>
  </mergeCells>
  <printOptions gridLines="1"/>
  <pageMargins left="0.75" right="0.75" top="1" bottom="1" header="0.5" footer="0.5"/>
  <pageSetup horizontalDpi="600" verticalDpi="600" orientation="landscape" paperSize="9" scale="55" r:id="rId4"/>
  <headerFooter alignWithMargins="0">
    <oddHeader>&amp;L&amp;"Arial,Vet"&amp;F&amp;R&amp;"Arial,Vet"&amp;A</oddHeader>
    <oddFooter>&amp;L&amp;"Arial,Vet"keizer / goedhart&amp;C&amp;"Arial,Vet"&amp;D&amp;R&amp;"Arial,Vet"pagina &amp;P</oddFooter>
  </headerFooter>
  <rowBreaks count="1" manualBreakCount="1">
    <brk id="62" max="255" man="1"/>
  </rowBreaks>
  <drawing r:id="rId3"/>
  <legacyDrawing r:id="rId2"/>
</worksheet>
</file>

<file path=xl/worksheets/sheet8.xml><?xml version="1.0" encoding="utf-8"?>
<worksheet xmlns="http://schemas.openxmlformats.org/spreadsheetml/2006/main" xmlns:r="http://schemas.openxmlformats.org/officeDocument/2006/relationships">
  <dimension ref="B2:AN220"/>
  <sheetViews>
    <sheetView zoomScale="85" zoomScaleNormal="85" zoomScaleSheetLayoutView="75" workbookViewId="0" topLeftCell="A1">
      <pane ySplit="8" topLeftCell="BM9" activePane="bottomLeft" state="frozen"/>
      <selection pane="topLeft" activeCell="A1" sqref="A1"/>
      <selection pane="bottomLeft" activeCell="B2" sqref="B2"/>
    </sheetView>
  </sheetViews>
  <sheetFormatPr defaultColWidth="9.140625" defaultRowHeight="12.75"/>
  <cols>
    <col min="1" max="1" width="5.7109375" style="7" customWidth="1"/>
    <col min="2" max="3" width="2.7109375" style="7" customWidth="1"/>
    <col min="4" max="4" width="2.57421875" style="7" customWidth="1"/>
    <col min="5" max="6" width="20.7109375" style="7" customWidth="1"/>
    <col min="7" max="7" width="1.7109375" style="7" customWidth="1"/>
    <col min="8" max="8" width="10.57421875" style="8" customWidth="1"/>
    <col min="9" max="9" width="2.7109375" style="7" customWidth="1"/>
    <col min="10" max="14" width="16.7109375" style="7" customWidth="1"/>
    <col min="15" max="18" width="2.57421875" style="7" customWidth="1"/>
    <col min="19" max="19" width="4.00390625" style="7" customWidth="1"/>
    <col min="20" max="20" width="25.57421875" style="7" customWidth="1"/>
    <col min="21" max="23" width="11.140625" style="7" bestFit="1" customWidth="1"/>
    <col min="24" max="24" width="3.57421875" style="7" customWidth="1"/>
    <col min="25" max="25" width="3.421875" style="7" customWidth="1"/>
    <col min="26" max="16384" width="9.140625" style="7" customWidth="1"/>
  </cols>
  <sheetData>
    <row r="1" ht="13.5" thickBot="1"/>
    <row r="2" spans="2:16" ht="12.75" customHeight="1">
      <c r="B2" s="9"/>
      <c r="C2" s="10"/>
      <c r="D2" s="10"/>
      <c r="E2" s="10"/>
      <c r="F2" s="10"/>
      <c r="G2" s="10"/>
      <c r="H2" s="11"/>
      <c r="I2" s="10"/>
      <c r="J2" s="10"/>
      <c r="K2" s="10"/>
      <c r="L2" s="10"/>
      <c r="M2" s="10"/>
      <c r="N2" s="10"/>
      <c r="O2" s="10"/>
      <c r="P2" s="12"/>
    </row>
    <row r="3" spans="2:16" ht="12.75">
      <c r="B3" s="13"/>
      <c r="P3" s="14"/>
    </row>
    <row r="4" spans="2:16" s="17" customFormat="1" ht="18">
      <c r="B4" s="221"/>
      <c r="C4" s="17" t="s">
        <v>134</v>
      </c>
      <c r="H4" s="19"/>
      <c r="P4" s="224"/>
    </row>
    <row r="5" spans="2:16" ht="12.75">
      <c r="B5" s="13"/>
      <c r="P5" s="14"/>
    </row>
    <row r="6" spans="2:16" ht="12.75">
      <c r="B6" s="13"/>
      <c r="C6" s="104"/>
      <c r="P6" s="237"/>
    </row>
    <row r="7" spans="2:23" ht="12.75">
      <c r="B7" s="13"/>
      <c r="F7" s="36"/>
      <c r="H7" s="47"/>
      <c r="J7" s="329" t="str">
        <f>tabel!C2</f>
        <v>2009/10</v>
      </c>
      <c r="K7" s="329" t="str">
        <f>tabel!D2</f>
        <v>2010/11</v>
      </c>
      <c r="L7" s="329" t="str">
        <f>tabel!E2</f>
        <v>2011/12</v>
      </c>
      <c r="M7" s="329" t="str">
        <f>tabel!F2</f>
        <v>2012/13</v>
      </c>
      <c r="N7" s="329" t="str">
        <f>tabel!G2</f>
        <v>2013/14</v>
      </c>
      <c r="P7" s="14"/>
      <c r="V7" s="47"/>
      <c r="W7" s="47"/>
    </row>
    <row r="8" spans="2:16" ht="12.75">
      <c r="B8" s="13"/>
      <c r="F8" s="36"/>
      <c r="H8" s="47"/>
      <c r="J8" s="133"/>
      <c r="K8" s="133"/>
      <c r="L8" s="133"/>
      <c r="M8" s="133"/>
      <c r="N8" s="133"/>
      <c r="P8" s="14"/>
    </row>
    <row r="9" spans="2:16" ht="12.75">
      <c r="B9" s="13"/>
      <c r="C9" s="1"/>
      <c r="D9" s="1"/>
      <c r="E9" s="1"/>
      <c r="F9" s="3"/>
      <c r="G9" s="1"/>
      <c r="H9" s="4"/>
      <c r="I9" s="1"/>
      <c r="J9" s="161"/>
      <c r="K9" s="161"/>
      <c r="L9" s="161"/>
      <c r="M9" s="161"/>
      <c r="N9" s="161"/>
      <c r="O9" s="1"/>
      <c r="P9" s="14"/>
    </row>
    <row r="10" spans="2:16" ht="12.75">
      <c r="B10" s="13"/>
      <c r="C10" s="1"/>
      <c r="D10" s="3" t="s">
        <v>252</v>
      </c>
      <c r="E10" s="1"/>
      <c r="F10" s="3"/>
      <c r="G10" s="1"/>
      <c r="H10" s="4"/>
      <c r="I10" s="1"/>
      <c r="J10" s="161"/>
      <c r="K10" s="161"/>
      <c r="L10" s="161"/>
      <c r="M10" s="161"/>
      <c r="N10" s="161"/>
      <c r="O10" s="1"/>
      <c r="P10" s="14"/>
    </row>
    <row r="11" spans="2:16" ht="12.75">
      <c r="B11" s="13"/>
      <c r="C11" s="1"/>
      <c r="D11" s="1"/>
      <c r="E11" s="1"/>
      <c r="F11" s="3"/>
      <c r="G11" s="1"/>
      <c r="H11" s="4"/>
      <c r="I11" s="1"/>
      <c r="J11" s="347"/>
      <c r="K11" s="161"/>
      <c r="L11" s="161"/>
      <c r="M11" s="161"/>
      <c r="N11" s="161"/>
      <c r="O11" s="1"/>
      <c r="P11" s="14"/>
    </row>
    <row r="12" spans="2:23" ht="12.75">
      <c r="B12" s="13"/>
      <c r="C12" s="1"/>
      <c r="D12" s="94" t="s">
        <v>625</v>
      </c>
      <c r="E12" s="1"/>
      <c r="F12" s="1"/>
      <c r="G12" s="1"/>
      <c r="H12" s="25"/>
      <c r="I12" s="1"/>
      <c r="J12" s="158"/>
      <c r="K12" s="158"/>
      <c r="L12" s="158"/>
      <c r="M12" s="158"/>
      <c r="N12" s="158"/>
      <c r="O12" s="1"/>
      <c r="P12" s="14"/>
      <c r="T12" s="124"/>
      <c r="U12" s="124"/>
      <c r="V12" s="124"/>
      <c r="W12" s="124"/>
    </row>
    <row r="13" spans="2:23" ht="12.75">
      <c r="B13" s="13"/>
      <c r="C13" s="1"/>
      <c r="D13" s="150" t="str">
        <f>+geg!C35</f>
        <v>1.</v>
      </c>
      <c r="E13" s="91" t="str">
        <f>+geg!D35</f>
        <v>SO</v>
      </c>
      <c r="F13" s="91" t="str">
        <f>+geg!E35</f>
        <v>ZMLK</v>
      </c>
      <c r="G13" s="1"/>
      <c r="H13" s="25"/>
      <c r="I13" s="1"/>
      <c r="J13" s="34">
        <f>IF($E13=0,0,+(geg!I38+geg!I40)*VLOOKUP($F13,BudgetPB,IF($E13="SO",2,3),FALSE)+(geg!I39+geg!I42)*tabel!$E$230+(geg!I43+geg!I44)*tabel!$D$230+IF(geg!$I$17="nee",0,((geg!I38+geg!I40)*VLOOKUP($F13,BudgetPB,6,FALSE)+(geg!I39+geg!I42)*tabel!$G$230+(geg!I43+geg!I44)*tabel!$H$230)))</f>
        <v>61772</v>
      </c>
      <c r="K13" s="34">
        <f>IF($E13=0,0,+(geg!L38+geg!L40)*VLOOKUP($F13,BudgetPB,IF($E13="SO",2,3),FALSE)+(geg!L39+geg!L42)*tabel!$E$230+(geg!L43+geg!L44)*tabel!$D$230+IF(geg!$I$17="nee",0,1/2*((geg!L38+geg!L40)*VLOOKUP($F13,BudgetPB,6,FALSE)+(geg!L39+geg!L42)*tabel!$G$230+(geg!L43+geg!L44)*tabel!$H$230)))</f>
        <v>61772</v>
      </c>
      <c r="L13" s="34">
        <f>IF($E13=0,0,+(geg!O38+geg!O40)*VLOOKUP($F13,BudgetPB,IF($E13="SO",2,3),FALSE)+(geg!O39+geg!O42)*tabel!$E$230+(geg!O43+geg!O44)*tabel!$D$230)</f>
        <v>61772</v>
      </c>
      <c r="M13" s="34">
        <f>IF($E13=0,0,+(geg!R38+geg!R40)*VLOOKUP($F13,BudgetPB,IF($E13="SO",2,3),FALSE)+(geg!R39+geg!R42)*tabel!$E$230+(geg!R43+geg!R44)*tabel!$D$230)</f>
        <v>61772</v>
      </c>
      <c r="N13" s="34">
        <f>IF($E13=0,0,+(geg!U38+geg!U40)*VLOOKUP($F13,BudgetPB,IF($E13="SO",2,3),FALSE)+(geg!U39+geg!U42)*tabel!$E$230+(geg!U43+geg!U44)*tabel!$D$230)</f>
        <v>61772</v>
      </c>
      <c r="O13" s="1"/>
      <c r="P13" s="14"/>
      <c r="T13" s="126"/>
      <c r="U13" s="124"/>
      <c r="V13" s="124"/>
      <c r="W13" s="124"/>
    </row>
    <row r="14" spans="2:23" ht="12.75">
      <c r="B14" s="13"/>
      <c r="C14" s="1"/>
      <c r="D14" s="150" t="str">
        <f>+geg!C48</f>
        <v>2.</v>
      </c>
      <c r="E14" s="91" t="str">
        <f>+geg!D48</f>
        <v>SO</v>
      </c>
      <c r="F14" s="91" t="str">
        <f>+geg!E48</f>
        <v>MG (LG-ZMLK)</v>
      </c>
      <c r="G14" s="1"/>
      <c r="H14" s="25"/>
      <c r="I14" s="1"/>
      <c r="J14" s="34">
        <f>IF($E14=0,0,+(geg!I51+geg!I53)*VLOOKUP($F14,BudgetPB,IF($E14="SO",2,3),FALSE)+(geg!I52+geg!I55)*tabel!$E$230+(geg!I56+geg!I57)*tabel!$D$230+IF(geg!$I$17="nee",0,((geg!I51+geg!I53)*VLOOKUP($F14,BudgetPB,6,FALSE)+(geg!I52+geg!I55)*tabel!$G$230+(geg!I56+geg!I57)*tabel!$H$230)))</f>
        <v>10122.03</v>
      </c>
      <c r="K14" s="34">
        <f>IF($E14=0,0,+(geg!L51+geg!L53)*VLOOKUP($F14,BudgetPB,IF($E14="SO",2,3),FALSE)+(geg!L52+geg!L55)*tabel!$E$230+(geg!L56+geg!L57)*tabel!$D$230+IF(geg!$I$17="nee",0,1/2*((geg!L51+geg!L53)*VLOOKUP($F14,BudgetPB,6,FALSE)+(geg!L52+geg!L55)*tabel!$G$230+(geg!L56+geg!L57)*tabel!$H$230)))</f>
        <v>10122.03</v>
      </c>
      <c r="L14" s="34">
        <f>IF($E14=0,0,+(geg!O51+geg!O53)*VLOOKUP($F14,BudgetPB,IF($E14="SO",2,3),FALSE)+(geg!O52+geg!O55)*tabel!$E$230+(geg!O56+geg!O57)*tabel!$D$230)</f>
        <v>10122.03</v>
      </c>
      <c r="M14" s="34">
        <f>IF($E14=0,0,+(geg!R51+geg!R53)*VLOOKUP($F14,BudgetPB,IF($E14="SO",2,3),FALSE)+(geg!R52+geg!R55)*tabel!$E$230+(geg!R56+geg!R57)*tabel!$D$230)</f>
        <v>10122.03</v>
      </c>
      <c r="N14" s="34">
        <f>IF($E14=0,0,+(geg!U51+geg!U53)*VLOOKUP($F14,BudgetPB,IF($E14="SO",2,3),FALSE)+(geg!U52+geg!U55)*tabel!$E$230+(geg!U56+geg!U57)*tabel!$D$230)</f>
        <v>10122.03</v>
      </c>
      <c r="O14" s="1"/>
      <c r="P14" s="14"/>
      <c r="Q14" s="127"/>
      <c r="T14" s="124"/>
      <c r="U14" s="124"/>
      <c r="V14" s="124"/>
      <c r="W14" s="124"/>
    </row>
    <row r="15" spans="2:23" ht="12.75">
      <c r="B15" s="13"/>
      <c r="C15" s="151"/>
      <c r="D15" s="150" t="str">
        <f>+geg!C61</f>
        <v>3.</v>
      </c>
      <c r="E15" s="91" t="str">
        <f>+geg!D61</f>
        <v>SO</v>
      </c>
      <c r="F15" s="91" t="str">
        <f>+geg!E61</f>
        <v>LG</v>
      </c>
      <c r="G15" s="1"/>
      <c r="H15" s="25"/>
      <c r="I15" s="1"/>
      <c r="J15" s="34">
        <f>IF($E15=0,0,+(geg!I64+geg!I66)*VLOOKUP($F15,BudgetPB,IF($E15="SO",2,3),FALSE)+(geg!I65+geg!I68)*tabel!$E$230+(geg!I69+geg!I70)*tabel!$D$230+IF(geg!$I$17="nee",0,((geg!I64+geg!I66)*VLOOKUP($F15,BudgetPB,6,FALSE)+(geg!I65+geg!I68)*tabel!$G$230+(geg!I69+geg!I70)*tabel!$H$230)))</f>
        <v>9151.3</v>
      </c>
      <c r="K15" s="34">
        <f>IF($E15=0,0,+(geg!L64+geg!L66)*VLOOKUP($F15,BudgetPB,IF($E15="SO",2,3),FALSE)+(geg!L65+geg!L68)*tabel!$E$230+(geg!L69+geg!L70)*tabel!$D$230+IF(geg!$I$17="nee",0,1/2*((geg!L64+geg!L66)*VLOOKUP($F15,BudgetPB,6,FALSE)+(geg!L65+geg!L68)*tabel!$G$230+(geg!L69+geg!L70)*tabel!$H$230)))</f>
        <v>9151.3</v>
      </c>
      <c r="L15" s="34">
        <f>IF($E15=0,0,+(geg!O64+geg!O66)*VLOOKUP($F15,BudgetPB,IF($E15="SO",2,3),FALSE)+(geg!O65+geg!O68)*tabel!$E$230+(geg!O69+geg!O70)*tabel!$D$230)</f>
        <v>9151.3</v>
      </c>
      <c r="M15" s="34">
        <f>IF($E15=0,0,+(geg!R64+geg!R66)*VLOOKUP($F15,BudgetPB,IF($E15="SO",2,3),FALSE)+(geg!R65+geg!R68)*tabel!$E$230+(geg!R69+geg!R70)*tabel!$D$230)</f>
        <v>9151.3</v>
      </c>
      <c r="N15" s="34">
        <f>IF($E15=0,0,+(geg!U64+geg!U66)*VLOOKUP($F15,BudgetPB,IF($E15="SO",2,3),FALSE)+(geg!U65+geg!U68)*tabel!$E$230+(geg!U69+geg!U70)*tabel!$D$230)</f>
        <v>9151.3</v>
      </c>
      <c r="O15" s="1"/>
      <c r="P15" s="238"/>
      <c r="R15" s="99"/>
      <c r="S15" s="122"/>
      <c r="T15" s="126"/>
      <c r="U15" s="126"/>
      <c r="V15" s="126"/>
      <c r="W15" s="126"/>
    </row>
    <row r="16" spans="2:23" ht="12.75">
      <c r="B16" s="13"/>
      <c r="C16" s="151"/>
      <c r="D16" s="150" t="str">
        <f>+geg!C86</f>
        <v>4.</v>
      </c>
      <c r="E16" s="91" t="str">
        <f>+geg!D86</f>
        <v>VSO</v>
      </c>
      <c r="F16" s="91" t="str">
        <f>+geg!E86</f>
        <v>ZMLK</v>
      </c>
      <c r="G16" s="1"/>
      <c r="H16" s="25"/>
      <c r="I16" s="1"/>
      <c r="J16" s="34">
        <f>IF($E16=0,0,+(geg!I89+geg!I91)*VLOOKUP($F16,BudgetPB,IF($E16="SO",2,3),FALSE)+(geg!I90+geg!I93)*tabel!$E$230+(geg!I94+geg!I95)*tabel!$D$230+IF(geg!$I$17="nee",0,((geg!I89+geg!I91)*VLOOKUP($F16,BudgetPB,6,FALSE)+(geg!I90+geg!I93)*tabel!$G$230+(geg!I94+geg!I95)*tabel!$H$230)))</f>
        <v>7887.9</v>
      </c>
      <c r="K16" s="34">
        <f>IF($E16=0,0,+(geg!L89+geg!L91)*VLOOKUP($F16,BudgetPB,IF($E16="SO",2,3),FALSE)+(geg!L90+geg!L93)*tabel!$E$230+(geg!L94+geg!L95)*tabel!$D$230+IF(geg!$I$17="nee",0,1/2*((geg!L89+geg!L91)*VLOOKUP($F16,BudgetPB,6,FALSE)+(geg!L90+geg!L93)*tabel!$G$230+(geg!L94+geg!L95)*tabel!$H$230)))</f>
        <v>7887.9</v>
      </c>
      <c r="L16" s="34">
        <f>IF($E16=0,0,+(geg!O89+geg!O91)*VLOOKUP($F16,BudgetPB,IF($E16="SO",2,3),FALSE)+(geg!O90+geg!O93)*tabel!$E$230+(geg!O94+geg!O95)*tabel!$D$230)</f>
        <v>7887.9</v>
      </c>
      <c r="M16" s="34">
        <f>IF($E16=0,0,+(geg!R89+geg!R91)*VLOOKUP($F16,BudgetPB,IF($E16="SO",2,3),FALSE)+(geg!R90+geg!R93)*tabel!$E$230+(geg!R94+geg!R95)*tabel!$D$230)</f>
        <v>7887.9</v>
      </c>
      <c r="N16" s="34">
        <f>IF($E16=0,0,+(geg!U89+geg!U91)*VLOOKUP($F16,BudgetPB,IF($E16="SO",2,3),FALSE)+(geg!U90+geg!U93)*tabel!$E$230+(geg!U94+geg!U95)*tabel!$D$230)</f>
        <v>7887.9</v>
      </c>
      <c r="O16" s="1"/>
      <c r="P16" s="238"/>
      <c r="R16" s="99"/>
      <c r="S16" s="122"/>
      <c r="T16" s="126"/>
      <c r="U16" s="126"/>
      <c r="V16" s="126"/>
      <c r="W16" s="126"/>
    </row>
    <row r="17" spans="2:23" ht="12.75">
      <c r="B17" s="13"/>
      <c r="C17" s="151"/>
      <c r="D17" s="150" t="str">
        <f>+geg!C99</f>
        <v>5.</v>
      </c>
      <c r="E17" s="91" t="str">
        <f>+geg!D99</f>
        <v>VSO</v>
      </c>
      <c r="F17" s="91" t="str">
        <f>+geg!E99</f>
        <v>MG (LG-ZMLK)</v>
      </c>
      <c r="G17" s="1"/>
      <c r="H17" s="25"/>
      <c r="I17" s="1"/>
      <c r="J17" s="34">
        <f>IF($E17=0,0,+(geg!I102+geg!I104)*VLOOKUP($F17,BudgetPB,IF($E17="SO",2,3),FALSE)+(geg!I103+geg!I106)*tabel!$E$230+(geg!I107+geg!I108)*tabel!$D$230+IF(geg!$I$17="nee",0,((geg!I102+geg!I104)*VLOOKUP($F17,BudgetPB,6,FALSE)+(geg!I103+geg!I106)*tabel!$G$230+(geg!I107+geg!I108)*tabel!$H$230)))</f>
        <v>10271.699999999999</v>
      </c>
      <c r="K17" s="34">
        <f>IF($E17=0,0,+(geg!L102+geg!L104)*VLOOKUP($F17,BudgetPB,IF($E17="SO",2,3),FALSE)+(geg!L103+geg!L106)*tabel!$E$230+(geg!L107+geg!L108)*tabel!$D$230+IF(geg!$I$17="nee",0,1/2*((geg!L102+geg!L104)*VLOOKUP($F17,BudgetPB,6,FALSE)+(geg!L103+geg!L106)*tabel!$G$230+(geg!L107+geg!L108)*tabel!$H$230)))</f>
        <v>10271.699999999999</v>
      </c>
      <c r="L17" s="34">
        <f>IF($E17=0,0,+(geg!O102+geg!O104)*VLOOKUP($F17,BudgetPB,IF($E17="SO",2,3),FALSE)+(geg!O103+geg!O106)*tabel!$E$230+(geg!O107+geg!O108)*tabel!$D$230)</f>
        <v>10271.699999999999</v>
      </c>
      <c r="M17" s="34">
        <f>IF($E17=0,0,+(geg!R102+geg!R104)*VLOOKUP($F17,BudgetPB,IF($E17="SO",2,3),FALSE)+(geg!R103+geg!R106)*tabel!$E$230+(geg!R107+geg!R108)*tabel!$D$230)</f>
        <v>10271.699999999999</v>
      </c>
      <c r="N17" s="34">
        <f>IF($E17=0,0,+(geg!U102+geg!U104)*VLOOKUP($F17,BudgetPB,IF($E17="SO",2,3),FALSE)+(geg!U103+geg!U106)*tabel!$E$230+(geg!U107+geg!U108)*tabel!$D$230)</f>
        <v>10271.699999999999</v>
      </c>
      <c r="O17" s="1"/>
      <c r="P17" s="238"/>
      <c r="Q17" s="129"/>
      <c r="R17" s="129"/>
      <c r="S17" s="64"/>
      <c r="T17" s="126"/>
      <c r="U17" s="126"/>
      <c r="V17" s="126"/>
      <c r="W17" s="126"/>
    </row>
    <row r="18" spans="2:23" ht="12.75">
      <c r="B18" s="13"/>
      <c r="C18" s="151"/>
      <c r="D18" s="150" t="str">
        <f>+geg!C112</f>
        <v>6.</v>
      </c>
      <c r="E18" s="91" t="str">
        <f>+geg!D112</f>
        <v>VSO</v>
      </c>
      <c r="F18" s="91" t="str">
        <f>+geg!E112</f>
        <v>LG</v>
      </c>
      <c r="G18" s="1"/>
      <c r="H18" s="25"/>
      <c r="I18" s="1"/>
      <c r="J18" s="34">
        <f>IF($E18=0,0,+(geg!I115+geg!I117)*VLOOKUP($F18,BudgetPB,IF($E18="SO",2,3),FALSE)+(geg!I116+geg!I119)*tabel!$E$230+(geg!I120+geg!I121)*tabel!$D$230+IF(geg!$I$17="nee",0,((geg!I115+geg!I117)*VLOOKUP($F18,BudgetPB,6,FALSE)+(geg!I116+geg!I119)*tabel!$G$230+(geg!I120+geg!I121)*tabel!$H$230)))</f>
        <v>10149.6</v>
      </c>
      <c r="K18" s="34">
        <f>IF($E18=0,0,+(geg!L115+geg!L117)*VLOOKUP($F18,BudgetPB,IF($E18="SO",2,3),FALSE)+(geg!L116+geg!L119)*tabel!$E$230+(geg!L120+geg!L121)*tabel!$D$230+IF(geg!$I$17="nee",0,1/2*((geg!L115+geg!L117)*VLOOKUP($F18,BudgetPB,6,FALSE)+(geg!L116+geg!L119)*tabel!$G$230+(geg!L120+geg!L121)*tabel!$H$230)))</f>
        <v>10149.6</v>
      </c>
      <c r="L18" s="34">
        <f>IF($E18=0,0,+(geg!O115+geg!O117)*VLOOKUP($F18,BudgetPB,IF($E18="SO",2,3),FALSE)+(geg!O116+geg!O119)*tabel!$E$230+(geg!O120+geg!O121)*tabel!$D$230)</f>
        <v>10149.6</v>
      </c>
      <c r="M18" s="34">
        <f>IF($E18=0,0,+(geg!R115+geg!R117)*VLOOKUP($F18,BudgetPB,IF($E18="SO",2,3),FALSE)+(geg!R116+geg!R119)*tabel!$E$230+(geg!R120+geg!R121)*tabel!$D$230)</f>
        <v>10149.6</v>
      </c>
      <c r="N18" s="34">
        <f>IF($E18=0,0,+(geg!U115+geg!U117)*VLOOKUP($F18,BudgetPB,IF($E18="SO",2,3),FALSE)+(geg!U116+geg!U119)*tabel!$E$230+(geg!U120+geg!U121)*tabel!$D$230)</f>
        <v>10149.6</v>
      </c>
      <c r="O18" s="1"/>
      <c r="P18" s="238"/>
      <c r="Q18" s="129"/>
      <c r="R18" s="129"/>
      <c r="S18" s="64"/>
      <c r="T18" s="126"/>
      <c r="U18" s="126"/>
      <c r="V18" s="126"/>
      <c r="W18" s="126"/>
    </row>
    <row r="19" spans="2:23" ht="12.75">
      <c r="B19" s="13"/>
      <c r="C19" s="151"/>
      <c r="D19" s="91" t="s">
        <v>710</v>
      </c>
      <c r="E19" s="1"/>
      <c r="F19" s="1"/>
      <c r="G19" s="1"/>
      <c r="H19" s="25"/>
      <c r="I19" s="1"/>
      <c r="J19" s="34">
        <f>(+rugzak!K9+rugzak!K31+rugzak!K64+rugzak!K86)*(tabel!D230+IF(geg!I17="ja",tabel!H230,0))</f>
        <v>8965.32</v>
      </c>
      <c r="K19" s="34">
        <f>(+rugzak!K27+rugzak!K49+rugzak!K82+rugzak!K104)*(tabel!D230+IF(geg!I17="ja",tabel!H230,0))</f>
        <v>8965.32</v>
      </c>
      <c r="L19" s="34">
        <f>(+rugzak!K136+rugzak!K157+rugzak!K189+rugzak!K210)*(tabel!D230+IF(geg!I17="ja",tabel!H230,0))</f>
        <v>8965.32</v>
      </c>
      <c r="M19" s="281">
        <f>+L19</f>
        <v>8965.32</v>
      </c>
      <c r="N19" s="281">
        <f>+M19</f>
        <v>8965.32</v>
      </c>
      <c r="O19" s="1"/>
      <c r="P19" s="238"/>
      <c r="Q19" s="129"/>
      <c r="R19" s="129"/>
      <c r="S19" s="64"/>
      <c r="T19" s="126"/>
      <c r="U19" s="126"/>
      <c r="V19" s="126"/>
      <c r="W19" s="126"/>
    </row>
    <row r="20" spans="2:23" s="109" customFormat="1" ht="12.75">
      <c r="B20" s="197"/>
      <c r="C20" s="239"/>
      <c r="D20" s="342"/>
      <c r="E20" s="159"/>
      <c r="F20" s="159"/>
      <c r="G20" s="159"/>
      <c r="H20" s="162"/>
      <c r="I20" s="159"/>
      <c r="J20" s="178">
        <f>SUM(J13:J19)</f>
        <v>118319.85</v>
      </c>
      <c r="K20" s="178">
        <f>SUM(K13:K19)</f>
        <v>118319.85</v>
      </c>
      <c r="L20" s="178">
        <f>SUM(L13:L19)</f>
        <v>118319.85</v>
      </c>
      <c r="M20" s="178">
        <f>SUM(M13:M19)</f>
        <v>118319.85</v>
      </c>
      <c r="N20" s="178">
        <f>SUM(N13:N19)</f>
        <v>118319.85</v>
      </c>
      <c r="O20" s="159"/>
      <c r="P20" s="343"/>
      <c r="Q20" s="344"/>
      <c r="R20" s="344"/>
      <c r="S20" s="345"/>
      <c r="T20" s="346"/>
      <c r="U20" s="346"/>
      <c r="V20" s="346"/>
      <c r="W20" s="346"/>
    </row>
    <row r="21" spans="2:16" ht="12.75">
      <c r="B21" s="13"/>
      <c r="C21" s="1"/>
      <c r="D21" s="1"/>
      <c r="E21" s="1"/>
      <c r="F21" s="3"/>
      <c r="G21" s="1"/>
      <c r="H21" s="4"/>
      <c r="I21" s="1"/>
      <c r="J21" s="161"/>
      <c r="K21" s="161"/>
      <c r="L21" s="161"/>
      <c r="M21" s="161"/>
      <c r="N21" s="161"/>
      <c r="O21" s="1"/>
      <c r="P21" s="14"/>
    </row>
    <row r="22" spans="2:23" ht="12.75">
      <c r="B22" s="13"/>
      <c r="C22" s="1"/>
      <c r="D22" s="94" t="s">
        <v>553</v>
      </c>
      <c r="E22" s="1"/>
      <c r="F22" s="1"/>
      <c r="G22" s="1"/>
      <c r="H22" s="25"/>
      <c r="I22" s="1"/>
      <c r="J22" s="1"/>
      <c r="K22" s="1"/>
      <c r="L22" s="1"/>
      <c r="M22" s="1"/>
      <c r="N22" s="1"/>
      <c r="O22" s="1"/>
      <c r="P22" s="14"/>
      <c r="T22" s="88"/>
      <c r="U22" s="88"/>
      <c r="V22" s="88"/>
      <c r="W22" s="88"/>
    </row>
    <row r="23" spans="2:16" ht="12.75">
      <c r="B23" s="13"/>
      <c r="C23" s="1"/>
      <c r="D23" s="91" t="s">
        <v>623</v>
      </c>
      <c r="E23" s="1"/>
      <c r="F23" s="1"/>
      <c r="G23" s="84"/>
      <c r="H23" s="25"/>
      <c r="I23" s="84"/>
      <c r="J23" s="34">
        <f>IF(geg!I155=0,0,+tabel!C247)</f>
        <v>2067.58</v>
      </c>
      <c r="K23" s="34">
        <f>IF(geg!L155=0,0,+tabel!C247)*0</f>
        <v>0</v>
      </c>
      <c r="L23" s="34">
        <f>IF(geg!O155=0,0,+tabel!C247)*0</f>
        <v>0</v>
      </c>
      <c r="M23" s="34">
        <f>IF(geg!R155=0,0,+tabel!C247)*0</f>
        <v>0</v>
      </c>
      <c r="N23" s="34">
        <f>IF(geg!U155=0,0,+tabel!C247)*0</f>
        <v>0</v>
      </c>
      <c r="O23" s="1"/>
      <c r="P23" s="14"/>
    </row>
    <row r="24" spans="2:23" ht="12.75">
      <c r="B24" s="13"/>
      <c r="C24" s="1"/>
      <c r="D24" s="91" t="s">
        <v>624</v>
      </c>
      <c r="E24" s="1"/>
      <c r="F24" s="1"/>
      <c r="G24" s="84"/>
      <c r="H24" s="25"/>
      <c r="I24" s="84"/>
      <c r="J24" s="34">
        <f>+geg!I155*tabel!C248</f>
        <v>4459.52</v>
      </c>
      <c r="K24" s="34">
        <f>+geg!L155*tabel!C248*0</f>
        <v>0</v>
      </c>
      <c r="L24" s="34">
        <f>+geg!O155*tabel!C248*0</f>
        <v>0</v>
      </c>
      <c r="M24" s="34">
        <f>+geg!R155*tabel!C248*0</f>
        <v>0</v>
      </c>
      <c r="N24" s="34">
        <f>+geg!U155*tabel!C248*0</f>
        <v>0</v>
      </c>
      <c r="O24" s="1"/>
      <c r="P24" s="14"/>
      <c r="T24" s="124"/>
      <c r="U24" s="124"/>
      <c r="V24" s="124"/>
      <c r="W24" s="124"/>
    </row>
    <row r="25" spans="2:23" ht="12.75">
      <c r="B25" s="13"/>
      <c r="C25" s="1"/>
      <c r="D25" s="342"/>
      <c r="E25" s="159"/>
      <c r="F25" s="159"/>
      <c r="G25" s="239"/>
      <c r="H25" s="162"/>
      <c r="I25" s="239"/>
      <c r="J25" s="178">
        <f>SUM(J23:J24)</f>
        <v>6527.1</v>
      </c>
      <c r="K25" s="178">
        <f>SUM(K23:K24)</f>
        <v>0</v>
      </c>
      <c r="L25" s="178">
        <f>SUM(L23:L24)</f>
        <v>0</v>
      </c>
      <c r="M25" s="178">
        <f>SUM(M23:M24)</f>
        <v>0</v>
      </c>
      <c r="N25" s="178">
        <f>SUM(N23:N24)</f>
        <v>0</v>
      </c>
      <c r="O25" s="1"/>
      <c r="P25" s="14"/>
      <c r="T25" s="124"/>
      <c r="U25" s="124"/>
      <c r="V25" s="124"/>
      <c r="W25" s="124"/>
    </row>
    <row r="26" spans="2:23" ht="12.75">
      <c r="B26" s="13"/>
      <c r="C26" s="1"/>
      <c r="D26" s="1"/>
      <c r="E26" s="1"/>
      <c r="F26" s="1"/>
      <c r="G26" s="1"/>
      <c r="H26" s="25"/>
      <c r="I26" s="1"/>
      <c r="J26" s="236"/>
      <c r="K26" s="236"/>
      <c r="L26" s="236"/>
      <c r="M26" s="236"/>
      <c r="N26" s="236"/>
      <c r="O26" s="1"/>
      <c r="P26" s="14"/>
      <c r="T26" s="124"/>
      <c r="U26" s="124"/>
      <c r="V26" s="124"/>
      <c r="W26" s="124"/>
    </row>
    <row r="27" spans="2:23" ht="12.75">
      <c r="B27" s="13"/>
      <c r="C27" s="1"/>
      <c r="D27" s="94" t="s">
        <v>226</v>
      </c>
      <c r="E27" s="1"/>
      <c r="F27" s="1"/>
      <c r="G27" s="1"/>
      <c r="H27" s="25"/>
      <c r="I27" s="1"/>
      <c r="J27" s="236"/>
      <c r="K27" s="236"/>
      <c r="L27" s="236"/>
      <c r="M27" s="236"/>
      <c r="N27" s="236"/>
      <c r="O27" s="1"/>
      <c r="P27" s="14"/>
      <c r="T27" s="124"/>
      <c r="U27" s="124"/>
      <c r="V27" s="124"/>
      <c r="W27" s="124"/>
    </row>
    <row r="28" spans="2:23" ht="12.75">
      <c r="B28" s="13"/>
      <c r="C28" s="1"/>
      <c r="D28" s="136"/>
      <c r="E28" s="136"/>
      <c r="F28" s="136"/>
      <c r="G28" s="1"/>
      <c r="H28" s="25"/>
      <c r="I28" s="1"/>
      <c r="J28" s="176">
        <v>0</v>
      </c>
      <c r="K28" s="235">
        <f aca="true" t="shared" si="0" ref="K28:N30">J28</f>
        <v>0</v>
      </c>
      <c r="L28" s="235">
        <f t="shared" si="0"/>
        <v>0</v>
      </c>
      <c r="M28" s="235">
        <f t="shared" si="0"/>
        <v>0</v>
      </c>
      <c r="N28" s="235">
        <f t="shared" si="0"/>
        <v>0</v>
      </c>
      <c r="O28" s="1"/>
      <c r="P28" s="14"/>
      <c r="T28" s="124"/>
      <c r="U28" s="124"/>
      <c r="V28" s="124"/>
      <c r="W28" s="124"/>
    </row>
    <row r="29" spans="2:23" ht="12.75">
      <c r="B29" s="13"/>
      <c r="C29" s="1"/>
      <c r="D29" s="136"/>
      <c r="E29" s="136"/>
      <c r="F29" s="136"/>
      <c r="G29" s="1"/>
      <c r="H29" s="25"/>
      <c r="I29" s="1"/>
      <c r="J29" s="176">
        <v>0</v>
      </c>
      <c r="K29" s="235">
        <f t="shared" si="0"/>
        <v>0</v>
      </c>
      <c r="L29" s="235">
        <f t="shared" si="0"/>
        <v>0</v>
      </c>
      <c r="M29" s="235">
        <f t="shared" si="0"/>
        <v>0</v>
      </c>
      <c r="N29" s="235">
        <f t="shared" si="0"/>
        <v>0</v>
      </c>
      <c r="O29" s="1"/>
      <c r="P29" s="14"/>
      <c r="T29" s="124"/>
      <c r="U29" s="124"/>
      <c r="V29" s="124"/>
      <c r="W29" s="124"/>
    </row>
    <row r="30" spans="2:23" ht="12.75">
      <c r="B30" s="13"/>
      <c r="C30" s="1"/>
      <c r="D30" s="136"/>
      <c r="E30" s="136"/>
      <c r="F30" s="136"/>
      <c r="G30" s="1"/>
      <c r="H30" s="25"/>
      <c r="I30" s="1"/>
      <c r="J30" s="176">
        <v>0</v>
      </c>
      <c r="K30" s="235">
        <f t="shared" si="0"/>
        <v>0</v>
      </c>
      <c r="L30" s="235">
        <f t="shared" si="0"/>
        <v>0</v>
      </c>
      <c r="M30" s="235">
        <f t="shared" si="0"/>
        <v>0</v>
      </c>
      <c r="N30" s="235">
        <f t="shared" si="0"/>
        <v>0</v>
      </c>
      <c r="O30" s="1"/>
      <c r="P30" s="14"/>
      <c r="T30" s="124"/>
      <c r="U30" s="124"/>
      <c r="V30" s="124"/>
      <c r="W30" s="124"/>
    </row>
    <row r="31" spans="2:23" ht="12.75">
      <c r="B31" s="13"/>
      <c r="C31" s="1"/>
      <c r="D31" s="1"/>
      <c r="E31" s="1"/>
      <c r="F31" s="1"/>
      <c r="G31" s="1"/>
      <c r="H31" s="25"/>
      <c r="I31" s="1"/>
      <c r="J31" s="174">
        <f>SUM(J28:J30)</f>
        <v>0</v>
      </c>
      <c r="K31" s="174">
        <f>SUM(K28:K30)</f>
        <v>0</v>
      </c>
      <c r="L31" s="174">
        <f>SUM(L28:L30)</f>
        <v>0</v>
      </c>
      <c r="M31" s="174">
        <f>SUM(M28:M30)</f>
        <v>0</v>
      </c>
      <c r="N31" s="174">
        <f>SUM(N28:N30)</f>
        <v>0</v>
      </c>
      <c r="O31" s="1"/>
      <c r="P31" s="14"/>
      <c r="T31" s="124"/>
      <c r="U31" s="124"/>
      <c r="V31" s="124"/>
      <c r="W31" s="124"/>
    </row>
    <row r="32" spans="2:23" ht="12.75">
      <c r="B32" s="13"/>
      <c r="C32" s="1"/>
      <c r="D32" s="1"/>
      <c r="E32" s="1"/>
      <c r="F32" s="1"/>
      <c r="G32" s="1"/>
      <c r="H32" s="25"/>
      <c r="I32" s="1"/>
      <c r="J32" s="236"/>
      <c r="K32" s="236"/>
      <c r="L32" s="236"/>
      <c r="M32" s="236"/>
      <c r="N32" s="236"/>
      <c r="O32" s="1"/>
      <c r="P32" s="14"/>
      <c r="T32" s="124"/>
      <c r="U32" s="124"/>
      <c r="V32" s="124"/>
      <c r="W32" s="124"/>
    </row>
    <row r="33" spans="2:23" ht="12.75">
      <c r="B33" s="13"/>
      <c r="C33" s="1"/>
      <c r="D33" s="3" t="s">
        <v>244</v>
      </c>
      <c r="E33" s="1"/>
      <c r="F33" s="3"/>
      <c r="G33" s="1"/>
      <c r="H33" s="25"/>
      <c r="I33" s="1"/>
      <c r="J33" s="236"/>
      <c r="K33" s="236"/>
      <c r="L33" s="236"/>
      <c r="M33" s="236"/>
      <c r="N33" s="236"/>
      <c r="O33" s="1"/>
      <c r="P33" s="14"/>
      <c r="T33" s="124"/>
      <c r="U33" s="124"/>
      <c r="V33" s="124"/>
      <c r="W33" s="124"/>
    </row>
    <row r="34" spans="2:23" ht="12.75">
      <c r="B34" s="13"/>
      <c r="C34" s="1"/>
      <c r="D34" s="1"/>
      <c r="E34" s="1"/>
      <c r="F34" s="1"/>
      <c r="G34" s="1"/>
      <c r="H34" s="25"/>
      <c r="I34" s="1"/>
      <c r="J34" s="236"/>
      <c r="K34" s="236"/>
      <c r="L34" s="236"/>
      <c r="M34" s="236"/>
      <c r="N34" s="236"/>
      <c r="O34" s="1"/>
      <c r="P34" s="14"/>
      <c r="T34" s="124"/>
      <c r="U34" s="124"/>
      <c r="V34" s="124"/>
      <c r="W34" s="124"/>
    </row>
    <row r="35" spans="2:23" ht="12.75">
      <c r="B35" s="13"/>
      <c r="C35" s="1"/>
      <c r="D35" s="150" t="s">
        <v>245</v>
      </c>
      <c r="E35" s="1"/>
      <c r="F35" s="1"/>
      <c r="G35" s="1"/>
      <c r="H35" s="25"/>
      <c r="I35" s="1"/>
      <c r="J35" s="236"/>
      <c r="K35" s="236"/>
      <c r="L35" s="236"/>
      <c r="M35" s="236"/>
      <c r="N35" s="236"/>
      <c r="O35" s="1"/>
      <c r="P35" s="14"/>
      <c r="T35" s="124"/>
      <c r="U35" s="124"/>
      <c r="V35" s="124"/>
      <c r="W35" s="124"/>
    </row>
    <row r="36" spans="2:23" ht="12.75">
      <c r="B36" s="13"/>
      <c r="C36" s="1"/>
      <c r="D36" s="136"/>
      <c r="E36" s="136"/>
      <c r="F36" s="136"/>
      <c r="G36" s="1"/>
      <c r="H36" s="25"/>
      <c r="I36" s="1"/>
      <c r="J36" s="176">
        <v>0</v>
      </c>
      <c r="K36" s="235">
        <f aca="true" t="shared" si="1" ref="K36:N38">J36</f>
        <v>0</v>
      </c>
      <c r="L36" s="235">
        <f t="shared" si="1"/>
        <v>0</v>
      </c>
      <c r="M36" s="235">
        <f t="shared" si="1"/>
        <v>0</v>
      </c>
      <c r="N36" s="235">
        <f t="shared" si="1"/>
        <v>0</v>
      </c>
      <c r="O36" s="1"/>
      <c r="P36" s="14"/>
      <c r="T36" s="124"/>
      <c r="U36" s="124"/>
      <c r="V36" s="124"/>
      <c r="W36" s="124"/>
    </row>
    <row r="37" spans="2:23" ht="12.75">
      <c r="B37" s="13"/>
      <c r="C37" s="1"/>
      <c r="D37" s="136"/>
      <c r="E37" s="136"/>
      <c r="F37" s="136"/>
      <c r="G37" s="1"/>
      <c r="H37" s="25"/>
      <c r="I37" s="1"/>
      <c r="J37" s="176">
        <v>0</v>
      </c>
      <c r="K37" s="235">
        <f t="shared" si="1"/>
        <v>0</v>
      </c>
      <c r="L37" s="235">
        <f t="shared" si="1"/>
        <v>0</v>
      </c>
      <c r="M37" s="235">
        <f t="shared" si="1"/>
        <v>0</v>
      </c>
      <c r="N37" s="235">
        <f t="shared" si="1"/>
        <v>0</v>
      </c>
      <c r="O37" s="1"/>
      <c r="P37" s="14"/>
      <c r="T37" s="124"/>
      <c r="U37" s="124"/>
      <c r="V37" s="124"/>
      <c r="W37" s="124"/>
    </row>
    <row r="38" spans="2:23" ht="12.75">
      <c r="B38" s="13"/>
      <c r="C38" s="1"/>
      <c r="D38" s="136"/>
      <c r="E38" s="136"/>
      <c r="F38" s="136"/>
      <c r="G38" s="1"/>
      <c r="H38" s="25"/>
      <c r="I38" s="1"/>
      <c r="J38" s="176">
        <v>0</v>
      </c>
      <c r="K38" s="235">
        <f t="shared" si="1"/>
        <v>0</v>
      </c>
      <c r="L38" s="235">
        <f t="shared" si="1"/>
        <v>0</v>
      </c>
      <c r="M38" s="235">
        <f t="shared" si="1"/>
        <v>0</v>
      </c>
      <c r="N38" s="235">
        <f t="shared" si="1"/>
        <v>0</v>
      </c>
      <c r="O38" s="1"/>
      <c r="P38" s="14"/>
      <c r="T38" s="124"/>
      <c r="U38" s="124"/>
      <c r="V38" s="124"/>
      <c r="W38" s="124"/>
    </row>
    <row r="39" spans="2:23" ht="12.75">
      <c r="B39" s="13"/>
      <c r="C39" s="1"/>
      <c r="D39" s="441"/>
      <c r="E39" s="1"/>
      <c r="F39" s="1"/>
      <c r="G39" s="1"/>
      <c r="H39" s="25"/>
      <c r="I39" s="1"/>
      <c r="J39" s="171">
        <f>SUM(J36:J38)</f>
        <v>0</v>
      </c>
      <c r="K39" s="171">
        <f>SUM(K36:K38)</f>
        <v>0</v>
      </c>
      <c r="L39" s="171">
        <f>SUM(L36:L38)</f>
        <v>0</v>
      </c>
      <c r="M39" s="171">
        <f>SUM(M36:M38)</f>
        <v>0</v>
      </c>
      <c r="N39" s="171">
        <f>SUM(N36:N38)</f>
        <v>0</v>
      </c>
      <c r="O39" s="1"/>
      <c r="P39" s="14"/>
      <c r="T39" s="124"/>
      <c r="U39" s="124"/>
      <c r="V39" s="124"/>
      <c r="W39" s="124"/>
    </row>
    <row r="40" spans="2:23" ht="12.75">
      <c r="B40" s="13"/>
      <c r="C40" s="1"/>
      <c r="D40" s="94" t="s">
        <v>246</v>
      </c>
      <c r="E40" s="1"/>
      <c r="F40" s="1"/>
      <c r="G40" s="1"/>
      <c r="H40" s="25"/>
      <c r="I40" s="1"/>
      <c r="J40" s="236"/>
      <c r="K40" s="236"/>
      <c r="L40" s="236"/>
      <c r="M40" s="236"/>
      <c r="N40" s="236"/>
      <c r="O40" s="1"/>
      <c r="P40" s="14"/>
      <c r="T40" s="124"/>
      <c r="U40" s="124"/>
      <c r="V40" s="124"/>
      <c r="W40" s="124"/>
    </row>
    <row r="41" spans="2:23" ht="12.75">
      <c r="B41" s="13"/>
      <c r="C41" s="1"/>
      <c r="D41" s="136"/>
      <c r="E41" s="136"/>
      <c r="F41" s="136"/>
      <c r="G41" s="1"/>
      <c r="H41" s="25"/>
      <c r="I41" s="1"/>
      <c r="J41" s="176">
        <v>0</v>
      </c>
      <c r="K41" s="235">
        <f aca="true" t="shared" si="2" ref="K41:N43">J41</f>
        <v>0</v>
      </c>
      <c r="L41" s="235">
        <f t="shared" si="2"/>
        <v>0</v>
      </c>
      <c r="M41" s="235">
        <f t="shared" si="2"/>
        <v>0</v>
      </c>
      <c r="N41" s="235">
        <f t="shared" si="2"/>
        <v>0</v>
      </c>
      <c r="O41" s="1"/>
      <c r="P41" s="14"/>
      <c r="T41" s="124"/>
      <c r="U41" s="124"/>
      <c r="V41" s="124"/>
      <c r="W41" s="124"/>
    </row>
    <row r="42" spans="2:23" ht="12.75">
      <c r="B42" s="13"/>
      <c r="C42" s="1"/>
      <c r="D42" s="136"/>
      <c r="E42" s="136"/>
      <c r="F42" s="136"/>
      <c r="G42" s="1"/>
      <c r="H42" s="25"/>
      <c r="I42" s="1"/>
      <c r="J42" s="176">
        <v>0</v>
      </c>
      <c r="K42" s="235">
        <f t="shared" si="2"/>
        <v>0</v>
      </c>
      <c r="L42" s="235">
        <f t="shared" si="2"/>
        <v>0</v>
      </c>
      <c r="M42" s="235">
        <f t="shared" si="2"/>
        <v>0</v>
      </c>
      <c r="N42" s="235">
        <f t="shared" si="2"/>
        <v>0</v>
      </c>
      <c r="O42" s="1"/>
      <c r="P42" s="14"/>
      <c r="T42" s="124"/>
      <c r="U42" s="124"/>
      <c r="V42" s="124"/>
      <c r="W42" s="124"/>
    </row>
    <row r="43" spans="2:23" ht="12.75">
      <c r="B43" s="13"/>
      <c r="C43" s="1"/>
      <c r="D43" s="136"/>
      <c r="E43" s="136"/>
      <c r="F43" s="136"/>
      <c r="G43" s="1"/>
      <c r="H43" s="25"/>
      <c r="I43" s="1"/>
      <c r="J43" s="176">
        <v>0</v>
      </c>
      <c r="K43" s="235">
        <f t="shared" si="2"/>
        <v>0</v>
      </c>
      <c r="L43" s="235">
        <f t="shared" si="2"/>
        <v>0</v>
      </c>
      <c r="M43" s="235">
        <f t="shared" si="2"/>
        <v>0</v>
      </c>
      <c r="N43" s="235">
        <f t="shared" si="2"/>
        <v>0</v>
      </c>
      <c r="O43" s="1"/>
      <c r="P43" s="14"/>
      <c r="T43" s="124"/>
      <c r="U43" s="124"/>
      <c r="V43" s="124"/>
      <c r="W43" s="124"/>
    </row>
    <row r="44" spans="2:23" ht="12.75">
      <c r="B44" s="13"/>
      <c r="C44" s="1"/>
      <c r="D44" s="442"/>
      <c r="E44" s="1"/>
      <c r="F44" s="1"/>
      <c r="G44" s="1"/>
      <c r="H44" s="25"/>
      <c r="I44" s="1"/>
      <c r="J44" s="171">
        <f>SUM(J41:J43)</f>
        <v>0</v>
      </c>
      <c r="K44" s="171">
        <f>SUM(K41:K43)</f>
        <v>0</v>
      </c>
      <c r="L44" s="171">
        <f>SUM(L41:L43)</f>
        <v>0</v>
      </c>
      <c r="M44" s="171">
        <f>SUM(M41:M43)</f>
        <v>0</v>
      </c>
      <c r="N44" s="171">
        <f>SUM(N41:N43)</f>
        <v>0</v>
      </c>
      <c r="O44" s="1"/>
      <c r="P44" s="14"/>
      <c r="T44" s="124"/>
      <c r="U44" s="124"/>
      <c r="V44" s="124"/>
      <c r="W44" s="124"/>
    </row>
    <row r="45" spans="2:23" ht="12.75">
      <c r="B45" s="13"/>
      <c r="C45" s="1"/>
      <c r="D45" s="1"/>
      <c r="E45" s="1"/>
      <c r="F45" s="1"/>
      <c r="G45" s="1"/>
      <c r="H45" s="25"/>
      <c r="I45" s="1"/>
      <c r="J45" s="236"/>
      <c r="K45" s="236"/>
      <c r="L45" s="236"/>
      <c r="M45" s="236"/>
      <c r="N45" s="236"/>
      <c r="O45" s="1"/>
      <c r="P45" s="14"/>
      <c r="T45" s="124"/>
      <c r="U45" s="124"/>
      <c r="V45" s="124"/>
      <c r="W45" s="124"/>
    </row>
    <row r="46" spans="2:23" ht="12.75">
      <c r="B46" s="13"/>
      <c r="C46" s="1"/>
      <c r="D46" s="159" t="s">
        <v>247</v>
      </c>
      <c r="E46" s="1"/>
      <c r="F46" s="1"/>
      <c r="G46" s="1"/>
      <c r="H46" s="25"/>
      <c r="I46" s="1"/>
      <c r="J46" s="178">
        <f>J39-J44</f>
        <v>0</v>
      </c>
      <c r="K46" s="178">
        <f>K39-K44</f>
        <v>0</v>
      </c>
      <c r="L46" s="178">
        <f>L39-L44</f>
        <v>0</v>
      </c>
      <c r="M46" s="178">
        <f>M39-M44</f>
        <v>0</v>
      </c>
      <c r="N46" s="178">
        <f>N39-N44</f>
        <v>0</v>
      </c>
      <c r="O46" s="1"/>
      <c r="P46" s="14"/>
      <c r="T46" s="124"/>
      <c r="U46" s="124"/>
      <c r="V46" s="124"/>
      <c r="W46" s="124"/>
    </row>
    <row r="47" spans="2:23" ht="12.75">
      <c r="B47" s="13"/>
      <c r="C47" s="1"/>
      <c r="D47" s="1"/>
      <c r="E47" s="1"/>
      <c r="F47" s="1"/>
      <c r="G47" s="1"/>
      <c r="H47" s="25"/>
      <c r="I47" s="1"/>
      <c r="J47" s="236"/>
      <c r="K47" s="236"/>
      <c r="L47" s="236"/>
      <c r="M47" s="236"/>
      <c r="N47" s="236"/>
      <c r="O47" s="1"/>
      <c r="P47" s="14"/>
      <c r="T47" s="124"/>
      <c r="U47" s="124"/>
      <c r="V47" s="124"/>
      <c r="W47" s="124"/>
    </row>
    <row r="48" spans="2:23" ht="12.75">
      <c r="B48" s="13"/>
      <c r="C48" s="1"/>
      <c r="D48" s="1"/>
      <c r="E48" s="1"/>
      <c r="F48" s="1"/>
      <c r="G48" s="1"/>
      <c r="H48" s="25"/>
      <c r="I48" s="1"/>
      <c r="J48" s="236"/>
      <c r="K48" s="236"/>
      <c r="L48" s="236"/>
      <c r="M48" s="236"/>
      <c r="N48" s="236"/>
      <c r="O48" s="1"/>
      <c r="P48" s="14"/>
      <c r="T48" s="124"/>
      <c r="U48" s="124"/>
      <c r="V48" s="124"/>
      <c r="W48" s="124"/>
    </row>
    <row r="49" spans="2:23" ht="12.75">
      <c r="B49" s="13"/>
      <c r="C49" s="1"/>
      <c r="D49" s="3" t="s">
        <v>700</v>
      </c>
      <c r="E49" s="1"/>
      <c r="F49" s="1"/>
      <c r="G49" s="1"/>
      <c r="H49" s="25"/>
      <c r="I49" s="1"/>
      <c r="J49" s="177">
        <f>J20+J25+J31-J46</f>
        <v>124846.95000000001</v>
      </c>
      <c r="K49" s="177">
        <f>K20+K25+K31-K46</f>
        <v>118319.85</v>
      </c>
      <c r="L49" s="177">
        <f>L20+L25+L31-L46</f>
        <v>118319.85</v>
      </c>
      <c r="M49" s="177">
        <f>M20+M25+M31-M46</f>
        <v>118319.85</v>
      </c>
      <c r="N49" s="177">
        <f>N20+N25+N31-N46</f>
        <v>118319.85</v>
      </c>
      <c r="O49" s="1"/>
      <c r="P49" s="14"/>
      <c r="T49" s="124"/>
      <c r="U49" s="124"/>
      <c r="V49" s="124"/>
      <c r="W49" s="124"/>
    </row>
    <row r="50" spans="2:23" ht="12.75">
      <c r="B50" s="13"/>
      <c r="C50" s="1"/>
      <c r="D50" s="1"/>
      <c r="E50" s="1"/>
      <c r="F50" s="1"/>
      <c r="G50" s="1"/>
      <c r="H50" s="25"/>
      <c r="I50" s="1"/>
      <c r="J50" s="236"/>
      <c r="K50" s="236"/>
      <c r="L50" s="236"/>
      <c r="M50" s="236"/>
      <c r="N50" s="236"/>
      <c r="O50" s="1"/>
      <c r="P50" s="14"/>
      <c r="T50" s="124"/>
      <c r="U50" s="124"/>
      <c r="V50" s="124"/>
      <c r="W50" s="124"/>
    </row>
    <row r="51" spans="2:23" ht="12.75">
      <c r="B51" s="13"/>
      <c r="J51" s="134"/>
      <c r="K51" s="134"/>
      <c r="L51" s="134"/>
      <c r="M51" s="134"/>
      <c r="N51" s="134"/>
      <c r="P51" s="14"/>
      <c r="T51" s="124"/>
      <c r="U51" s="124"/>
      <c r="V51" s="124"/>
      <c r="W51" s="124"/>
    </row>
    <row r="52" spans="2:23" ht="12.75">
      <c r="B52" s="13"/>
      <c r="C52" s="1"/>
      <c r="D52" s="1"/>
      <c r="E52" s="1"/>
      <c r="F52" s="1"/>
      <c r="G52" s="1"/>
      <c r="H52" s="25"/>
      <c r="I52" s="1"/>
      <c r="J52" s="158"/>
      <c r="K52" s="158"/>
      <c r="L52" s="158"/>
      <c r="M52" s="158"/>
      <c r="N52" s="158"/>
      <c r="O52" s="1"/>
      <c r="P52" s="14"/>
      <c r="T52" s="124"/>
      <c r="U52" s="124"/>
      <c r="V52" s="124"/>
      <c r="W52" s="124"/>
    </row>
    <row r="53" spans="2:23" ht="12.75">
      <c r="B53" s="13"/>
      <c r="C53" s="1"/>
      <c r="D53" s="3" t="s">
        <v>370</v>
      </c>
      <c r="E53" s="1"/>
      <c r="F53" s="1"/>
      <c r="G53" s="1"/>
      <c r="H53" s="25"/>
      <c r="I53" s="1"/>
      <c r="J53" s="158"/>
      <c r="K53" s="158"/>
      <c r="L53" s="158"/>
      <c r="M53" s="158"/>
      <c r="N53" s="158"/>
      <c r="O53" s="1"/>
      <c r="P53" s="14"/>
      <c r="T53" s="124"/>
      <c r="U53" s="124"/>
      <c r="V53" s="124"/>
      <c r="W53" s="124"/>
    </row>
    <row r="54" spans="2:23" ht="12.75">
      <c r="B54" s="13"/>
      <c r="C54" s="1"/>
      <c r="D54" s="1"/>
      <c r="E54" s="1"/>
      <c r="F54" s="1"/>
      <c r="G54" s="1"/>
      <c r="H54" s="25"/>
      <c r="I54" s="1"/>
      <c r="J54" s="158"/>
      <c r="K54" s="158"/>
      <c r="L54" s="158"/>
      <c r="M54" s="158"/>
      <c r="N54" s="158"/>
      <c r="O54" s="1"/>
      <c r="P54" s="14"/>
      <c r="T54" s="124"/>
      <c r="U54" s="124"/>
      <c r="V54" s="124"/>
      <c r="W54" s="124"/>
    </row>
    <row r="55" spans="2:23" ht="12.75">
      <c r="B55" s="13"/>
      <c r="C55" s="1"/>
      <c r="D55" s="136"/>
      <c r="E55" s="136"/>
      <c r="F55" s="136"/>
      <c r="G55" s="1"/>
      <c r="H55" s="25"/>
      <c r="I55" s="1"/>
      <c r="J55" s="138">
        <v>0</v>
      </c>
      <c r="K55" s="235">
        <f aca="true" t="shared" si="3" ref="K55:N57">J55</f>
        <v>0</v>
      </c>
      <c r="L55" s="235">
        <f t="shared" si="3"/>
        <v>0</v>
      </c>
      <c r="M55" s="235">
        <f t="shared" si="3"/>
        <v>0</v>
      </c>
      <c r="N55" s="235">
        <f t="shared" si="3"/>
        <v>0</v>
      </c>
      <c r="O55" s="1"/>
      <c r="P55" s="14"/>
      <c r="T55" s="124"/>
      <c r="U55" s="124"/>
      <c r="V55" s="124"/>
      <c r="W55" s="124"/>
    </row>
    <row r="56" spans="2:23" ht="12.75">
      <c r="B56" s="13"/>
      <c r="C56" s="1"/>
      <c r="D56" s="136"/>
      <c r="E56" s="136"/>
      <c r="F56" s="136"/>
      <c r="G56" s="1"/>
      <c r="H56" s="25"/>
      <c r="I56" s="1"/>
      <c r="J56" s="138">
        <v>0</v>
      </c>
      <c r="K56" s="235">
        <f t="shared" si="3"/>
        <v>0</v>
      </c>
      <c r="L56" s="235">
        <f t="shared" si="3"/>
        <v>0</v>
      </c>
      <c r="M56" s="235">
        <f t="shared" si="3"/>
        <v>0</v>
      </c>
      <c r="N56" s="235">
        <f t="shared" si="3"/>
        <v>0</v>
      </c>
      <c r="O56" s="1"/>
      <c r="P56" s="14"/>
      <c r="T56" s="124"/>
      <c r="U56" s="124"/>
      <c r="V56" s="124"/>
      <c r="W56" s="124"/>
    </row>
    <row r="57" spans="2:23" ht="12.75">
      <c r="B57" s="13"/>
      <c r="C57" s="1"/>
      <c r="D57" s="136"/>
      <c r="E57" s="136"/>
      <c r="F57" s="136"/>
      <c r="G57" s="1"/>
      <c r="H57" s="25"/>
      <c r="I57" s="1"/>
      <c r="J57" s="138">
        <v>0</v>
      </c>
      <c r="K57" s="235">
        <f t="shared" si="3"/>
        <v>0</v>
      </c>
      <c r="L57" s="235">
        <f t="shared" si="3"/>
        <v>0</v>
      </c>
      <c r="M57" s="235">
        <f t="shared" si="3"/>
        <v>0</v>
      </c>
      <c r="N57" s="235">
        <f t="shared" si="3"/>
        <v>0</v>
      </c>
      <c r="O57" s="1"/>
      <c r="P57" s="14"/>
      <c r="T57" s="124"/>
      <c r="U57" s="124"/>
      <c r="V57" s="124"/>
      <c r="W57" s="124"/>
    </row>
    <row r="58" spans="2:23" ht="12.75">
      <c r="B58" s="13"/>
      <c r="C58" s="1"/>
      <c r="D58" s="1"/>
      <c r="E58" s="1"/>
      <c r="F58" s="1"/>
      <c r="G58" s="1"/>
      <c r="H58" s="25"/>
      <c r="I58" s="1"/>
      <c r="J58" s="236"/>
      <c r="K58" s="236"/>
      <c r="L58" s="236"/>
      <c r="M58" s="236"/>
      <c r="N58" s="236"/>
      <c r="O58" s="1"/>
      <c r="P58" s="14"/>
      <c r="T58" s="124"/>
      <c r="U58" s="124"/>
      <c r="V58" s="124"/>
      <c r="W58" s="124"/>
    </row>
    <row r="59" spans="2:23" ht="12.75">
      <c r="B59" s="13"/>
      <c r="C59" s="1"/>
      <c r="D59" s="3" t="s">
        <v>667</v>
      </c>
      <c r="E59" s="1"/>
      <c r="F59" s="1"/>
      <c r="G59" s="1"/>
      <c r="H59" s="25"/>
      <c r="I59" s="1"/>
      <c r="J59" s="177">
        <f>SUM(J55:J57)</f>
        <v>0</v>
      </c>
      <c r="K59" s="177">
        <f>SUM(K55:K57)</f>
        <v>0</v>
      </c>
      <c r="L59" s="177">
        <f>SUM(L55:L57)</f>
        <v>0</v>
      </c>
      <c r="M59" s="177">
        <f>SUM(M55:M57)</f>
        <v>0</v>
      </c>
      <c r="N59" s="177">
        <f>SUM(N55:N57)</f>
        <v>0</v>
      </c>
      <c r="O59" s="1"/>
      <c r="P59" s="14"/>
      <c r="T59" s="124"/>
      <c r="U59" s="124"/>
      <c r="V59" s="124"/>
      <c r="W59" s="124"/>
    </row>
    <row r="60" spans="2:23" ht="12.75">
      <c r="B60" s="13"/>
      <c r="C60" s="1"/>
      <c r="D60" s="1"/>
      <c r="E60" s="1"/>
      <c r="F60" s="1"/>
      <c r="G60" s="1"/>
      <c r="H60" s="25"/>
      <c r="I60" s="1"/>
      <c r="J60" s="158"/>
      <c r="K60" s="158"/>
      <c r="L60" s="158"/>
      <c r="M60" s="158"/>
      <c r="N60" s="158"/>
      <c r="O60" s="1"/>
      <c r="P60" s="14"/>
      <c r="T60" s="124"/>
      <c r="U60" s="124"/>
      <c r="V60" s="124"/>
      <c r="W60" s="124"/>
    </row>
    <row r="61" spans="2:23" ht="12.75">
      <c r="B61" s="13"/>
      <c r="J61" s="134"/>
      <c r="K61" s="134"/>
      <c r="L61" s="134"/>
      <c r="M61" s="134"/>
      <c r="N61" s="134"/>
      <c r="P61" s="14"/>
      <c r="T61" s="124"/>
      <c r="U61" s="124"/>
      <c r="V61" s="124"/>
      <c r="W61" s="124"/>
    </row>
    <row r="62" spans="2:23" ht="12.75">
      <c r="B62" s="13"/>
      <c r="C62" s="1"/>
      <c r="D62" s="1"/>
      <c r="E62" s="1"/>
      <c r="F62" s="1"/>
      <c r="G62" s="1"/>
      <c r="H62" s="25"/>
      <c r="I62" s="1"/>
      <c r="J62" s="158"/>
      <c r="K62" s="158"/>
      <c r="L62" s="158"/>
      <c r="M62" s="158"/>
      <c r="N62" s="158"/>
      <c r="O62" s="1"/>
      <c r="P62" s="14"/>
      <c r="T62" s="124"/>
      <c r="U62" s="124"/>
      <c r="V62" s="124"/>
      <c r="W62" s="124"/>
    </row>
    <row r="63" spans="2:23" ht="12.75">
      <c r="B63" s="13"/>
      <c r="C63" s="1"/>
      <c r="D63" s="3" t="s">
        <v>612</v>
      </c>
      <c r="E63" s="1"/>
      <c r="F63" s="1"/>
      <c r="G63" s="1"/>
      <c r="H63" s="25"/>
      <c r="I63" s="1"/>
      <c r="J63" s="158"/>
      <c r="K63" s="158"/>
      <c r="L63" s="158"/>
      <c r="M63" s="158"/>
      <c r="N63" s="158"/>
      <c r="O63" s="1"/>
      <c r="P63" s="14"/>
      <c r="T63" s="124"/>
      <c r="U63" s="124"/>
      <c r="V63" s="124"/>
      <c r="W63" s="124"/>
    </row>
    <row r="64" spans="2:23" ht="12.75">
      <c r="B64" s="13"/>
      <c r="C64" s="1"/>
      <c r="D64" s="1"/>
      <c r="E64" s="1"/>
      <c r="F64" s="1"/>
      <c r="G64" s="1"/>
      <c r="H64" s="25"/>
      <c r="I64" s="1"/>
      <c r="J64" s="158"/>
      <c r="K64" s="158"/>
      <c r="L64" s="158"/>
      <c r="M64" s="158"/>
      <c r="N64" s="158"/>
      <c r="O64" s="1"/>
      <c r="P64" s="14"/>
      <c r="T64" s="124"/>
      <c r="U64" s="124"/>
      <c r="V64" s="124"/>
      <c r="W64" s="124"/>
    </row>
    <row r="65" spans="2:23" ht="12.75">
      <c r="B65" s="13"/>
      <c r="C65" s="1"/>
      <c r="D65" s="1" t="s">
        <v>195</v>
      </c>
      <c r="E65" s="1"/>
      <c r="F65" s="1"/>
      <c r="G65" s="1"/>
      <c r="H65" s="25"/>
      <c r="I65" s="1"/>
      <c r="J65" s="138">
        <v>0</v>
      </c>
      <c r="K65" s="235">
        <f aca="true" t="shared" si="4" ref="K65:N70">J65</f>
        <v>0</v>
      </c>
      <c r="L65" s="235">
        <f t="shared" si="4"/>
        <v>0</v>
      </c>
      <c r="M65" s="235">
        <f t="shared" si="4"/>
        <v>0</v>
      </c>
      <c r="N65" s="235">
        <f t="shared" si="4"/>
        <v>0</v>
      </c>
      <c r="O65" s="1"/>
      <c r="P65" s="14"/>
      <c r="T65" s="124"/>
      <c r="U65" s="124"/>
      <c r="V65" s="124"/>
      <c r="W65" s="124"/>
    </row>
    <row r="66" spans="2:23" ht="12.75">
      <c r="B66" s="13"/>
      <c r="C66" s="1"/>
      <c r="D66" s="1" t="s">
        <v>432</v>
      </c>
      <c r="E66" s="1"/>
      <c r="F66" s="1"/>
      <c r="G66" s="1"/>
      <c r="H66" s="25"/>
      <c r="I66" s="1"/>
      <c r="J66" s="138">
        <v>0</v>
      </c>
      <c r="K66" s="235">
        <f aca="true" t="shared" si="5" ref="K66:N67">J66</f>
        <v>0</v>
      </c>
      <c r="L66" s="235">
        <f t="shared" si="5"/>
        <v>0</v>
      </c>
      <c r="M66" s="235">
        <f t="shared" si="5"/>
        <v>0</v>
      </c>
      <c r="N66" s="235">
        <f t="shared" si="5"/>
        <v>0</v>
      </c>
      <c r="O66" s="1"/>
      <c r="P66" s="14"/>
      <c r="T66" s="124"/>
      <c r="U66" s="124"/>
      <c r="V66" s="124"/>
      <c r="W66" s="124"/>
    </row>
    <row r="67" spans="2:23" ht="12.75">
      <c r="B67" s="13"/>
      <c r="C67" s="1"/>
      <c r="D67" s="1" t="s">
        <v>433</v>
      </c>
      <c r="E67" s="1"/>
      <c r="F67" s="1"/>
      <c r="G67" s="1"/>
      <c r="H67" s="25"/>
      <c r="I67" s="1"/>
      <c r="J67" s="138">
        <v>0</v>
      </c>
      <c r="K67" s="235">
        <f t="shared" si="5"/>
        <v>0</v>
      </c>
      <c r="L67" s="235">
        <f t="shared" si="5"/>
        <v>0</v>
      </c>
      <c r="M67" s="235">
        <f t="shared" si="5"/>
        <v>0</v>
      </c>
      <c r="N67" s="235">
        <f t="shared" si="5"/>
        <v>0</v>
      </c>
      <c r="O67" s="1"/>
      <c r="P67" s="14"/>
      <c r="T67" s="124"/>
      <c r="U67" s="124"/>
      <c r="V67" s="124"/>
      <c r="W67" s="124"/>
    </row>
    <row r="68" spans="2:23" ht="12.75">
      <c r="B68" s="13"/>
      <c r="C68" s="1"/>
      <c r="D68" s="136"/>
      <c r="E68" s="136"/>
      <c r="F68" s="136"/>
      <c r="G68" s="1"/>
      <c r="H68" s="25"/>
      <c r="I68" s="1"/>
      <c r="J68" s="138">
        <v>0</v>
      </c>
      <c r="K68" s="235">
        <f t="shared" si="4"/>
        <v>0</v>
      </c>
      <c r="L68" s="235">
        <f t="shared" si="4"/>
        <v>0</v>
      </c>
      <c r="M68" s="235">
        <f t="shared" si="4"/>
        <v>0</v>
      </c>
      <c r="N68" s="235">
        <f t="shared" si="4"/>
        <v>0</v>
      </c>
      <c r="O68" s="1"/>
      <c r="P68" s="14"/>
      <c r="T68" s="124"/>
      <c r="U68" s="124"/>
      <c r="V68" s="124"/>
      <c r="W68" s="124"/>
    </row>
    <row r="69" spans="2:23" ht="12.75">
      <c r="B69" s="13"/>
      <c r="C69" s="1"/>
      <c r="D69" s="136"/>
      <c r="E69" s="136"/>
      <c r="F69" s="136"/>
      <c r="G69" s="1"/>
      <c r="H69" s="25"/>
      <c r="I69" s="1"/>
      <c r="J69" s="138">
        <v>0</v>
      </c>
      <c r="K69" s="235">
        <f t="shared" si="4"/>
        <v>0</v>
      </c>
      <c r="L69" s="235">
        <f t="shared" si="4"/>
        <v>0</v>
      </c>
      <c r="M69" s="235">
        <f t="shared" si="4"/>
        <v>0</v>
      </c>
      <c r="N69" s="235">
        <f t="shared" si="4"/>
        <v>0</v>
      </c>
      <c r="O69" s="1"/>
      <c r="P69" s="14"/>
      <c r="T69" s="124"/>
      <c r="U69" s="124"/>
      <c r="V69" s="124"/>
      <c r="W69" s="124"/>
    </row>
    <row r="70" spans="2:23" ht="12.75">
      <c r="B70" s="13"/>
      <c r="C70" s="1"/>
      <c r="D70" s="136"/>
      <c r="E70" s="136"/>
      <c r="F70" s="136"/>
      <c r="G70" s="1"/>
      <c r="H70" s="25"/>
      <c r="I70" s="1"/>
      <c r="J70" s="138">
        <v>0</v>
      </c>
      <c r="K70" s="235">
        <f t="shared" si="4"/>
        <v>0</v>
      </c>
      <c r="L70" s="235">
        <f t="shared" si="4"/>
        <v>0</v>
      </c>
      <c r="M70" s="235">
        <f t="shared" si="4"/>
        <v>0</v>
      </c>
      <c r="N70" s="235">
        <f t="shared" si="4"/>
        <v>0</v>
      </c>
      <c r="O70" s="1"/>
      <c r="P70" s="14"/>
      <c r="T70" s="124"/>
      <c r="U70" s="124"/>
      <c r="V70" s="124"/>
      <c r="W70" s="124"/>
    </row>
    <row r="71" spans="2:23" ht="12.75">
      <c r="B71" s="13"/>
      <c r="C71" s="1"/>
      <c r="D71" s="1"/>
      <c r="E71" s="1"/>
      <c r="F71" s="1"/>
      <c r="G71" s="1"/>
      <c r="H71" s="25"/>
      <c r="I71" s="1"/>
      <c r="J71" s="236"/>
      <c r="K71" s="236"/>
      <c r="L71" s="236"/>
      <c r="M71" s="236"/>
      <c r="N71" s="236"/>
      <c r="O71" s="1"/>
      <c r="P71" s="14"/>
      <c r="T71" s="124"/>
      <c r="U71" s="124"/>
      <c r="V71" s="124"/>
      <c r="W71" s="124"/>
    </row>
    <row r="72" spans="2:23" ht="12.75">
      <c r="B72" s="13"/>
      <c r="C72" s="1"/>
      <c r="D72" s="3" t="s">
        <v>667</v>
      </c>
      <c r="E72" s="1"/>
      <c r="F72" s="1"/>
      <c r="G72" s="1"/>
      <c r="H72" s="25"/>
      <c r="I72" s="1"/>
      <c r="J72" s="177">
        <f>SUM(J65:J70)</f>
        <v>0</v>
      </c>
      <c r="K72" s="177">
        <f>SUM(K65:K70)</f>
        <v>0</v>
      </c>
      <c r="L72" s="177">
        <f>SUM(L65:L70)</f>
        <v>0</v>
      </c>
      <c r="M72" s="177">
        <f>SUM(M65:M70)</f>
        <v>0</v>
      </c>
      <c r="N72" s="177">
        <f>SUM(N65:N70)</f>
        <v>0</v>
      </c>
      <c r="O72" s="1"/>
      <c r="P72" s="14"/>
      <c r="T72" s="124"/>
      <c r="U72" s="124"/>
      <c r="V72" s="124"/>
      <c r="W72" s="124"/>
    </row>
    <row r="73" spans="2:23" ht="12.75">
      <c r="B73" s="13"/>
      <c r="C73" s="1"/>
      <c r="D73" s="1"/>
      <c r="E73" s="1"/>
      <c r="F73" s="1"/>
      <c r="G73" s="1"/>
      <c r="H73" s="25"/>
      <c r="I73" s="1"/>
      <c r="J73" s="158"/>
      <c r="K73" s="158"/>
      <c r="L73" s="158"/>
      <c r="M73" s="158"/>
      <c r="N73" s="158"/>
      <c r="O73" s="1"/>
      <c r="P73" s="14"/>
      <c r="T73" s="124"/>
      <c r="U73" s="124"/>
      <c r="V73" s="124"/>
      <c r="W73" s="124"/>
    </row>
    <row r="74" spans="2:23" ht="12.75">
      <c r="B74" s="13"/>
      <c r="J74" s="134"/>
      <c r="K74" s="134"/>
      <c r="L74" s="134"/>
      <c r="M74" s="134"/>
      <c r="N74" s="134"/>
      <c r="P74" s="14"/>
      <c r="T74" s="124"/>
      <c r="U74" s="124"/>
      <c r="V74" s="124"/>
      <c r="W74" s="124"/>
    </row>
    <row r="75" spans="2:23" ht="12.75">
      <c r="B75" s="13"/>
      <c r="C75" s="1"/>
      <c r="D75" s="91"/>
      <c r="E75" s="1"/>
      <c r="F75" s="25"/>
      <c r="G75" s="25"/>
      <c r="H75" s="1"/>
      <c r="I75" s="25"/>
      <c r="J75" s="25"/>
      <c r="K75" s="45"/>
      <c r="L75" s="4"/>
      <c r="M75" s="84"/>
      <c r="N75" s="84"/>
      <c r="O75" s="330"/>
      <c r="P75" s="14"/>
      <c r="T75" s="124"/>
      <c r="U75" s="124"/>
      <c r="V75" s="124"/>
      <c r="W75" s="124"/>
    </row>
    <row r="76" spans="2:23" ht="12.75">
      <c r="B76" s="13"/>
      <c r="C76" s="1"/>
      <c r="D76" s="3" t="s">
        <v>281</v>
      </c>
      <c r="E76" s="1"/>
      <c r="F76" s="25"/>
      <c r="G76" s="25"/>
      <c r="H76" s="1"/>
      <c r="I76" s="25"/>
      <c r="J76" s="43">
        <f>J49+J59+J72</f>
        <v>124846.95000000001</v>
      </c>
      <c r="K76" s="43">
        <f>K49+K59+K72</f>
        <v>118319.85</v>
      </c>
      <c r="L76" s="43">
        <f>L49+L59+L72</f>
        <v>118319.85</v>
      </c>
      <c r="M76" s="43">
        <f>M49+M59+M72</f>
        <v>118319.85</v>
      </c>
      <c r="N76" s="43">
        <f>N49+N59+N72</f>
        <v>118319.85</v>
      </c>
      <c r="O76" s="330"/>
      <c r="P76" s="14"/>
      <c r="T76" s="124"/>
      <c r="U76" s="124"/>
      <c r="V76" s="124"/>
      <c r="W76" s="124"/>
    </row>
    <row r="77" spans="2:23" ht="12.75">
      <c r="B77" s="13"/>
      <c r="C77" s="1"/>
      <c r="D77" s="1"/>
      <c r="E77" s="1"/>
      <c r="F77" s="25"/>
      <c r="G77" s="25"/>
      <c r="H77" s="1"/>
      <c r="I77" s="25"/>
      <c r="J77" s="25"/>
      <c r="K77" s="45"/>
      <c r="L77" s="4"/>
      <c r="M77" s="84"/>
      <c r="N77" s="84"/>
      <c r="O77" s="330"/>
      <c r="P77" s="14"/>
      <c r="T77" s="124"/>
      <c r="U77" s="124"/>
      <c r="V77" s="124"/>
      <c r="W77" s="124"/>
    </row>
    <row r="78" spans="2:23" ht="12.75">
      <c r="B78" s="13"/>
      <c r="C78" s="1"/>
      <c r="D78" s="1" t="s">
        <v>175</v>
      </c>
      <c r="E78" s="1"/>
      <c r="F78" s="25"/>
      <c r="G78" s="25"/>
      <c r="H78" s="1"/>
      <c r="I78" s="25"/>
      <c r="J78" s="34">
        <f>pers!I194</f>
        <v>0</v>
      </c>
      <c r="K78" s="34">
        <f>pers!J194</f>
        <v>0</v>
      </c>
      <c r="L78" s="34">
        <f>pers!K194</f>
        <v>0</v>
      </c>
      <c r="M78" s="34">
        <f>pers!L194</f>
        <v>0</v>
      </c>
      <c r="N78" s="34">
        <f>pers!M194</f>
        <v>0</v>
      </c>
      <c r="O78" s="330"/>
      <c r="P78" s="14"/>
      <c r="T78" s="124"/>
      <c r="U78" s="124"/>
      <c r="V78" s="124"/>
      <c r="W78" s="124"/>
    </row>
    <row r="79" spans="2:23" ht="12.75">
      <c r="B79" s="13"/>
      <c r="C79" s="1"/>
      <c r="D79" s="1" t="s">
        <v>171</v>
      </c>
      <c r="E79" s="1"/>
      <c r="F79" s="25"/>
      <c r="G79" s="25"/>
      <c r="H79" s="1"/>
      <c r="I79" s="25"/>
      <c r="J79" s="175">
        <v>0</v>
      </c>
      <c r="K79" s="235">
        <f>J79</f>
        <v>0</v>
      </c>
      <c r="L79" s="235">
        <f>K79</f>
        <v>0</v>
      </c>
      <c r="M79" s="235">
        <f>L79</f>
        <v>0</v>
      </c>
      <c r="N79" s="235">
        <f>M79</f>
        <v>0</v>
      </c>
      <c r="O79" s="330"/>
      <c r="P79" s="14"/>
      <c r="T79" s="124"/>
      <c r="U79" s="124"/>
      <c r="V79" s="124"/>
      <c r="W79" s="124"/>
    </row>
    <row r="80" spans="2:23" ht="12.75">
      <c r="B80" s="13"/>
      <c r="C80" s="1"/>
      <c r="D80" s="1" t="s">
        <v>176</v>
      </c>
      <c r="E80" s="1"/>
      <c r="F80" s="25"/>
      <c r="G80" s="25"/>
      <c r="H80" s="1"/>
      <c r="I80" s="25"/>
      <c r="J80" s="34">
        <f>pers!I192</f>
        <v>0</v>
      </c>
      <c r="K80" s="34">
        <f>pers!J192</f>
        <v>0</v>
      </c>
      <c r="L80" s="34">
        <f>pers!K192</f>
        <v>0</v>
      </c>
      <c r="M80" s="34">
        <f>pers!L192</f>
        <v>0</v>
      </c>
      <c r="N80" s="34">
        <f>pers!M192</f>
        <v>0</v>
      </c>
      <c r="O80" s="330"/>
      <c r="P80" s="14"/>
      <c r="T80" s="124"/>
      <c r="U80" s="124"/>
      <c r="V80" s="124"/>
      <c r="W80" s="124"/>
    </row>
    <row r="81" spans="2:23" ht="12.75">
      <c r="B81" s="13"/>
      <c r="C81" s="1"/>
      <c r="D81" s="1" t="s">
        <v>173</v>
      </c>
      <c r="E81" s="1"/>
      <c r="F81" s="25"/>
      <c r="G81" s="25"/>
      <c r="H81" s="1"/>
      <c r="I81" s="25"/>
      <c r="J81" s="175">
        <v>0</v>
      </c>
      <c r="K81" s="235">
        <f>J81</f>
        <v>0</v>
      </c>
      <c r="L81" s="235">
        <f>K81</f>
        <v>0</v>
      </c>
      <c r="M81" s="235">
        <f>L81</f>
        <v>0</v>
      </c>
      <c r="N81" s="235">
        <f>M81</f>
        <v>0</v>
      </c>
      <c r="O81" s="330"/>
      <c r="P81" s="14"/>
      <c r="T81" s="124"/>
      <c r="U81" s="124"/>
      <c r="V81" s="124"/>
      <c r="W81" s="124"/>
    </row>
    <row r="82" spans="2:23" ht="12.75">
      <c r="B82" s="13"/>
      <c r="C82" s="1"/>
      <c r="D82" s="1"/>
      <c r="E82" s="1"/>
      <c r="F82" s="25"/>
      <c r="G82" s="25"/>
      <c r="H82" s="1"/>
      <c r="I82" s="25"/>
      <c r="J82" s="25"/>
      <c r="K82" s="45"/>
      <c r="L82" s="4"/>
      <c r="M82" s="84"/>
      <c r="N82" s="84"/>
      <c r="O82" s="330"/>
      <c r="P82" s="14"/>
      <c r="T82" s="124"/>
      <c r="U82" s="124"/>
      <c r="V82" s="124"/>
      <c r="W82" s="124"/>
    </row>
    <row r="83" spans="2:23" ht="12.75">
      <c r="B83" s="13"/>
      <c r="C83" s="1"/>
      <c r="D83" s="3" t="s">
        <v>174</v>
      </c>
      <c r="E83" s="1"/>
      <c r="F83" s="25"/>
      <c r="G83" s="1"/>
      <c r="H83" s="1"/>
      <c r="I83" s="1"/>
      <c r="J83" s="205">
        <f>SUM(J76:J79)-SUM(J80:J81)</f>
        <v>124846.95000000001</v>
      </c>
      <c r="K83" s="205">
        <f>SUM(K76:K79)-SUM(K80:K81)</f>
        <v>118319.85</v>
      </c>
      <c r="L83" s="205">
        <f>SUM(L76:L79)-SUM(L80:L81)</f>
        <v>118319.85</v>
      </c>
      <c r="M83" s="205">
        <f>SUM(M76:M79)-SUM(M80:M81)</f>
        <v>118319.85</v>
      </c>
      <c r="N83" s="205">
        <f>SUM(N76:N79)-SUM(N80:N81)</f>
        <v>118319.85</v>
      </c>
      <c r="O83" s="330"/>
      <c r="P83" s="14"/>
      <c r="T83" s="124"/>
      <c r="U83" s="124"/>
      <c r="V83" s="124"/>
      <c r="W83" s="124"/>
    </row>
    <row r="84" spans="2:23" ht="12.75">
      <c r="B84" s="13"/>
      <c r="C84" s="1"/>
      <c r="D84" s="91"/>
      <c r="E84" s="1"/>
      <c r="F84" s="25"/>
      <c r="G84" s="25"/>
      <c r="H84" s="1"/>
      <c r="I84" s="25"/>
      <c r="J84" s="25"/>
      <c r="K84" s="45"/>
      <c r="L84" s="4"/>
      <c r="M84" s="84"/>
      <c r="N84" s="84"/>
      <c r="O84" s="330"/>
      <c r="P84" s="14"/>
      <c r="T84" s="124"/>
      <c r="U84" s="124"/>
      <c r="V84" s="124"/>
      <c r="W84" s="124"/>
    </row>
    <row r="85" spans="2:23" ht="12.75">
      <c r="B85" s="13"/>
      <c r="J85" s="134"/>
      <c r="K85" s="134"/>
      <c r="L85" s="134"/>
      <c r="M85" s="134"/>
      <c r="N85" s="134"/>
      <c r="P85" s="14"/>
      <c r="T85" s="124"/>
      <c r="U85" s="124"/>
      <c r="V85" s="124"/>
      <c r="W85" s="124"/>
    </row>
    <row r="86" spans="2:23" ht="12.75">
      <c r="B86" s="13"/>
      <c r="C86" s="151"/>
      <c r="D86" s="1"/>
      <c r="E86" s="1"/>
      <c r="F86" s="91"/>
      <c r="G86" s="152"/>
      <c r="H86" s="25"/>
      <c r="I86" s="152"/>
      <c r="J86" s="158"/>
      <c r="K86" s="158"/>
      <c r="L86" s="158"/>
      <c r="M86" s="158"/>
      <c r="N86" s="158"/>
      <c r="O86" s="1"/>
      <c r="P86" s="238"/>
      <c r="R86" s="99"/>
      <c r="T86" s="126"/>
      <c r="U86" s="126"/>
      <c r="V86" s="126"/>
      <c r="W86" s="126"/>
    </row>
    <row r="87" spans="2:23" ht="12.75">
      <c r="B87" s="13"/>
      <c r="C87" s="151"/>
      <c r="D87" s="2" t="s">
        <v>713</v>
      </c>
      <c r="E87" s="1"/>
      <c r="F87" s="1"/>
      <c r="G87" s="1"/>
      <c r="H87" s="234" t="s">
        <v>468</v>
      </c>
      <c r="I87" s="1"/>
      <c r="J87" s="181"/>
      <c r="K87" s="181"/>
      <c r="L87" s="181"/>
      <c r="M87" s="181"/>
      <c r="N87" s="181"/>
      <c r="O87" s="1"/>
      <c r="P87" s="238"/>
      <c r="R87" s="99"/>
      <c r="T87" s="126"/>
      <c r="U87" s="126"/>
      <c r="V87" s="126"/>
      <c r="W87" s="126"/>
    </row>
    <row r="88" spans="2:23" ht="12.75">
      <c r="B88" s="13"/>
      <c r="C88" s="151"/>
      <c r="D88" s="95"/>
      <c r="E88" s="1"/>
      <c r="F88" s="1"/>
      <c r="G88" s="1"/>
      <c r="H88" s="25"/>
      <c r="I88" s="1"/>
      <c r="J88" s="181"/>
      <c r="K88" s="181"/>
      <c r="L88" s="181"/>
      <c r="M88" s="181"/>
      <c r="N88" s="181"/>
      <c r="O88" s="1"/>
      <c r="P88" s="238"/>
      <c r="Q88" s="129"/>
      <c r="R88" s="129"/>
      <c r="T88" s="126"/>
      <c r="U88" s="126"/>
      <c r="V88" s="126"/>
      <c r="W88" s="126"/>
    </row>
    <row r="89" spans="2:23" ht="12.75">
      <c r="B89" s="13"/>
      <c r="C89" s="151"/>
      <c r="D89" s="26" t="s">
        <v>434</v>
      </c>
      <c r="E89" s="136"/>
      <c r="F89" s="136"/>
      <c r="G89" s="1"/>
      <c r="H89" s="27"/>
      <c r="I89" s="1"/>
      <c r="J89" s="138">
        <v>0</v>
      </c>
      <c r="K89" s="235">
        <f aca="true" t="shared" si="6" ref="K89:M98">J89</f>
        <v>0</v>
      </c>
      <c r="L89" s="235">
        <f t="shared" si="6"/>
        <v>0</v>
      </c>
      <c r="M89" s="235">
        <f t="shared" si="6"/>
        <v>0</v>
      </c>
      <c r="N89" s="235">
        <f aca="true" t="shared" si="7" ref="N89:N98">M89</f>
        <v>0</v>
      </c>
      <c r="O89" s="1"/>
      <c r="P89" s="238"/>
      <c r="Q89" s="129"/>
      <c r="R89" s="129"/>
      <c r="T89" s="126"/>
      <c r="U89" s="126"/>
      <c r="V89" s="126"/>
      <c r="W89" s="126"/>
    </row>
    <row r="90" spans="2:23" ht="12.75">
      <c r="B90" s="13"/>
      <c r="C90" s="151"/>
      <c r="D90" s="26" t="s">
        <v>435</v>
      </c>
      <c r="E90" s="136"/>
      <c r="F90" s="136"/>
      <c r="G90" s="1"/>
      <c r="H90" s="27"/>
      <c r="I90" s="1"/>
      <c r="J90" s="139">
        <v>0</v>
      </c>
      <c r="K90" s="235">
        <f t="shared" si="6"/>
        <v>0</v>
      </c>
      <c r="L90" s="235">
        <f t="shared" si="6"/>
        <v>0</v>
      </c>
      <c r="M90" s="235">
        <f t="shared" si="6"/>
        <v>0</v>
      </c>
      <c r="N90" s="235">
        <f t="shared" si="7"/>
        <v>0</v>
      </c>
      <c r="O90" s="1"/>
      <c r="P90" s="238"/>
      <c r="Q90" s="129"/>
      <c r="R90" s="129"/>
      <c r="T90" s="126"/>
      <c r="U90" s="126"/>
      <c r="V90" s="126"/>
      <c r="W90" s="126"/>
    </row>
    <row r="91" spans="2:23" ht="12.75">
      <c r="B91" s="13"/>
      <c r="C91" s="151"/>
      <c r="D91" s="26" t="s">
        <v>436</v>
      </c>
      <c r="E91" s="136"/>
      <c r="F91" s="136"/>
      <c r="G91" s="1"/>
      <c r="H91" s="27"/>
      <c r="I91" s="1"/>
      <c r="J91" s="138">
        <v>0</v>
      </c>
      <c r="K91" s="235">
        <f t="shared" si="6"/>
        <v>0</v>
      </c>
      <c r="L91" s="235">
        <f t="shared" si="6"/>
        <v>0</v>
      </c>
      <c r="M91" s="235">
        <f t="shared" si="6"/>
        <v>0</v>
      </c>
      <c r="N91" s="235">
        <f t="shared" si="7"/>
        <v>0</v>
      </c>
      <c r="O91" s="1"/>
      <c r="P91" s="238"/>
      <c r="Q91" s="129"/>
      <c r="R91" s="129"/>
      <c r="T91" s="126"/>
      <c r="U91" s="126"/>
      <c r="V91" s="126"/>
      <c r="W91" s="126"/>
    </row>
    <row r="92" spans="2:23" ht="12.75">
      <c r="B92" s="13"/>
      <c r="C92" s="151"/>
      <c r="D92" s="26" t="s">
        <v>437</v>
      </c>
      <c r="E92" s="136"/>
      <c r="F92" s="136"/>
      <c r="G92" s="1"/>
      <c r="H92" s="27"/>
      <c r="I92" s="1"/>
      <c r="J92" s="138">
        <v>0</v>
      </c>
      <c r="K92" s="235">
        <f t="shared" si="6"/>
        <v>0</v>
      </c>
      <c r="L92" s="235">
        <f t="shared" si="6"/>
        <v>0</v>
      </c>
      <c r="M92" s="235">
        <f t="shared" si="6"/>
        <v>0</v>
      </c>
      <c r="N92" s="235">
        <f t="shared" si="7"/>
        <v>0</v>
      </c>
      <c r="O92" s="1"/>
      <c r="P92" s="238"/>
      <c r="Q92" s="129"/>
      <c r="R92" s="129"/>
      <c r="T92" s="126"/>
      <c r="U92" s="126"/>
      <c r="V92" s="126"/>
      <c r="W92" s="126"/>
    </row>
    <row r="93" spans="2:23" ht="12.75">
      <c r="B93" s="13"/>
      <c r="C93" s="151"/>
      <c r="D93" s="26" t="s">
        <v>438</v>
      </c>
      <c r="E93" s="136"/>
      <c r="F93" s="136"/>
      <c r="G93" s="1"/>
      <c r="H93" s="27"/>
      <c r="I93" s="1"/>
      <c r="J93" s="138">
        <v>0</v>
      </c>
      <c r="K93" s="235">
        <f t="shared" si="6"/>
        <v>0</v>
      </c>
      <c r="L93" s="235">
        <f t="shared" si="6"/>
        <v>0</v>
      </c>
      <c r="M93" s="235">
        <f t="shared" si="6"/>
        <v>0</v>
      </c>
      <c r="N93" s="235">
        <f t="shared" si="7"/>
        <v>0</v>
      </c>
      <c r="O93" s="1"/>
      <c r="P93" s="238"/>
      <c r="Q93" s="129"/>
      <c r="R93" s="129"/>
      <c r="T93" s="126"/>
      <c r="U93" s="126"/>
      <c r="V93" s="126"/>
      <c r="W93" s="126"/>
    </row>
    <row r="94" spans="2:23" ht="12.75">
      <c r="B94" s="13"/>
      <c r="C94" s="1"/>
      <c r="D94" s="480" t="s">
        <v>439</v>
      </c>
      <c r="E94" s="136"/>
      <c r="F94" s="136"/>
      <c r="G94" s="1"/>
      <c r="H94" s="27"/>
      <c r="I94" s="1"/>
      <c r="J94" s="138">
        <v>0</v>
      </c>
      <c r="K94" s="235">
        <f t="shared" si="6"/>
        <v>0</v>
      </c>
      <c r="L94" s="235">
        <f t="shared" si="6"/>
        <v>0</v>
      </c>
      <c r="M94" s="235">
        <f t="shared" si="6"/>
        <v>0</v>
      </c>
      <c r="N94" s="235">
        <f t="shared" si="7"/>
        <v>0</v>
      </c>
      <c r="O94" s="1"/>
      <c r="P94" s="14"/>
      <c r="T94" s="126"/>
      <c r="U94" s="126"/>
      <c r="V94" s="126"/>
      <c r="W94" s="126"/>
    </row>
    <row r="95" spans="2:23" ht="12.75">
      <c r="B95" s="13"/>
      <c r="C95" s="1"/>
      <c r="D95" s="26" t="s">
        <v>440</v>
      </c>
      <c r="E95" s="136"/>
      <c r="F95" s="136"/>
      <c r="G95" s="1"/>
      <c r="H95" s="27"/>
      <c r="I95" s="1"/>
      <c r="J95" s="138">
        <v>0</v>
      </c>
      <c r="K95" s="235">
        <f t="shared" si="6"/>
        <v>0</v>
      </c>
      <c r="L95" s="235">
        <f t="shared" si="6"/>
        <v>0</v>
      </c>
      <c r="M95" s="235">
        <f t="shared" si="6"/>
        <v>0</v>
      </c>
      <c r="N95" s="235">
        <f t="shared" si="7"/>
        <v>0</v>
      </c>
      <c r="O95" s="1"/>
      <c r="P95" s="14"/>
      <c r="Q95" s="127"/>
      <c r="T95" s="126"/>
      <c r="U95" s="126"/>
      <c r="V95" s="126"/>
      <c r="W95" s="126"/>
    </row>
    <row r="96" spans="2:23" ht="12.75">
      <c r="B96" s="13"/>
      <c r="C96" s="151"/>
      <c r="D96" s="26" t="s">
        <v>441</v>
      </c>
      <c r="E96" s="136"/>
      <c r="F96" s="136"/>
      <c r="G96" s="1"/>
      <c r="H96" s="27"/>
      <c r="I96" s="1"/>
      <c r="J96" s="138">
        <v>0</v>
      </c>
      <c r="K96" s="235">
        <f t="shared" si="6"/>
        <v>0</v>
      </c>
      <c r="L96" s="235">
        <f t="shared" si="6"/>
        <v>0</v>
      </c>
      <c r="M96" s="235">
        <f t="shared" si="6"/>
        <v>0</v>
      </c>
      <c r="N96" s="235">
        <f t="shared" si="7"/>
        <v>0</v>
      </c>
      <c r="O96" s="1"/>
      <c r="P96" s="238"/>
      <c r="R96" s="99"/>
      <c r="T96" s="126"/>
      <c r="U96" s="126"/>
      <c r="V96" s="126"/>
      <c r="W96" s="126"/>
    </row>
    <row r="97" spans="2:40" ht="12.75">
      <c r="B97" s="13"/>
      <c r="C97" s="151"/>
      <c r="D97" s="26" t="s">
        <v>442</v>
      </c>
      <c r="E97" s="136"/>
      <c r="F97" s="136"/>
      <c r="G97" s="1"/>
      <c r="H97" s="27"/>
      <c r="I97" s="1"/>
      <c r="J97" s="138">
        <v>0</v>
      </c>
      <c r="K97" s="235">
        <f t="shared" si="6"/>
        <v>0</v>
      </c>
      <c r="L97" s="235">
        <f t="shared" si="6"/>
        <v>0</v>
      </c>
      <c r="M97" s="235">
        <f t="shared" si="6"/>
        <v>0</v>
      </c>
      <c r="N97" s="235">
        <f t="shared" si="7"/>
        <v>0</v>
      </c>
      <c r="O97" s="1"/>
      <c r="P97" s="238"/>
      <c r="R97" s="99"/>
      <c r="T97" s="126"/>
      <c r="U97" s="126"/>
      <c r="V97" s="126"/>
      <c r="W97" s="126"/>
      <c r="AN97" s="36"/>
    </row>
    <row r="98" spans="2:23" ht="12.75">
      <c r="B98" s="13"/>
      <c r="C98" s="151"/>
      <c r="D98" s="26" t="s">
        <v>443</v>
      </c>
      <c r="E98" s="136"/>
      <c r="F98" s="136"/>
      <c r="G98" s="1"/>
      <c r="H98" s="27"/>
      <c r="I98" s="1"/>
      <c r="J98" s="138">
        <v>0</v>
      </c>
      <c r="K98" s="235">
        <f t="shared" si="6"/>
        <v>0</v>
      </c>
      <c r="L98" s="235">
        <f t="shared" si="6"/>
        <v>0</v>
      </c>
      <c r="M98" s="235">
        <f t="shared" si="6"/>
        <v>0</v>
      </c>
      <c r="N98" s="235">
        <f t="shared" si="7"/>
        <v>0</v>
      </c>
      <c r="O98" s="1"/>
      <c r="P98" s="238"/>
      <c r="Q98" s="129"/>
      <c r="R98" s="129"/>
      <c r="T98" s="126"/>
      <c r="U98" s="126"/>
      <c r="V98" s="126"/>
      <c r="W98" s="126"/>
    </row>
    <row r="99" spans="2:23" ht="12.75">
      <c r="B99" s="13"/>
      <c r="C99" s="151"/>
      <c r="D99" s="443"/>
      <c r="E99" s="444"/>
      <c r="F99" s="444"/>
      <c r="G99" s="1"/>
      <c r="H99" s="445"/>
      <c r="I99" s="1"/>
      <c r="J99" s="446"/>
      <c r="K99" s="446"/>
      <c r="L99" s="446"/>
      <c r="M99" s="446"/>
      <c r="N99" s="446"/>
      <c r="O99" s="1"/>
      <c r="P99" s="238"/>
      <c r="Q99" s="129"/>
      <c r="R99" s="129"/>
      <c r="T99" s="126"/>
      <c r="U99" s="126"/>
      <c r="V99" s="126"/>
      <c r="W99" s="126"/>
    </row>
    <row r="100" spans="2:23" ht="12.75">
      <c r="B100" s="13"/>
      <c r="C100" s="95"/>
      <c r="D100" s="2" t="s">
        <v>700</v>
      </c>
      <c r="E100" s="1"/>
      <c r="F100" s="1"/>
      <c r="G100" s="1"/>
      <c r="H100" s="4"/>
      <c r="I100" s="1"/>
      <c r="J100" s="177">
        <f>SUM(J89:J98)</f>
        <v>0</v>
      </c>
      <c r="K100" s="177">
        <f>SUM(K89:K98)</f>
        <v>0</v>
      </c>
      <c r="L100" s="177">
        <f>SUM(L89:L98)</f>
        <v>0</v>
      </c>
      <c r="M100" s="177">
        <f>SUM(M89:M98)</f>
        <v>0</v>
      </c>
      <c r="N100" s="177">
        <f>SUM(N89:N98)</f>
        <v>0</v>
      </c>
      <c r="O100" s="1"/>
      <c r="P100" s="447"/>
      <c r="R100" s="99"/>
      <c r="T100" s="126"/>
      <c r="U100" s="126"/>
      <c r="V100" s="126"/>
      <c r="W100" s="126"/>
    </row>
    <row r="101" spans="2:23" ht="12.75">
      <c r="B101" s="13"/>
      <c r="C101" s="151"/>
      <c r="D101" s="87"/>
      <c r="E101" s="92"/>
      <c r="F101" s="92"/>
      <c r="G101" s="152"/>
      <c r="H101" s="25"/>
      <c r="I101" s="152"/>
      <c r="J101" s="152"/>
      <c r="K101" s="152"/>
      <c r="L101" s="152"/>
      <c r="M101" s="1"/>
      <c r="N101" s="1"/>
      <c r="O101" s="1"/>
      <c r="P101" s="238"/>
      <c r="Q101" s="129"/>
      <c r="R101" s="129"/>
      <c r="T101" s="126"/>
      <c r="U101" s="126"/>
      <c r="V101" s="126"/>
      <c r="W101" s="126"/>
    </row>
    <row r="102" spans="2:16" ht="12.75" customHeight="1">
      <c r="B102" s="13"/>
      <c r="D102" s="99"/>
      <c r="F102" s="8"/>
      <c r="G102" s="8"/>
      <c r="H102" s="7"/>
      <c r="I102" s="8"/>
      <c r="J102" s="8"/>
      <c r="K102" s="46"/>
      <c r="L102" s="47"/>
      <c r="M102" s="122"/>
      <c r="N102" s="122"/>
      <c r="P102" s="14"/>
    </row>
    <row r="103" spans="2:16" ht="12.75" customHeight="1">
      <c r="B103" s="13"/>
      <c r="D103" s="99"/>
      <c r="F103" s="8"/>
      <c r="G103" s="8"/>
      <c r="H103" s="7"/>
      <c r="I103" s="8"/>
      <c r="J103" s="8"/>
      <c r="K103" s="46"/>
      <c r="L103" s="47"/>
      <c r="M103" s="122"/>
      <c r="N103" s="122"/>
      <c r="P103" s="14"/>
    </row>
    <row r="104" spans="2:16" ht="12.75" customHeight="1">
      <c r="B104" s="13"/>
      <c r="C104" s="1"/>
      <c r="D104" s="91"/>
      <c r="E104" s="1"/>
      <c r="F104" s="25"/>
      <c r="G104" s="25"/>
      <c r="H104" s="1"/>
      <c r="I104" s="25"/>
      <c r="J104" s="25"/>
      <c r="K104" s="45"/>
      <c r="L104" s="4"/>
      <c r="M104" s="84"/>
      <c r="N104" s="84"/>
      <c r="O104" s="330"/>
      <c r="P104" s="14"/>
    </row>
    <row r="105" spans="2:16" ht="12.75" customHeight="1">
      <c r="B105" s="13"/>
      <c r="C105" s="1"/>
      <c r="D105" s="2" t="s">
        <v>280</v>
      </c>
      <c r="E105" s="1"/>
      <c r="F105" s="25"/>
      <c r="G105" s="1"/>
      <c r="H105" s="1"/>
      <c r="I105" s="1"/>
      <c r="J105" s="43">
        <f>J83-J100</f>
        <v>124846.95000000001</v>
      </c>
      <c r="K105" s="43">
        <f>K83-K100</f>
        <v>118319.85</v>
      </c>
      <c r="L105" s="43">
        <f>L83-L100</f>
        <v>118319.85</v>
      </c>
      <c r="M105" s="43">
        <f>M83-M100</f>
        <v>118319.85</v>
      </c>
      <c r="N105" s="43">
        <f>N83-N100</f>
        <v>118319.85</v>
      </c>
      <c r="O105" s="330"/>
      <c r="P105" s="14"/>
    </row>
    <row r="106" spans="2:16" ht="12.75" customHeight="1">
      <c r="B106" s="13"/>
      <c r="C106" s="1"/>
      <c r="D106" s="91"/>
      <c r="E106" s="1"/>
      <c r="F106" s="25"/>
      <c r="G106" s="25"/>
      <c r="H106" s="1"/>
      <c r="I106" s="25"/>
      <c r="J106" s="25"/>
      <c r="K106" s="45"/>
      <c r="L106" s="4"/>
      <c r="M106" s="84"/>
      <c r="N106" s="84"/>
      <c r="O106" s="330"/>
      <c r="P106" s="14"/>
    </row>
    <row r="107" spans="2:16" ht="12.75" customHeight="1">
      <c r="B107" s="13"/>
      <c r="D107" s="99"/>
      <c r="F107" s="8"/>
      <c r="G107" s="8"/>
      <c r="H107" s="7"/>
      <c r="I107" s="8"/>
      <c r="J107" s="8"/>
      <c r="K107" s="46"/>
      <c r="L107" s="47"/>
      <c r="M107" s="122"/>
      <c r="N107" s="122"/>
      <c r="P107" s="14"/>
    </row>
    <row r="108" spans="2:23" ht="13.5" thickBot="1">
      <c r="B108" s="48"/>
      <c r="C108" s="49"/>
      <c r="D108" s="49"/>
      <c r="E108" s="72"/>
      <c r="F108" s="169"/>
      <c r="G108" s="49"/>
      <c r="H108" s="50"/>
      <c r="I108" s="49"/>
      <c r="J108" s="49"/>
      <c r="K108" s="49"/>
      <c r="L108" s="49"/>
      <c r="M108" s="49"/>
      <c r="N108" s="49"/>
      <c r="O108" s="49"/>
      <c r="P108" s="51"/>
      <c r="Q108" s="36"/>
      <c r="R108" s="122"/>
      <c r="T108" s="133"/>
      <c r="U108" s="133"/>
      <c r="V108" s="133"/>
      <c r="W108" s="133"/>
    </row>
    <row r="109" spans="5:12" ht="12.75">
      <c r="E109" s="36"/>
      <c r="F109" s="122"/>
      <c r="G109" s="133"/>
      <c r="I109" s="133"/>
      <c r="J109" s="133"/>
      <c r="K109" s="133"/>
      <c r="L109" s="133"/>
    </row>
    <row r="110" spans="5:12" ht="12.75">
      <c r="E110" s="36"/>
      <c r="F110" s="122"/>
      <c r="G110" s="88"/>
      <c r="I110" s="88"/>
      <c r="J110" s="88"/>
      <c r="K110" s="88"/>
      <c r="L110" s="88"/>
    </row>
    <row r="111" spans="5:12" ht="12.75">
      <c r="E111" s="36"/>
      <c r="F111" s="122"/>
      <c r="G111" s="133"/>
      <c r="I111" s="133"/>
      <c r="J111" s="133"/>
      <c r="K111" s="133"/>
      <c r="L111" s="133"/>
    </row>
    <row r="113" spans="6:12" ht="12.75">
      <c r="F113" s="67"/>
      <c r="G113" s="124"/>
      <c r="H113" s="47"/>
      <c r="I113" s="124"/>
      <c r="J113" s="124"/>
      <c r="K113" s="124"/>
      <c r="L113" s="124"/>
    </row>
    <row r="114" spans="4:14" ht="12.75">
      <c r="D114" s="36" t="s">
        <v>319</v>
      </c>
      <c r="F114" s="67"/>
      <c r="G114" s="124"/>
      <c r="H114" s="47"/>
      <c r="I114" s="124"/>
      <c r="J114" s="124"/>
      <c r="K114" s="341">
        <f>tabel!D4</f>
        <v>2010</v>
      </c>
      <c r="L114" s="341">
        <f>tabel!E4</f>
        <v>2011</v>
      </c>
      <c r="M114" s="341">
        <f>tabel!F4</f>
        <v>2012</v>
      </c>
      <c r="N114" s="341">
        <f>tabel!G4</f>
        <v>2013</v>
      </c>
    </row>
    <row r="115" spans="6:12" ht="12.75">
      <c r="F115" s="122"/>
      <c r="G115" s="133"/>
      <c r="I115" s="133"/>
      <c r="J115" s="133"/>
      <c r="K115" s="133"/>
      <c r="L115" s="133"/>
    </row>
    <row r="116" spans="4:14" ht="12.75">
      <c r="D116" s="7" t="s">
        <v>282</v>
      </c>
      <c r="G116" s="124"/>
      <c r="I116" s="124"/>
      <c r="J116" s="124"/>
      <c r="K116" s="124">
        <f>7/12*J49+5/12*K49</f>
        <v>122127.32500000001</v>
      </c>
      <c r="L116" s="124">
        <f>7/12*K49+5/12*L49</f>
        <v>118319.85</v>
      </c>
      <c r="M116" s="124">
        <f>7/12*L49+5/12*M49</f>
        <v>118319.85</v>
      </c>
      <c r="N116" s="124">
        <f>7/12*M49+5/12*N49</f>
        <v>118319.85</v>
      </c>
    </row>
    <row r="117" spans="4:14" ht="12.75">
      <c r="D117" s="7" t="s">
        <v>320</v>
      </c>
      <c r="G117" s="124"/>
      <c r="I117" s="124"/>
      <c r="J117" s="124"/>
      <c r="K117" s="124">
        <f>7/12*J59+5/12*K59</f>
        <v>0</v>
      </c>
      <c r="L117" s="124">
        <f>7/12*K59+5/12*L59</f>
        <v>0</v>
      </c>
      <c r="M117" s="124">
        <f>7/12*L59+5/12*M59</f>
        <v>0</v>
      </c>
      <c r="N117" s="124">
        <f>7/12*M59+5/12*N59</f>
        <v>0</v>
      </c>
    </row>
    <row r="118" spans="4:14" ht="12.75">
      <c r="D118" s="7" t="s">
        <v>248</v>
      </c>
      <c r="G118" s="124"/>
      <c r="I118" s="124"/>
      <c r="J118" s="124"/>
      <c r="K118" s="124">
        <f aca="true" t="shared" si="8" ref="K118:N120">7/12*J65+5/12*K65</f>
        <v>0</v>
      </c>
      <c r="L118" s="124">
        <f t="shared" si="8"/>
        <v>0</v>
      </c>
      <c r="M118" s="124">
        <f t="shared" si="8"/>
        <v>0</v>
      </c>
      <c r="N118" s="124">
        <f t="shared" si="8"/>
        <v>0</v>
      </c>
    </row>
    <row r="119" spans="4:14" ht="12.75">
      <c r="D119" s="7" t="s">
        <v>613</v>
      </c>
      <c r="G119" s="124"/>
      <c r="I119" s="124"/>
      <c r="J119" s="124"/>
      <c r="K119" s="124">
        <f t="shared" si="8"/>
        <v>0</v>
      </c>
      <c r="L119" s="124">
        <f t="shared" si="8"/>
        <v>0</v>
      </c>
      <c r="M119" s="124">
        <f t="shared" si="8"/>
        <v>0</v>
      </c>
      <c r="N119" s="124">
        <f t="shared" si="8"/>
        <v>0</v>
      </c>
    </row>
    <row r="120" spans="4:14" ht="12.75">
      <c r="D120" s="7" t="s">
        <v>615</v>
      </c>
      <c r="G120" s="124"/>
      <c r="I120" s="124"/>
      <c r="J120" s="124"/>
      <c r="K120" s="124">
        <f t="shared" si="8"/>
        <v>0</v>
      </c>
      <c r="L120" s="124">
        <f t="shared" si="8"/>
        <v>0</v>
      </c>
      <c r="M120" s="124">
        <f t="shared" si="8"/>
        <v>0</v>
      </c>
      <c r="N120" s="124">
        <f t="shared" si="8"/>
        <v>0</v>
      </c>
    </row>
    <row r="121" spans="4:14" ht="12.75">
      <c r="D121" s="7" t="s">
        <v>321</v>
      </c>
      <c r="E121" s="99"/>
      <c r="G121" s="124"/>
      <c r="I121" s="124"/>
      <c r="J121" s="124"/>
      <c r="K121" s="124">
        <f>7/12*J72+5/12*K72-K118</f>
        <v>0</v>
      </c>
      <c r="L121" s="124">
        <f>7/12*K72+5/12*L72-L118</f>
        <v>0</v>
      </c>
      <c r="M121" s="124">
        <f>7/12*L72+5/12*M72-M118</f>
        <v>0</v>
      </c>
      <c r="N121" s="124">
        <f>7/12*M72+5/12*N72-N118</f>
        <v>0</v>
      </c>
    </row>
    <row r="122" spans="4:14" ht="12.75">
      <c r="D122" s="7" t="s">
        <v>713</v>
      </c>
      <c r="E122" s="99"/>
      <c r="G122" s="124"/>
      <c r="I122" s="124"/>
      <c r="J122" s="124"/>
      <c r="K122" s="124">
        <f>7/12*J100+5/12*K100</f>
        <v>0</v>
      </c>
      <c r="L122" s="124">
        <f>7/12*K100+5/12*L100</f>
        <v>0</v>
      </c>
      <c r="M122" s="124">
        <f>7/12*L100+5/12*M100</f>
        <v>0</v>
      </c>
      <c r="N122" s="124">
        <f>7/12*M100+5/12*N100</f>
        <v>0</v>
      </c>
    </row>
    <row r="123" spans="4:14" ht="12.75">
      <c r="D123" s="7" t="s">
        <v>322</v>
      </c>
      <c r="E123" s="99"/>
      <c r="G123" s="124"/>
      <c r="I123" s="124"/>
      <c r="J123" s="124"/>
      <c r="K123" s="124">
        <f>7/12*J46+5/12*K46</f>
        <v>0</v>
      </c>
      <c r="L123" s="124">
        <f>7/12*K46+5/12*L46</f>
        <v>0</v>
      </c>
      <c r="M123" s="124">
        <f>7/12*L46+5/12*M46</f>
        <v>0</v>
      </c>
      <c r="N123" s="124">
        <f>7/12*M46+5/12*N46</f>
        <v>0</v>
      </c>
    </row>
    <row r="124" spans="4:12" ht="12.75">
      <c r="D124" s="99"/>
      <c r="E124" s="99"/>
      <c r="G124" s="124"/>
      <c r="I124" s="124"/>
      <c r="J124" s="124"/>
      <c r="K124" s="124"/>
      <c r="L124" s="124"/>
    </row>
    <row r="125" spans="4:12" ht="12.75">
      <c r="D125" s="99"/>
      <c r="E125" s="99"/>
      <c r="G125" s="124"/>
      <c r="I125" s="124"/>
      <c r="J125" s="124"/>
      <c r="K125" s="124"/>
      <c r="L125" s="124"/>
    </row>
    <row r="126" spans="4:12" ht="12.75">
      <c r="D126" s="99"/>
      <c r="E126" s="99"/>
      <c r="G126" s="124"/>
      <c r="I126" s="124"/>
      <c r="J126" s="124"/>
      <c r="K126" s="124"/>
      <c r="L126" s="124"/>
    </row>
    <row r="127" spans="3:12" ht="12.75">
      <c r="C127" s="8"/>
      <c r="G127" s="124"/>
      <c r="I127" s="124"/>
      <c r="J127" s="124"/>
      <c r="K127" s="124"/>
      <c r="L127" s="124"/>
    </row>
    <row r="128" spans="7:12" ht="12.75">
      <c r="G128" s="133"/>
      <c r="I128" s="133"/>
      <c r="J128" s="133"/>
      <c r="K128" s="133"/>
      <c r="L128" s="133"/>
    </row>
    <row r="129" spans="7:12" ht="12.75">
      <c r="G129" s="124"/>
      <c r="I129" s="124"/>
      <c r="J129" s="124"/>
      <c r="K129" s="124"/>
      <c r="L129" s="124"/>
    </row>
    <row r="130" spans="7:12" ht="12.75">
      <c r="G130" s="124"/>
      <c r="I130" s="124"/>
      <c r="J130" s="124"/>
      <c r="K130" s="124"/>
      <c r="L130" s="124"/>
    </row>
    <row r="131" spans="7:12" ht="12.75">
      <c r="G131" s="124"/>
      <c r="I131" s="124"/>
      <c r="J131" s="124"/>
      <c r="K131" s="124"/>
      <c r="L131" s="124"/>
    </row>
    <row r="132" spans="7:12" ht="12.75">
      <c r="G132" s="144"/>
      <c r="I132" s="144"/>
      <c r="J132" s="144"/>
      <c r="K132" s="144"/>
      <c r="L132" s="144"/>
    </row>
    <row r="133" spans="6:12" ht="12.75">
      <c r="F133" s="147"/>
      <c r="G133" s="124"/>
      <c r="I133" s="124"/>
      <c r="J133" s="124"/>
      <c r="K133" s="124"/>
      <c r="L133" s="124"/>
    </row>
    <row r="134" spans="7:12" ht="12.75">
      <c r="G134" s="130"/>
      <c r="I134" s="130"/>
      <c r="J134" s="124"/>
      <c r="K134" s="124"/>
      <c r="L134" s="124"/>
    </row>
    <row r="135" spans="7:12" ht="12.75">
      <c r="G135" s="130"/>
      <c r="I135" s="130"/>
      <c r="J135" s="124"/>
      <c r="K135" s="124"/>
      <c r="L135" s="124"/>
    </row>
    <row r="136" spans="7:12" ht="12.75">
      <c r="G136" s="130"/>
      <c r="I136" s="130"/>
      <c r="J136" s="130"/>
      <c r="K136" s="130"/>
      <c r="L136" s="130"/>
    </row>
    <row r="137" spans="7:12" ht="12.75">
      <c r="G137" s="130"/>
      <c r="I137" s="130"/>
      <c r="J137" s="130"/>
      <c r="K137" s="130"/>
      <c r="L137" s="130"/>
    </row>
    <row r="138" spans="7:12" ht="12.75">
      <c r="G138" s="134"/>
      <c r="I138" s="134"/>
      <c r="J138" s="134"/>
      <c r="K138" s="134"/>
      <c r="L138" s="134"/>
    </row>
    <row r="139" spans="7:12" ht="12.75">
      <c r="G139" s="134"/>
      <c r="I139" s="134"/>
      <c r="J139" s="134"/>
      <c r="K139" s="134"/>
      <c r="L139" s="134"/>
    </row>
    <row r="140" spans="7:12" ht="12.75">
      <c r="G140" s="134"/>
      <c r="I140" s="134"/>
      <c r="J140" s="134"/>
      <c r="K140" s="134"/>
      <c r="L140" s="134"/>
    </row>
    <row r="141" spans="7:12" ht="12.75">
      <c r="G141" s="134"/>
      <c r="I141" s="134"/>
      <c r="J141" s="134"/>
      <c r="K141" s="134"/>
      <c r="L141" s="134"/>
    </row>
    <row r="142" spans="7:12" ht="12.75">
      <c r="G142" s="134"/>
      <c r="I142" s="134"/>
      <c r="J142" s="134"/>
      <c r="K142" s="134"/>
      <c r="L142" s="134"/>
    </row>
    <row r="143" spans="7:12" ht="12.75">
      <c r="G143" s="110"/>
      <c r="I143" s="110"/>
      <c r="J143" s="110"/>
      <c r="K143" s="110"/>
      <c r="L143" s="110"/>
    </row>
    <row r="144" spans="7:12" ht="12.75">
      <c r="G144" s="130"/>
      <c r="I144" s="130"/>
      <c r="J144" s="130"/>
      <c r="K144" s="130"/>
      <c r="L144" s="130"/>
    </row>
    <row r="145" spans="4:12" ht="12.75">
      <c r="D145" s="127"/>
      <c r="E145" s="127"/>
      <c r="F145" s="127"/>
      <c r="G145" s="135"/>
      <c r="H145" s="229"/>
      <c r="I145" s="135"/>
      <c r="J145" s="135"/>
      <c r="K145" s="135"/>
      <c r="L145" s="135"/>
    </row>
    <row r="146" spans="7:12" ht="12.75">
      <c r="G146" s="124"/>
      <c r="I146" s="124"/>
      <c r="J146" s="124"/>
      <c r="K146" s="124"/>
      <c r="L146" s="124"/>
    </row>
    <row r="147" spans="7:12" ht="12.75">
      <c r="G147" s="124"/>
      <c r="I147" s="124"/>
      <c r="J147" s="124"/>
      <c r="K147" s="124"/>
      <c r="L147" s="124"/>
    </row>
    <row r="148" spans="7:12" ht="12.75">
      <c r="G148" s="124"/>
      <c r="I148" s="124"/>
      <c r="J148" s="124"/>
      <c r="K148" s="124"/>
      <c r="L148" s="124"/>
    </row>
    <row r="149" spans="7:12" ht="12.75">
      <c r="G149" s="124"/>
      <c r="I149" s="124"/>
      <c r="J149" s="124"/>
      <c r="K149" s="124"/>
      <c r="L149" s="124"/>
    </row>
    <row r="150" spans="7:12" ht="12.75">
      <c r="G150" s="124"/>
      <c r="I150" s="124"/>
      <c r="J150" s="124"/>
      <c r="K150" s="124"/>
      <c r="L150" s="124"/>
    </row>
    <row r="151" spans="6:12" ht="12.75">
      <c r="F151" s="122"/>
      <c r="G151" s="135"/>
      <c r="I151" s="135"/>
      <c r="J151" s="135"/>
      <c r="K151" s="135"/>
      <c r="L151" s="135"/>
    </row>
    <row r="152" spans="7:12" ht="12.75">
      <c r="G152" s="124"/>
      <c r="I152" s="124"/>
      <c r="J152" s="124"/>
      <c r="K152" s="124"/>
      <c r="L152" s="124"/>
    </row>
    <row r="153" spans="7:12" ht="12.75">
      <c r="G153" s="124"/>
      <c r="I153" s="124"/>
      <c r="J153" s="124"/>
      <c r="K153" s="124"/>
      <c r="L153" s="124"/>
    </row>
    <row r="154" spans="7:12" ht="12.75">
      <c r="G154" s="124"/>
      <c r="I154" s="124"/>
      <c r="J154" s="124"/>
      <c r="K154" s="124"/>
      <c r="L154" s="124"/>
    </row>
    <row r="155" spans="7:12" ht="12.75">
      <c r="G155" s="124"/>
      <c r="I155" s="124"/>
      <c r="J155" s="124"/>
      <c r="K155" s="124"/>
      <c r="L155" s="124"/>
    </row>
    <row r="156" spans="7:12" ht="12.75">
      <c r="G156" s="124"/>
      <c r="I156" s="124"/>
      <c r="J156" s="124"/>
      <c r="K156" s="124"/>
      <c r="L156" s="124"/>
    </row>
    <row r="157" spans="7:12" ht="12.75">
      <c r="G157" s="124"/>
      <c r="I157" s="124"/>
      <c r="J157" s="124"/>
      <c r="K157" s="124"/>
      <c r="L157" s="124"/>
    </row>
    <row r="158" spans="7:12" ht="12.75">
      <c r="G158" s="124"/>
      <c r="I158" s="124"/>
      <c r="J158" s="124"/>
      <c r="K158" s="124"/>
      <c r="L158" s="124"/>
    </row>
    <row r="159" spans="7:12" ht="12.75">
      <c r="G159" s="124"/>
      <c r="I159" s="124"/>
      <c r="J159" s="124"/>
      <c r="K159" s="124"/>
      <c r="L159" s="124"/>
    </row>
    <row r="160" spans="7:12" ht="12.75">
      <c r="G160" s="124"/>
      <c r="I160" s="124"/>
      <c r="J160" s="124"/>
      <c r="K160" s="124"/>
      <c r="L160" s="124"/>
    </row>
    <row r="161" spans="7:12" ht="12.75">
      <c r="G161" s="124"/>
      <c r="I161" s="124"/>
      <c r="J161" s="124"/>
      <c r="K161" s="124"/>
      <c r="L161" s="124"/>
    </row>
    <row r="162" spans="7:12" ht="12.75">
      <c r="G162" s="124"/>
      <c r="I162" s="124"/>
      <c r="J162" s="124"/>
      <c r="K162" s="124"/>
      <c r="L162" s="124"/>
    </row>
    <row r="163" spans="7:12" ht="12.75">
      <c r="G163" s="124"/>
      <c r="I163" s="124"/>
      <c r="J163" s="124"/>
      <c r="K163" s="124"/>
      <c r="L163" s="124"/>
    </row>
    <row r="164" spans="7:12" ht="12.75">
      <c r="G164" s="124"/>
      <c r="I164" s="124"/>
      <c r="J164" s="124"/>
      <c r="K164" s="124"/>
      <c r="L164" s="124"/>
    </row>
    <row r="165" spans="7:12" ht="12.75">
      <c r="G165" s="124"/>
      <c r="I165" s="124"/>
      <c r="J165" s="124"/>
      <c r="K165" s="124"/>
      <c r="L165" s="124"/>
    </row>
    <row r="166" spans="7:12" ht="12.75">
      <c r="G166" s="124"/>
      <c r="I166" s="124"/>
      <c r="J166" s="124"/>
      <c r="K166" s="124"/>
      <c r="L166" s="124"/>
    </row>
    <row r="167" spans="7:12" ht="12.75">
      <c r="G167" s="124"/>
      <c r="I167" s="124"/>
      <c r="J167" s="124"/>
      <c r="K167" s="124"/>
      <c r="L167" s="124"/>
    </row>
    <row r="168" spans="7:12" ht="12.75">
      <c r="G168" s="124"/>
      <c r="I168" s="124"/>
      <c r="J168" s="124"/>
      <c r="K168" s="124"/>
      <c r="L168" s="124"/>
    </row>
    <row r="169" spans="7:12" ht="12.75">
      <c r="G169" s="124"/>
      <c r="I169" s="124"/>
      <c r="J169" s="124"/>
      <c r="K169" s="124"/>
      <c r="L169" s="124"/>
    </row>
    <row r="170" spans="7:12" ht="12.75">
      <c r="G170" s="124"/>
      <c r="I170" s="124"/>
      <c r="J170" s="124"/>
      <c r="K170" s="124"/>
      <c r="L170" s="124"/>
    </row>
    <row r="171" spans="7:12" ht="12.75">
      <c r="G171" s="124"/>
      <c r="I171" s="124"/>
      <c r="J171" s="124"/>
      <c r="K171" s="124"/>
      <c r="L171" s="124"/>
    </row>
    <row r="172" spans="7:12" ht="12.75">
      <c r="G172" s="124"/>
      <c r="I172" s="124"/>
      <c r="J172" s="124"/>
      <c r="K172" s="124"/>
      <c r="L172" s="124"/>
    </row>
    <row r="173" spans="7:12" ht="12.75">
      <c r="G173" s="124"/>
      <c r="I173" s="124"/>
      <c r="J173" s="124"/>
      <c r="K173" s="124"/>
      <c r="L173" s="124"/>
    </row>
    <row r="174" spans="6:12" ht="12.75">
      <c r="F174" s="122"/>
      <c r="G174" s="133"/>
      <c r="I174" s="133"/>
      <c r="J174" s="133"/>
      <c r="K174" s="133"/>
      <c r="L174" s="133"/>
    </row>
    <row r="175" spans="6:12" ht="12.75">
      <c r="F175" s="122"/>
      <c r="G175" s="130"/>
      <c r="I175" s="130"/>
      <c r="J175" s="130"/>
      <c r="K175" s="130"/>
      <c r="L175" s="130"/>
    </row>
    <row r="176" spans="7:12" ht="12.75">
      <c r="G176" s="133"/>
      <c r="I176" s="133"/>
      <c r="J176" s="133"/>
      <c r="K176" s="133"/>
      <c r="L176" s="133"/>
    </row>
    <row r="180" spans="7:12" ht="12.75">
      <c r="G180" s="88"/>
      <c r="I180" s="88"/>
      <c r="J180" s="88"/>
      <c r="K180" s="88"/>
      <c r="L180" s="88"/>
    </row>
    <row r="181" spans="7:12" ht="12.75">
      <c r="G181" s="88"/>
      <c r="I181" s="88"/>
      <c r="J181" s="88"/>
      <c r="K181" s="88"/>
      <c r="L181" s="88"/>
    </row>
    <row r="182" spans="7:12" ht="12.75">
      <c r="G182" s="137"/>
      <c r="I182" s="137"/>
      <c r="J182" s="137"/>
      <c r="K182" s="137"/>
      <c r="L182" s="137"/>
    </row>
    <row r="183" spans="7:12" ht="12.75">
      <c r="G183" s="88"/>
      <c r="I183" s="88"/>
      <c r="J183" s="88"/>
      <c r="K183" s="88"/>
      <c r="L183" s="88"/>
    </row>
    <row r="184" spans="7:12" ht="12.75">
      <c r="G184" s="8"/>
      <c r="I184" s="8"/>
      <c r="J184" s="8"/>
      <c r="K184" s="8"/>
      <c r="L184" s="8"/>
    </row>
    <row r="185" spans="7:12" ht="12.75">
      <c r="G185" s="8"/>
      <c r="I185" s="8"/>
      <c r="J185" s="8"/>
      <c r="K185" s="8"/>
      <c r="L185" s="8"/>
    </row>
    <row r="186" spans="7:12" ht="12.75">
      <c r="G186" s="140"/>
      <c r="I186" s="140"/>
      <c r="J186" s="140"/>
      <c r="K186" s="140"/>
      <c r="L186" s="140"/>
    </row>
    <row r="187" spans="7:12" ht="12.75">
      <c r="G187" s="208"/>
      <c r="I187" s="208"/>
      <c r="J187" s="124"/>
      <c r="K187" s="124"/>
      <c r="L187" s="124"/>
    </row>
    <row r="188" spans="6:12" ht="12.75">
      <c r="F188" s="127"/>
      <c r="G188" s="208"/>
      <c r="I188" s="208"/>
      <c r="J188" s="124"/>
      <c r="K188" s="124"/>
      <c r="L188" s="124"/>
    </row>
    <row r="189" spans="7:12" ht="12.75">
      <c r="G189" s="140"/>
      <c r="I189" s="140"/>
      <c r="J189" s="124"/>
      <c r="K189" s="124"/>
      <c r="L189" s="124"/>
    </row>
    <row r="190" spans="7:12" ht="12.75">
      <c r="G190" s="140"/>
      <c r="I190" s="140"/>
      <c r="J190" s="124"/>
      <c r="K190" s="124"/>
      <c r="L190" s="124"/>
    </row>
    <row r="191" spans="7:12" ht="12.75">
      <c r="G191" s="140"/>
      <c r="I191" s="140"/>
      <c r="J191" s="124"/>
      <c r="K191" s="124"/>
      <c r="L191" s="124"/>
    </row>
    <row r="192" spans="7:12" ht="12.75">
      <c r="G192" s="140"/>
      <c r="I192" s="140"/>
      <c r="J192" s="124"/>
      <c r="K192" s="124"/>
      <c r="L192" s="124"/>
    </row>
    <row r="193" spans="7:12" ht="12.75">
      <c r="G193" s="140"/>
      <c r="I193" s="140"/>
      <c r="J193" s="124"/>
      <c r="K193" s="124"/>
      <c r="L193" s="124"/>
    </row>
    <row r="194" spans="6:12" ht="12.75">
      <c r="F194" s="348"/>
      <c r="G194" s="140"/>
      <c r="I194" s="140"/>
      <c r="J194" s="140"/>
      <c r="K194" s="140"/>
      <c r="L194" s="140"/>
    </row>
    <row r="195" spans="6:12" ht="12.75">
      <c r="F195" s="348"/>
      <c r="G195" s="140"/>
      <c r="I195" s="140"/>
      <c r="J195" s="140"/>
      <c r="K195" s="140"/>
      <c r="L195" s="140"/>
    </row>
    <row r="196" spans="7:12" ht="12.75">
      <c r="G196" s="140"/>
      <c r="I196" s="140"/>
      <c r="J196" s="124"/>
      <c r="K196" s="124"/>
      <c r="L196" s="124"/>
    </row>
    <row r="197" spans="7:12" ht="12.75">
      <c r="G197" s="140"/>
      <c r="I197" s="140"/>
      <c r="J197" s="124"/>
      <c r="K197" s="124"/>
      <c r="L197" s="124"/>
    </row>
    <row r="198" spans="7:12" ht="12.75">
      <c r="G198" s="140"/>
      <c r="I198" s="140"/>
      <c r="J198" s="124"/>
      <c r="K198" s="124"/>
      <c r="L198" s="124"/>
    </row>
    <row r="199" spans="7:12" ht="12.75">
      <c r="G199" s="140"/>
      <c r="I199" s="140"/>
      <c r="J199" s="124"/>
      <c r="K199" s="124"/>
      <c r="L199" s="124"/>
    </row>
    <row r="200" spans="7:12" ht="12.75">
      <c r="G200" s="140"/>
      <c r="I200" s="140"/>
      <c r="J200" s="124"/>
      <c r="K200" s="124"/>
      <c r="L200" s="124"/>
    </row>
    <row r="201" spans="7:12" ht="12.75">
      <c r="G201" s="140"/>
      <c r="I201" s="140"/>
      <c r="J201" s="124"/>
      <c r="K201" s="124"/>
      <c r="L201" s="124"/>
    </row>
    <row r="202" spans="7:12" ht="12.75">
      <c r="G202" s="140"/>
      <c r="I202" s="140"/>
      <c r="J202" s="124"/>
      <c r="K202" s="124"/>
      <c r="L202" s="124"/>
    </row>
    <row r="203" spans="7:12" ht="12.75">
      <c r="G203" s="140"/>
      <c r="I203" s="140"/>
      <c r="J203" s="124"/>
      <c r="K203" s="124"/>
      <c r="L203" s="124"/>
    </row>
    <row r="204" spans="7:12" ht="12.75">
      <c r="G204" s="140"/>
      <c r="I204" s="140"/>
      <c r="J204" s="124"/>
      <c r="K204" s="124"/>
      <c r="L204" s="124"/>
    </row>
    <row r="205" spans="7:12" ht="12.75">
      <c r="G205" s="140"/>
      <c r="I205" s="140"/>
      <c r="J205" s="124"/>
      <c r="K205" s="124"/>
      <c r="L205" s="124"/>
    </row>
    <row r="206" spans="7:12" ht="12.75">
      <c r="G206" s="140"/>
      <c r="I206" s="140"/>
      <c r="J206" s="124"/>
      <c r="K206" s="124"/>
      <c r="L206" s="124"/>
    </row>
    <row r="207" spans="7:12" ht="12.75">
      <c r="G207" s="140"/>
      <c r="I207" s="140"/>
      <c r="J207" s="124"/>
      <c r="K207" s="124"/>
      <c r="L207" s="124"/>
    </row>
    <row r="208" spans="7:12" ht="12.75">
      <c r="G208" s="140"/>
      <c r="I208" s="140"/>
      <c r="J208" s="124"/>
      <c r="K208" s="124"/>
      <c r="L208" s="124"/>
    </row>
    <row r="209" spans="7:12" ht="12.75">
      <c r="G209" s="140"/>
      <c r="I209" s="140"/>
      <c r="J209" s="124"/>
      <c r="K209" s="124"/>
      <c r="L209" s="124"/>
    </row>
    <row r="210" spans="7:12" ht="12.75">
      <c r="G210" s="140"/>
      <c r="I210" s="140"/>
      <c r="J210" s="124"/>
      <c r="K210" s="124"/>
      <c r="L210" s="124"/>
    </row>
    <row r="211" spans="7:12" ht="12.75">
      <c r="G211" s="140"/>
      <c r="I211" s="140"/>
      <c r="J211" s="124"/>
      <c r="K211" s="124"/>
      <c r="L211" s="124"/>
    </row>
    <row r="212" spans="4:12" ht="12.75">
      <c r="D212" s="127"/>
      <c r="F212" s="131"/>
      <c r="G212" s="135"/>
      <c r="I212" s="135"/>
      <c r="J212" s="135"/>
      <c r="K212" s="135"/>
      <c r="L212" s="135"/>
    </row>
    <row r="213" spans="7:12" ht="12.75">
      <c r="G213" s="8"/>
      <c r="I213" s="8"/>
      <c r="J213" s="8"/>
      <c r="K213" s="8"/>
      <c r="L213" s="8"/>
    </row>
    <row r="214" spans="7:12" ht="12.75">
      <c r="G214" s="141"/>
      <c r="I214" s="141"/>
      <c r="J214" s="141"/>
      <c r="K214" s="141"/>
      <c r="L214" s="141"/>
    </row>
    <row r="215" spans="7:12" ht="12.75">
      <c r="G215" s="8"/>
      <c r="I215" s="8"/>
      <c r="J215" s="8"/>
      <c r="K215" s="8"/>
      <c r="L215" s="8"/>
    </row>
    <row r="216" spans="7:12" ht="12.75">
      <c r="G216" s="8"/>
      <c r="I216" s="8"/>
      <c r="J216" s="8"/>
      <c r="K216" s="8"/>
      <c r="L216" s="8"/>
    </row>
    <row r="217" spans="7:12" ht="12.75">
      <c r="G217" s="142"/>
      <c r="I217" s="142"/>
      <c r="J217" s="142"/>
      <c r="K217" s="142"/>
      <c r="L217" s="142"/>
    </row>
    <row r="218" spans="7:12" ht="12.75">
      <c r="G218" s="8"/>
      <c r="I218" s="8"/>
      <c r="J218" s="8"/>
      <c r="K218" s="8"/>
      <c r="L218" s="8"/>
    </row>
    <row r="219" spans="7:12" ht="12.75">
      <c r="G219" s="8"/>
      <c r="I219" s="8"/>
      <c r="J219" s="8"/>
      <c r="K219" s="8"/>
      <c r="L219" s="8"/>
    </row>
    <row r="220" spans="7:12" ht="12.75">
      <c r="G220" s="8"/>
      <c r="I220" s="8"/>
      <c r="J220" s="8"/>
      <c r="K220" s="8"/>
      <c r="L220" s="8"/>
    </row>
  </sheetData>
  <sheetProtection password="DE55" sheet="1" objects="1" scenarios="1"/>
  <printOptions/>
  <pageMargins left="0.75" right="0.75" top="1" bottom="1" header="0.5" footer="0.5"/>
  <pageSetup horizontalDpi="600" verticalDpi="600" orientation="portrait" paperSize="9" scale="52" r:id="rId4"/>
  <headerFooter alignWithMargins="0">
    <oddHeader>&amp;L&amp;"Arial,Vet"&amp;F&amp;R&amp;"Arial,Vet"&amp;A</oddHeader>
    <oddFooter>&amp;L&amp;"Arial,Vet"keizer / goedhart&amp;C&amp;"Arial,Vet"&amp;D&amp;R&amp;"Arial,Vet"pagina &amp;P</oddFooter>
  </headerFooter>
  <rowBreaks count="2" manualBreakCount="2">
    <brk id="108" min="1" max="15" man="1"/>
    <brk id="178" min="1" max="15" man="1"/>
  </rowBreaks>
  <drawing r:id="rId3"/>
  <legacyDrawing r:id="rId2"/>
</worksheet>
</file>

<file path=xl/worksheets/sheet9.xml><?xml version="1.0" encoding="utf-8"?>
<worksheet xmlns="http://schemas.openxmlformats.org/spreadsheetml/2006/main" xmlns:r="http://schemas.openxmlformats.org/officeDocument/2006/relationships">
  <dimension ref="B2:AA307"/>
  <sheetViews>
    <sheetView zoomScale="85" zoomScaleNormal="85" zoomScaleSheetLayoutView="70" workbookViewId="0" topLeftCell="A1">
      <pane ySplit="9" topLeftCell="BM10" activePane="bottomLeft" state="frozen"/>
      <selection pane="topLeft" activeCell="A1" sqref="A1"/>
      <selection pane="bottomLeft" activeCell="B2" sqref="B2"/>
    </sheetView>
  </sheetViews>
  <sheetFormatPr defaultColWidth="9.140625" defaultRowHeight="12.75"/>
  <cols>
    <col min="1" max="1" width="5.7109375" style="7" customWidth="1"/>
    <col min="2" max="3" width="2.7109375" style="7" customWidth="1"/>
    <col min="4" max="4" width="9.421875" style="7" customWidth="1"/>
    <col min="5" max="5" width="15.8515625" style="7" customWidth="1"/>
    <col min="6" max="6" width="15.7109375" style="7" customWidth="1"/>
    <col min="7" max="7" width="2.7109375" style="7" customWidth="1"/>
    <col min="8" max="8" width="10.7109375" style="7" customWidth="1"/>
    <col min="9" max="9" width="2.7109375" style="7" customWidth="1"/>
    <col min="10" max="10" width="16.8515625" style="7" customWidth="1"/>
    <col min="11" max="14" width="16.8515625" style="8" customWidth="1"/>
    <col min="15" max="16" width="2.7109375" style="7" customWidth="1"/>
    <col min="17" max="17" width="9.140625" style="7" customWidth="1"/>
    <col min="18" max="18" width="2.7109375" style="7" customWidth="1"/>
    <col min="19" max="19" width="4.140625" style="7" customWidth="1"/>
    <col min="20" max="22" width="9.28125" style="7" customWidth="1"/>
    <col min="23" max="23" width="10.28125" style="7" customWidth="1"/>
    <col min="24" max="24" width="9.140625" style="7" customWidth="1"/>
    <col min="25" max="25" width="2.7109375" style="7" customWidth="1"/>
    <col min="26" max="29" width="18.421875" style="7" customWidth="1"/>
    <col min="30" max="31" width="2.7109375" style="7" customWidth="1"/>
    <col min="32" max="16384" width="9.140625" style="7" customWidth="1"/>
  </cols>
  <sheetData>
    <row r="1" ht="13.5" thickBot="1"/>
    <row r="2" spans="2:16" ht="12.75">
      <c r="B2" s="9"/>
      <c r="C2" s="10"/>
      <c r="D2" s="10"/>
      <c r="E2" s="10"/>
      <c r="F2" s="10"/>
      <c r="G2" s="10"/>
      <c r="H2" s="10"/>
      <c r="I2" s="10"/>
      <c r="J2" s="10"/>
      <c r="K2" s="11"/>
      <c r="L2" s="11"/>
      <c r="M2" s="11"/>
      <c r="N2" s="11"/>
      <c r="O2" s="10"/>
      <c r="P2" s="12"/>
    </row>
    <row r="3" spans="2:16" ht="12.75">
      <c r="B3" s="13"/>
      <c r="P3" s="14"/>
    </row>
    <row r="4" spans="2:16" s="15" customFormat="1" ht="18">
      <c r="B4" s="16"/>
      <c r="C4" s="17" t="s">
        <v>283</v>
      </c>
      <c r="K4" s="18"/>
      <c r="L4" s="18"/>
      <c r="M4" s="18"/>
      <c r="N4" s="18"/>
      <c r="P4" s="20"/>
    </row>
    <row r="5" spans="2:16" ht="12.75">
      <c r="B5" s="13"/>
      <c r="L5" s="47"/>
      <c r="M5" s="47"/>
      <c r="N5" s="47"/>
      <c r="P5" s="14"/>
    </row>
    <row r="6" spans="2:16" ht="12.75">
      <c r="B6" s="13"/>
      <c r="P6" s="14"/>
    </row>
    <row r="7" spans="2:16" ht="12.75">
      <c r="B7" s="13"/>
      <c r="J7" s="89">
        <f>tabel!C4</f>
        <v>2009</v>
      </c>
      <c r="K7" s="89">
        <f>tabel!D4</f>
        <v>2010</v>
      </c>
      <c r="L7" s="89">
        <f>tabel!E4</f>
        <v>2011</v>
      </c>
      <c r="M7" s="89">
        <f>tabel!F4</f>
        <v>2012</v>
      </c>
      <c r="N7" s="89">
        <f>tabel!G4</f>
        <v>2013</v>
      </c>
      <c r="P7" s="14"/>
    </row>
    <row r="8" spans="2:16" ht="12.75">
      <c r="B8" s="13"/>
      <c r="G8" s="122"/>
      <c r="I8" s="122"/>
      <c r="J8" s="90">
        <f>IF((geg!L$160-geg!K$160)&gt;geg!$I$16/2,geg!L$8,geg!K$8)</f>
        <v>40087</v>
      </c>
      <c r="K8" s="90">
        <f>IF((geg!M$160-geg!L$160)&gt;geg!$I$16/2,geg!M$8,geg!L$8)</f>
        <v>40087</v>
      </c>
      <c r="L8" s="90">
        <f>IF((geg!P$160-geg!O$160)&gt;geg!$I$16/2,geg!P$8,geg!O$8)</f>
        <v>40452</v>
      </c>
      <c r="M8" s="90">
        <f>IF((geg!S$160-geg!R$160)&gt;geg!$I$16/2,geg!S8,geg!R8)</f>
        <v>40817</v>
      </c>
      <c r="N8" s="90">
        <f>tabel!G3</f>
        <v>41183</v>
      </c>
      <c r="P8" s="14"/>
    </row>
    <row r="9" spans="2:16" ht="12" customHeight="1">
      <c r="B9" s="13"/>
      <c r="D9" s="36"/>
      <c r="P9" s="14"/>
    </row>
    <row r="10" spans="2:16" ht="12" customHeight="1">
      <c r="B10" s="13"/>
      <c r="C10" s="1"/>
      <c r="D10" s="3"/>
      <c r="E10" s="1"/>
      <c r="F10" s="1"/>
      <c r="G10" s="1"/>
      <c r="H10" s="1"/>
      <c r="I10" s="1"/>
      <c r="J10" s="1"/>
      <c r="K10" s="25"/>
      <c r="L10" s="25"/>
      <c r="M10" s="25"/>
      <c r="N10" s="25"/>
      <c r="O10" s="1"/>
      <c r="P10" s="14"/>
    </row>
    <row r="11" spans="2:16" ht="12" customHeight="1">
      <c r="B11" s="13"/>
      <c r="C11" s="3"/>
      <c r="D11" s="3" t="s">
        <v>611</v>
      </c>
      <c r="E11" s="1"/>
      <c r="F11" s="1"/>
      <c r="G11" s="1"/>
      <c r="H11" s="1"/>
      <c r="I11" s="1"/>
      <c r="J11" s="1"/>
      <c r="K11" s="25"/>
      <c r="L11" s="25"/>
      <c r="M11" s="25"/>
      <c r="N11" s="25"/>
      <c r="O11" s="1"/>
      <c r="P11" s="14"/>
    </row>
    <row r="12" spans="2:16" ht="12" customHeight="1">
      <c r="B12" s="13"/>
      <c r="C12" s="3"/>
      <c r="D12" s="3"/>
      <c r="E12" s="1"/>
      <c r="F12" s="1"/>
      <c r="G12" s="1"/>
      <c r="H12" s="1"/>
      <c r="I12" s="1"/>
      <c r="J12" s="1"/>
      <c r="K12" s="4"/>
      <c r="L12" s="25"/>
      <c r="M12" s="25"/>
      <c r="N12" s="25"/>
      <c r="O12" s="1"/>
      <c r="P12" s="14"/>
    </row>
    <row r="13" spans="2:16" ht="12.75">
      <c r="B13" s="13"/>
      <c r="C13" s="3"/>
      <c r="D13" s="94" t="s">
        <v>714</v>
      </c>
      <c r="E13" s="1"/>
      <c r="F13" s="1"/>
      <c r="G13" s="1"/>
      <c r="H13" s="1"/>
      <c r="I13" s="1"/>
      <c r="J13" s="1"/>
      <c r="K13" s="1"/>
      <c r="L13" s="1"/>
      <c r="M13" s="1"/>
      <c r="N13" s="1"/>
      <c r="O13" s="1"/>
      <c r="P13" s="14"/>
    </row>
    <row r="14" spans="2:16" ht="12.75">
      <c r="B14" s="13"/>
      <c r="C14" s="1"/>
      <c r="D14" s="94" t="str">
        <f>+geg!C35</f>
        <v>1.</v>
      </c>
      <c r="E14" s="91" t="str">
        <f>+geg!$D$35</f>
        <v>SO</v>
      </c>
      <c r="F14" s="91" t="str">
        <f>+geg!$E$35</f>
        <v>ZMLK</v>
      </c>
      <c r="G14" s="1"/>
      <c r="H14" s="1"/>
      <c r="I14" s="1"/>
      <c r="J14" s="516">
        <f>IF($E14=0,0,IF(geg!I45=0,0,VLOOKUP(geg!$I$15,MIgroep,2,FALSE)+VLOOKUP($F14,MIgroep,IF($E14="SO",3,5),FALSE)+IF((geg!J$160-geg!I$160)&gt;geg!$I$16/2,geg!J214,geg!I214)*((VLOOKUP($F14,MIgroep,IF($E14="SO",4,6),FALSE)))))*tabel!A363</f>
        <v>60852.84984473606</v>
      </c>
      <c r="K14" s="246">
        <f>IF($E14=0,0,IF(geg!L45=0,0,VLOOKUP(geg!$I$15,MIgroep,2,FALSE)+VLOOKUP($F14,MIgroep,IF($E14="SO",3,5),FALSE)+IF((geg!M$160-geg!L$160)&gt;geg!$I$16/2,geg!M214,geg!L214)*((VLOOKUP($F14,MIgroep,IF($E14="SO",4,6),FALSE)))))</f>
        <v>60749.4</v>
      </c>
      <c r="L14" s="246">
        <f>IF($E14=0,0,IF(geg!O45=0,0,VLOOKUP(geg!$I$15,MIgroep,2,FALSE)+VLOOKUP($F14,MIgroep,IF($E14="SO",3,5),FALSE)+IF((geg!P$160-geg!O$160)&gt;geg!$I$16/2,geg!P214,geg!O214)*((VLOOKUP($F14,MIgroep,IF($E14="SO",4,6),FALSE)))))</f>
        <v>60749.4</v>
      </c>
      <c r="M14" s="246">
        <f>IF($E14=0,0,IF(geg!R45=0,0,VLOOKUP(geg!$I$15,MIgroep,2,FALSE)+VLOOKUP($F14,MIgroep,IF($E14="SO",3,5),FALSE)+IF((geg!S$160-geg!R$160)&gt;geg!$I$16/2,geg!S214,geg!R214)*((VLOOKUP($F14,MIgroep,IF($E14="SO",4,6),FALSE)))))</f>
        <v>60749.4</v>
      </c>
      <c r="N14" s="246">
        <f>IF($E14=0,0,IF(geg!U45=0,0,VLOOKUP(geg!$I$15,MIgroep,2,FALSE)+VLOOKUP($F14,MIgroep,IF($E14="SO",3,5),FALSE)+IF((geg!V$160-geg!U$160)&gt;geg!$I$16/2,geg!V214,geg!U214)*((VLOOKUP($F14,MIgroep,IF($E14="SO",4,6),FALSE)))))</f>
        <v>60749.4</v>
      </c>
      <c r="O14" s="4"/>
      <c r="P14" s="14"/>
    </row>
    <row r="15" spans="2:16" ht="12.75">
      <c r="B15" s="13"/>
      <c r="C15" s="1"/>
      <c r="D15" s="94" t="str">
        <f>+geg!C48</f>
        <v>2.</v>
      </c>
      <c r="E15" s="91" t="str">
        <f>+geg!$D$48</f>
        <v>SO</v>
      </c>
      <c r="F15" s="91" t="str">
        <f>+geg!$E$48</f>
        <v>MG (LG-ZMLK)</v>
      </c>
      <c r="G15" s="1"/>
      <c r="H15" s="1"/>
      <c r="I15" s="1"/>
      <c r="J15" s="516">
        <f>IF($E15=0,0,IF(AND(E15=E14,MID(F15,1,2)="MG"),0,IF(geg!I58=0,0,IF(geg!I190=0,0,VLOOKUP($F15,MIgroep,IF($E15="SO",3,5),FALSE))+IF((geg!J$160-geg!I$160)&gt;geg!$I$16/2,geg!J190,geg!I190)*((VLOOKUP($F15,MIgroep,IF($E15="SO",4,6),FALSE))))))*tabel!A363</f>
        <v>0</v>
      </c>
      <c r="K15" s="246">
        <f>IF($E15=0,0,IF(AND(E15=E14,MID(F15,1,2)="MG"),0,IF(geg!L58=0,0,IF(geg!L190=0,0,VLOOKUP($F15,MIgroep,IF($E15="SO",3,5),FALSE))+IF((geg!M$160-geg!L$160)&gt;geg!$I$16/2,geg!M190,geg!L190)*((VLOOKUP($F15,MIgroep,IF($E15="SO",4,6),FALSE))))))</f>
        <v>0</v>
      </c>
      <c r="L15" s="246">
        <f>IF($E15=0,0,IF(AND(E15=E14,MID(F15,1,2)="MG"),0,IF(geg!O58=0,0,IF(geg!O190=0,0,VLOOKUP($F15,MIgroep,IF($E15="SO",3,5),FALSE))+IF((geg!P$160-geg!O$160)&gt;geg!$I$16/2,geg!P190,geg!O190)*((VLOOKUP($F15,MIgroep,IF($E15="SO",4,6),FALSE))))))</f>
        <v>0</v>
      </c>
      <c r="M15" s="246">
        <f>IF($E15=0,0,IF(AND(E15=E14,MID(F15,1,2)="MG"),0,IF(geg!R58=0,0,IF(geg!R190=0,0,VLOOKUP($F15,MIgroep,IF($E15="SO",3,5),FALSE))+IF((geg!S$160-geg!R$160)&gt;geg!$I$16/2,geg!S190,geg!R190)*((VLOOKUP($F15,MIgroep,IF($E15="SO",4,6),FALSE))))))</f>
        <v>0</v>
      </c>
      <c r="N15" s="246">
        <f>IF($E15=0,0,IF(AND(E15=E14,MID(F15,1,2)="MG"),0,IF(geg!U58=0,0,IF(geg!U190=0,0,VLOOKUP($F15,MIgroep,IF($E15="SO",3,5),FALSE))+IF((geg!V$160-geg!U$160)&gt;geg!$I$16/2,geg!V190,geg!U190)*((VLOOKUP($F15,MIgroep,IF($E15="SO",4,6),FALSE))))))</f>
        <v>0</v>
      </c>
      <c r="O15" s="4"/>
      <c r="P15" s="14"/>
    </row>
    <row r="16" spans="2:16" ht="12.75">
      <c r="B16" s="13"/>
      <c r="C16" s="1"/>
      <c r="D16" s="94" t="str">
        <f>+geg!C61</f>
        <v>3.</v>
      </c>
      <c r="E16" s="91" t="str">
        <f>+geg!$D$61</f>
        <v>SO</v>
      </c>
      <c r="F16" s="91" t="str">
        <f>+geg!$E$61</f>
        <v>LG</v>
      </c>
      <c r="G16" s="1"/>
      <c r="H16" s="1"/>
      <c r="I16" s="1"/>
      <c r="J16" s="516">
        <f>IF($E16=0,0,IF(AND(E16=E14,MID(F16,1,2)="MG"),0,IF(geg!I71=0,0,IF(geg!I192=0,0,VLOOKUP($F16,MIgroep,IF($E16="SO",3,5),FALSE))+IF((geg!J$160-geg!I$160)&gt;geg!$I$16/2,geg!J192,geg!I192)*((VLOOKUP($F16,MIgroep,IF($E16="SO",4,6),FALSE))))))*tabel!A363</f>
        <v>13957.738154863267</v>
      </c>
      <c r="K16" s="246">
        <f>IF($E16=0,0,IF(AND(E16=E14,MID(F16,1,2)="MG"),0,IF(geg!L71=0,0,IF(geg!L192=0,0,VLOOKUP($F16,MIgroep,IF($E16="SO",3,5),FALSE))+IF((geg!M$160-geg!L$160)&gt;geg!$I$16/2,geg!M192,geg!L192)*((VLOOKUP($F16,MIgroep,IF($E16="SO",4,6),FALSE))))))</f>
        <v>13934.009999999998</v>
      </c>
      <c r="L16" s="246">
        <f>IF($E16=0,0,IF(AND(E16=E14,MID(F16,1,2)="MG"),0,IF(geg!O71=0,0,IF(geg!O192=0,0,VLOOKUP($F16,MIgroep,IF($E16="SO",3,5),FALSE))+IF((geg!P$160-geg!O$160)&gt;geg!$I$16/2,geg!P192,geg!O192)*((VLOOKUP($F16,MIgroep,IF($E16="SO",4,6),FALSE))))))</f>
        <v>13934.009999999998</v>
      </c>
      <c r="M16" s="246">
        <f>IF($E16=0,0,IF(AND(E16=E14,MID(F16,1,2)="MG"),0,IF(geg!R71=0,0,IF(geg!R192=0,0,VLOOKUP($F16,MIgroep,IF($E16="SO",3,5),FALSE))+IF((geg!S$160-geg!R$160)&gt;geg!$I$16/2,geg!S192,geg!R192)*((VLOOKUP($F16,MIgroep,IF($E16="SO",4,6),FALSE))))))</f>
        <v>13934.009999999998</v>
      </c>
      <c r="N16" s="246">
        <f>IF($E16=0,0,IF(AND(E16=E14,MID(F16,1,2)="MG"),0,IF(geg!U71=0,0,IF(geg!R192=0,0,VLOOKUP($F16,MIgroep,IF($E16="SO",3,5),FALSE))+IF((geg!V$160-geg!U$160)&gt;geg!$I$16/2,geg!V192,geg!U192)*((VLOOKUP($F16,MIgroep,IF($E16="SO",4,6),FALSE))))))</f>
        <v>13934.009999999998</v>
      </c>
      <c r="O16" s="4"/>
      <c r="P16" s="14"/>
    </row>
    <row r="17" spans="2:16" ht="12.75">
      <c r="B17" s="13"/>
      <c r="C17" s="1"/>
      <c r="D17" s="94" t="str">
        <f>+geg!C86</f>
        <v>4.</v>
      </c>
      <c r="E17" s="91" t="str">
        <f>+geg!$D$86</f>
        <v>VSO</v>
      </c>
      <c r="F17" s="91" t="str">
        <f>+geg!$E$86</f>
        <v>ZMLK</v>
      </c>
      <c r="G17" s="1"/>
      <c r="H17" s="1"/>
      <c r="I17" s="1"/>
      <c r="J17" s="516">
        <f>IF($E17=0,0,IF(geg!I96=0,0,IF(K14=0,VLOOKUP(F17,MIgroep,2,FALSE))+IF(geg!I195=0,0,VLOOKUP($F17,MIgroep,IF($E17="SO",3,5),FALSE))+IF((geg!J$160-geg!I$160)&gt;geg!$I$16/2,geg!J199,geg!I199)*((VLOOKUP($F17,MIgroep,IF($E17="SO",4,6),FALSE)))))*tabel!A363</f>
        <v>29033.076229590308</v>
      </c>
      <c r="K17" s="246">
        <f>IF($E17=0,0,IF(geg!L96=0,0,IF(K14=0,VLOOKUP(F17,MIgroep,2,FALSE))+IF(geg!L195=0,0,VLOOKUP($F17,MIgroep,IF($E17="SO",3,5),FALSE))+IF((geg!M$160-geg!L$160)&gt;geg!$I$16/2,geg!M199,geg!L199)*((VLOOKUP($F17,MIgroep,IF($E17="SO",4,6),FALSE)))))</f>
        <v>28983.72</v>
      </c>
      <c r="L17" s="246">
        <f>IF($E17=0,0,IF(geg!O96=0,0,IF(L14=0,VLOOKUP(F17,MIgroep,2,FALSE))+IF(geg!O195=0,0,VLOOKUP($F17,MIgroep,IF($E17="SO",3,5),FALSE))+IF((geg!P$160-geg!O$160)&gt;geg!$I$16/2,geg!P199,geg!O199)*((VLOOKUP($F17,MIgroep,IF($E17="SO",4,6),FALSE)))))</f>
        <v>28983.72</v>
      </c>
      <c r="M17" s="246">
        <f>IF($E17=0,0,IF(geg!R96=0,0,IF(M14=0,VLOOKUP(F17,MIgroep,2,FALSE))+IF(geg!R195=0,0,VLOOKUP($F17,MIgroep,IF($E17="SO",3,5),FALSE))+IF((geg!S$160-geg!R$160)&gt;geg!$I$16/2,geg!S199,geg!R199)*((VLOOKUP($F17,MIgroep,IF($E17="SO",4,6),FALSE)))))</f>
        <v>28983.72</v>
      </c>
      <c r="N17" s="246">
        <f>IF($E17=0,0,IF(geg!U96=0,0,IF(N14=0,VLOOKUP(F17,MIgroep,2,FALSE))+IF(geg!U195=0,0,VLOOKUP($F17,MIgroep,IF($E17="SO",3,5),FALSE))+IF((geg!V$160-geg!U$160)&gt;geg!$I$16/2,geg!V199,geg!U199)*((VLOOKUP($F17,MIgroep,IF($E17="SO",4,6),FALSE)))))</f>
        <v>28983.72</v>
      </c>
      <c r="O17" s="4"/>
      <c r="P17" s="14"/>
    </row>
    <row r="18" spans="2:16" ht="12.75">
      <c r="B18" s="13"/>
      <c r="C18" s="1"/>
      <c r="D18" s="94" t="str">
        <f>+geg!C99</f>
        <v>5.</v>
      </c>
      <c r="E18" s="91" t="str">
        <f>+geg!$D$99</f>
        <v>VSO</v>
      </c>
      <c r="F18" s="91" t="str">
        <f>+geg!$E$99</f>
        <v>MG (LG-ZMLK)</v>
      </c>
      <c r="G18" s="1"/>
      <c r="H18" s="1"/>
      <c r="I18" s="1"/>
      <c r="J18" s="516">
        <f>IF($E18=0,0,IF(AND(E18=E17,MID(F18,1,2)="MG"),0,IF(geg!I109=0,0,IF(geg!I203=0,0,VLOOKUP($F18,MIgroep,IF($E18="SO",3,5),FALSE))+IF((geg!J$160-geg!I$160)&gt;geg!$I$16/2,geg!J203,geg!I203)*((VLOOKUP($F18,MIgroep,IF($E18="SO",4,6),FALSE))))))*tabel!A363</f>
        <v>0</v>
      </c>
      <c r="K18" s="246">
        <f>IF($E18=0,0,IF(AND(E18=E17,MID(F18,1,2)="MG"),0,IF(geg!L109=0,0,IF(geg!L203=0,0,VLOOKUP($F18,MIgroep,IF($E18="SO",3,5),FALSE))+IF((geg!M$160-geg!L$160)&gt;geg!$I$16/2,geg!M203,geg!L203)*((VLOOKUP($F18,MIgroep,IF($E18="SO",4,6),FALSE))))))</f>
        <v>0</v>
      </c>
      <c r="L18" s="246">
        <f>IF($E18=0,0,IF(AND(E18=E17,MID(F18,1,2)="MG"),0,IF(geg!O109=0,0,IF(geg!O203=0,0,VLOOKUP($F18,MIgroep,IF($E18="SO",3,5),FALSE))+IF((geg!P$160-geg!O$160)&gt;geg!$I$16/2,geg!P203,geg!O203)*((VLOOKUP($F18,MIgroep,IF($E18="SO",4,6),FALSE))))))</f>
        <v>0</v>
      </c>
      <c r="M18" s="246">
        <f>IF($E18=0,0,IF(AND(E18=E17,MID(F18,1,2)="MG"),0,IF(geg!R109=0,0,IF(geg!R203=0,0,VLOOKUP($F18,MIgroep,IF($E18="SO",3,5),FALSE))+IF((geg!S$160-geg!R$160)&gt;geg!$I$16/2,geg!S203,geg!R203)*((VLOOKUP($F18,MIgroep,IF($E18="SO",4,6),FALSE))))))</f>
        <v>0</v>
      </c>
      <c r="N18" s="246">
        <f>IF($E18=0,0,IF(AND(E18=E17,MID(F18,1,2)="MG"),0,IF(geg!U109=0,0,IF(geg!U203=0,0,VLOOKUP($F18,MIgroep,IF($E18="SO",3,5),FALSE))+IF((geg!V$160-geg!U$160)&gt;geg!$I$16/2,geg!V203,geg!U203)*((VLOOKUP($F18,MIgroep,IF($E18="SO",4,6),FALSE))))))</f>
        <v>0</v>
      </c>
      <c r="O18" s="4"/>
      <c r="P18" s="14"/>
    </row>
    <row r="19" spans="2:16" ht="12.75">
      <c r="B19" s="13"/>
      <c r="C19" s="1"/>
      <c r="D19" s="94" t="str">
        <f>+geg!C112</f>
        <v>6.</v>
      </c>
      <c r="E19" s="91" t="str">
        <f>+geg!$D$112</f>
        <v>VSO</v>
      </c>
      <c r="F19" s="91" t="str">
        <f>+geg!$E$112</f>
        <v>LG</v>
      </c>
      <c r="G19" s="1"/>
      <c r="H19" s="1"/>
      <c r="I19" s="1"/>
      <c r="J19" s="516">
        <f>IF($E19=0,0,IF(AND(E19=E17,MID(F19,1,2)="MG"),0,IF(geg!I122=0,0,IF(geg!I205=0,0,VLOOKUP($F19,MIgroep,IF($E19="SO",3,5),FALSE))+IF((geg!J$160-geg!I$160)&gt;geg!$I$16/2,geg!J205,geg!I205)*((VLOOKUP($F19,MIgroep,IF($E19="SO",4,6),FALSE))))))*tabel!A363</f>
        <v>0</v>
      </c>
      <c r="K19" s="246">
        <f>IF($E19=0,0,IF(AND(E19=E17,MID(F19,1,2)="MG"),0,IF(geg!L122=0,0,IF(geg!L205=0,0,VLOOKUP($F19,MIgroep,IF($E19="SO",3,5),FALSE))+IF((geg!M$160-geg!L$160)&gt;geg!$I$16/2,geg!M205,geg!L205)*((VLOOKUP($F19,MIgroep,IF($E19="SO",4,6),FALSE))))))</f>
        <v>0</v>
      </c>
      <c r="L19" s="246">
        <f>IF($E19=0,0,IF(AND(E19=E17,MID(F19,1,2)="MG"),0,IF(geg!O122=0,0,IF(geg!O205=0,0,VLOOKUP($F19,MIgroep,IF($E19="SO",3,5),FALSE))+IF((geg!P$160-geg!O$160)&gt;geg!$I$16/2,geg!P205,geg!O205)*((VLOOKUP($F19,MIgroep,IF($E19="SO",4,6),FALSE))))))</f>
        <v>0</v>
      </c>
      <c r="M19" s="246">
        <f>IF($E19=0,0,IF(AND(E19=E17,MID(F19,1,2)="MG"),0,IF(geg!R122=0,0,IF(geg!R205=0,0,VLOOKUP($F19,MIgroep,IF($E19="SO",3,5),FALSE))+IF((geg!S$160-geg!R$160)&gt;geg!$I$16/2,geg!S205,geg!R205)*((VLOOKUP($F19,MIgroep,IF($E19="SO",4,6),FALSE))))))</f>
        <v>0</v>
      </c>
      <c r="N19" s="246">
        <f>IF($E19=0,0,IF(AND(E19=E17,MID(F19,1,2)="MG"),0,IF(geg!U122=0,0,IF(geg!U205=0,0,VLOOKUP($F19,MIgroep,IF($E19="SO",3,5),FALSE))+IF((geg!V$160-geg!U$160)&gt;geg!$I$16/2,geg!V205,geg!U205)*((VLOOKUP($F19,MIgroep,IF($E19="SO",4,6),FALSE))))))</f>
        <v>0</v>
      </c>
      <c r="O19" s="4"/>
      <c r="P19" s="14"/>
    </row>
    <row r="20" spans="2:16" s="127" customFormat="1" ht="12.75">
      <c r="B20" s="194"/>
      <c r="C20" s="94"/>
      <c r="D20" s="153" t="s">
        <v>33</v>
      </c>
      <c r="E20" s="150"/>
      <c r="F20" s="150"/>
      <c r="G20" s="151"/>
      <c r="H20" s="94"/>
      <c r="I20" s="151"/>
      <c r="J20" s="450">
        <f>+J14+J17</f>
        <v>89885.92607432637</v>
      </c>
      <c r="K20" s="450">
        <f>+K14+K17</f>
        <v>89733.12</v>
      </c>
      <c r="L20" s="450">
        <f>+L14+L17</f>
        <v>89733.12</v>
      </c>
      <c r="M20" s="450">
        <f>+M14+M17</f>
        <v>89733.12</v>
      </c>
      <c r="N20" s="450">
        <f>+N14+N17</f>
        <v>89733.12</v>
      </c>
      <c r="O20" s="234"/>
      <c r="P20" s="196"/>
    </row>
    <row r="21" spans="2:16" ht="12.75">
      <c r="B21" s="13"/>
      <c r="C21" s="3"/>
      <c r="D21" s="3"/>
      <c r="E21" s="91"/>
      <c r="F21" s="91"/>
      <c r="G21" s="1"/>
      <c r="H21" s="1"/>
      <c r="I21" s="1"/>
      <c r="J21" s="1"/>
      <c r="K21" s="155"/>
      <c r="L21" s="155"/>
      <c r="M21" s="155"/>
      <c r="N21" s="155"/>
      <c r="O21" s="1"/>
      <c r="P21" s="14"/>
    </row>
    <row r="22" spans="2:16" ht="12.75">
      <c r="B22" s="13"/>
      <c r="C22" s="1"/>
      <c r="D22" s="150" t="s">
        <v>635</v>
      </c>
      <c r="E22" s="91"/>
      <c r="F22" s="91"/>
      <c r="G22" s="84"/>
      <c r="H22" s="1"/>
      <c r="I22" s="84"/>
      <c r="J22" s="84"/>
      <c r="K22" s="149"/>
      <c r="L22" s="149"/>
      <c r="M22" s="149"/>
      <c r="N22" s="149"/>
      <c r="O22" s="1"/>
      <c r="P22" s="14"/>
    </row>
    <row r="23" spans="2:16" ht="12.75">
      <c r="B23" s="13"/>
      <c r="C23" s="1"/>
      <c r="D23" s="1" t="s">
        <v>583</v>
      </c>
      <c r="E23" s="91" t="str">
        <f>+geg!$D$35</f>
        <v>SO</v>
      </c>
      <c r="F23" s="91" t="str">
        <f>+geg!$E$35</f>
        <v>ZMLK</v>
      </c>
      <c r="G23" s="1"/>
      <c r="H23" s="27" t="s">
        <v>565</v>
      </c>
      <c r="I23" s="1"/>
      <c r="J23" s="246">
        <f>IF($H23="nee",0,IF($F23=0,0,VLOOKUP($F23,toeslag_geb_ond,2,FALSE)))*tabel!A$363</f>
        <v>74.12601422418112</v>
      </c>
      <c r="K23" s="246">
        <f aca="true" t="shared" si="0" ref="K23:N28">IF($H23="nee",0,IF($F23=0,0,VLOOKUP($F23,toeslag_geb_ond,2,FALSE)))</f>
        <v>74</v>
      </c>
      <c r="L23" s="246">
        <f t="shared" si="0"/>
        <v>74</v>
      </c>
      <c r="M23" s="246">
        <f t="shared" si="0"/>
        <v>74</v>
      </c>
      <c r="N23" s="246">
        <f t="shared" si="0"/>
        <v>74</v>
      </c>
      <c r="O23" s="1"/>
      <c r="P23" s="14"/>
    </row>
    <row r="24" spans="2:16" ht="12.75">
      <c r="B24" s="13"/>
      <c r="C24" s="1"/>
      <c r="D24" s="1" t="s">
        <v>584</v>
      </c>
      <c r="E24" s="91" t="str">
        <f>+geg!$D$48</f>
        <v>SO</v>
      </c>
      <c r="F24" s="91" t="str">
        <f>+geg!$E$48</f>
        <v>MG (LG-ZMLK)</v>
      </c>
      <c r="G24" s="1"/>
      <c r="H24" s="27" t="s">
        <v>565</v>
      </c>
      <c r="I24" s="1"/>
      <c r="J24" s="246">
        <f>IF($H24="nee",0,IF($F24=0,0,VLOOKUP($F24,toeslag_geb_ond,2,FALSE)))*tabel!A$363</f>
        <v>1609.736552138636</v>
      </c>
      <c r="K24" s="246">
        <f t="shared" si="0"/>
        <v>1607</v>
      </c>
      <c r="L24" s="246">
        <f t="shared" si="0"/>
        <v>1607</v>
      </c>
      <c r="M24" s="246">
        <f t="shared" si="0"/>
        <v>1607</v>
      </c>
      <c r="N24" s="246">
        <f t="shared" si="0"/>
        <v>1607</v>
      </c>
      <c r="O24" s="1"/>
      <c r="P24" s="14"/>
    </row>
    <row r="25" spans="2:16" ht="12.75">
      <c r="B25" s="13"/>
      <c r="C25" s="1"/>
      <c r="D25" s="1" t="s">
        <v>600</v>
      </c>
      <c r="E25" s="91" t="str">
        <f>+geg!$D$61</f>
        <v>SO</v>
      </c>
      <c r="F25" s="91" t="str">
        <f>+geg!$E$61</f>
        <v>LG</v>
      </c>
      <c r="G25" s="1"/>
      <c r="H25" s="27" t="s">
        <v>565</v>
      </c>
      <c r="I25" s="1"/>
      <c r="J25" s="246">
        <f>IF($H25="nee",0,IF($F25=0,0,VLOOKUP($F25,toeslag_geb_ond,2,FALSE)))*tabel!A$363</f>
        <v>2967.043974757087</v>
      </c>
      <c r="K25" s="246">
        <f t="shared" si="0"/>
        <v>2962</v>
      </c>
      <c r="L25" s="246">
        <f t="shared" si="0"/>
        <v>2962</v>
      </c>
      <c r="M25" s="246">
        <f t="shared" si="0"/>
        <v>2962</v>
      </c>
      <c r="N25" s="246">
        <f t="shared" si="0"/>
        <v>2962</v>
      </c>
      <c r="O25" s="1"/>
      <c r="P25" s="14"/>
    </row>
    <row r="26" spans="2:16" ht="12.75">
      <c r="B26" s="13"/>
      <c r="C26" s="1"/>
      <c r="D26" s="1" t="s">
        <v>601</v>
      </c>
      <c r="E26" s="91" t="str">
        <f>+geg!$D$86</f>
        <v>VSO</v>
      </c>
      <c r="F26" s="91" t="str">
        <f>+geg!$E$86</f>
        <v>ZMLK</v>
      </c>
      <c r="G26" s="1"/>
      <c r="H26" s="27" t="s">
        <v>565</v>
      </c>
      <c r="I26" s="1"/>
      <c r="J26" s="246">
        <f>IF($H26="nee",0,IF($F26=0,0,VLOOKUP($F26,toeslag_geb_ond,2,FALSE)))*tabel!A$363</f>
        <v>74.12601422418112</v>
      </c>
      <c r="K26" s="246">
        <f t="shared" si="0"/>
        <v>74</v>
      </c>
      <c r="L26" s="246">
        <f t="shared" si="0"/>
        <v>74</v>
      </c>
      <c r="M26" s="246">
        <f t="shared" si="0"/>
        <v>74</v>
      </c>
      <c r="N26" s="246">
        <f t="shared" si="0"/>
        <v>74</v>
      </c>
      <c r="O26" s="1"/>
      <c r="P26" s="14"/>
    </row>
    <row r="27" spans="2:16" ht="12.75">
      <c r="B27" s="13"/>
      <c r="C27" s="1"/>
      <c r="D27" s="1" t="s">
        <v>602</v>
      </c>
      <c r="E27" s="91" t="str">
        <f>+geg!$D$99</f>
        <v>VSO</v>
      </c>
      <c r="F27" s="91" t="str">
        <f>+geg!$E$99</f>
        <v>MG (LG-ZMLK)</v>
      </c>
      <c r="G27" s="1"/>
      <c r="H27" s="27" t="s">
        <v>565</v>
      </c>
      <c r="I27" s="1"/>
      <c r="J27" s="246">
        <f>IF($H27="nee",0,IF($F27=0,0,VLOOKUP($F27,toeslag_geb_ond,2,FALSE)))*tabel!A$363</f>
        <v>1609.736552138636</v>
      </c>
      <c r="K27" s="246">
        <f t="shared" si="0"/>
        <v>1607</v>
      </c>
      <c r="L27" s="246">
        <f t="shared" si="0"/>
        <v>1607</v>
      </c>
      <c r="M27" s="246">
        <f t="shared" si="0"/>
        <v>1607</v>
      </c>
      <c r="N27" s="246">
        <f t="shared" si="0"/>
        <v>1607</v>
      </c>
      <c r="O27" s="1"/>
      <c r="P27" s="14"/>
    </row>
    <row r="28" spans="2:16" ht="12.75">
      <c r="B28" s="13"/>
      <c r="C28" s="1"/>
      <c r="D28" s="1" t="s">
        <v>603</v>
      </c>
      <c r="E28" s="91" t="str">
        <f>+geg!$D$112</f>
        <v>VSO</v>
      </c>
      <c r="F28" s="91" t="str">
        <f>+geg!$E$112</f>
        <v>LG</v>
      </c>
      <c r="G28" s="1"/>
      <c r="H28" s="27" t="s">
        <v>565</v>
      </c>
      <c r="I28" s="1"/>
      <c r="J28" s="246">
        <f>IF($H28="nee",0,IF($F28=0,0,VLOOKUP($F28,toeslag_geb_ond,2,FALSE)))*tabel!A$363</f>
        <v>2967.043974757087</v>
      </c>
      <c r="K28" s="246">
        <f t="shared" si="0"/>
        <v>2962</v>
      </c>
      <c r="L28" s="246">
        <f t="shared" si="0"/>
        <v>2962</v>
      </c>
      <c r="M28" s="246">
        <f t="shared" si="0"/>
        <v>2962</v>
      </c>
      <c r="N28" s="246">
        <f t="shared" si="0"/>
        <v>2962</v>
      </c>
      <c r="O28" s="1"/>
      <c r="P28" s="14"/>
    </row>
    <row r="29" spans="2:16" ht="12.75">
      <c r="B29" s="13"/>
      <c r="C29" s="1"/>
      <c r="D29" s="159" t="s">
        <v>33</v>
      </c>
      <c r="E29" s="153"/>
      <c r="F29" s="153"/>
      <c r="G29" s="239"/>
      <c r="H29" s="239"/>
      <c r="I29" s="239"/>
      <c r="J29" s="450">
        <f>SUM(J23:J28)</f>
        <v>9301.813082239809</v>
      </c>
      <c r="K29" s="450">
        <f>SUM(K23:K28)</f>
        <v>9286</v>
      </c>
      <c r="L29" s="450">
        <f>SUM(L23:L28)</f>
        <v>9286</v>
      </c>
      <c r="M29" s="450">
        <f>SUM(M23:M28)</f>
        <v>9286</v>
      </c>
      <c r="N29" s="450">
        <f>SUM(N23:N28)</f>
        <v>9286</v>
      </c>
      <c r="O29" s="1"/>
      <c r="P29" s="14"/>
    </row>
    <row r="30" spans="2:16" ht="12.75">
      <c r="B30" s="13"/>
      <c r="C30" s="1"/>
      <c r="D30" s="159"/>
      <c r="E30" s="153"/>
      <c r="F30" s="153"/>
      <c r="G30" s="239"/>
      <c r="H30" s="239"/>
      <c r="I30" s="239"/>
      <c r="J30" s="239"/>
      <c r="K30" s="155"/>
      <c r="L30" s="155"/>
      <c r="M30" s="155"/>
      <c r="N30" s="155"/>
      <c r="O30" s="1"/>
      <c r="P30" s="14"/>
    </row>
    <row r="31" spans="2:16" ht="12.75">
      <c r="B31" s="13"/>
      <c r="C31" s="3"/>
      <c r="D31" s="94" t="s">
        <v>715</v>
      </c>
      <c r="E31" s="91"/>
      <c r="F31" s="91"/>
      <c r="G31" s="1"/>
      <c r="H31" s="1"/>
      <c r="I31" s="1"/>
      <c r="J31" s="1"/>
      <c r="K31" s="155"/>
      <c r="L31" s="155"/>
      <c r="M31" s="155"/>
      <c r="N31" s="155"/>
      <c r="O31" s="1"/>
      <c r="P31" s="14"/>
    </row>
    <row r="32" spans="2:16" ht="12.75">
      <c r="B32" s="13"/>
      <c r="C32" s="3"/>
      <c r="D32" s="1" t="s">
        <v>583</v>
      </c>
      <c r="E32" s="91" t="str">
        <f>+geg!$D$35</f>
        <v>SO</v>
      </c>
      <c r="F32" s="91" t="str">
        <f>+geg!$E$35</f>
        <v>ZMLK</v>
      </c>
      <c r="G32" s="1"/>
      <c r="H32" s="1"/>
      <c r="I32" s="1"/>
      <c r="J32" s="516">
        <f>IF($E32=0,0,IF(geg!I45=0,0,VLOOKUP(geg!$I$15,MIleerling,2,FALSE)+VLOOKUP($F32,MIleerling,IF($E32="SO",3,5),FALSE)+IF((geg!J$160-geg!I$160)&gt;geg!$I$16/2,(geg!J45),(geg!I45))*((VLOOKUP($F32,MIleerling,IF($E32="SO",4,6),FALSE)))))*tabel!A$363</f>
        <v>63057.48772913954</v>
      </c>
      <c r="K32" s="246">
        <f>IF($E32=0,0,IF(geg!L45=0,0,VLOOKUP(geg!$I$15,MIleerling,2,FALSE)+VLOOKUP($F32,MIleerling,IF($E32="SO",3,5),FALSE)+IF((geg!M$160-geg!L$160)&gt;geg!$I$16/2,(geg!M38+geg!M40),(geg!L38+geg!L40))*((VLOOKUP($F32,MIleerling,IF($E32="SO",4,6),FALSE)))))</f>
        <v>62950.28999999999</v>
      </c>
      <c r="L32" s="246">
        <f>IF($E32=0,0,IF(geg!O45=0,0,VLOOKUP(geg!$I$15,MIleerling,2,FALSE)+VLOOKUP($F32,MIleerling,IF($E32="SO",3,5),FALSE)+IF((geg!P$160-geg!O$160)&gt;geg!$I$16/2,(geg!P38+geg!P40),(geg!O38+geg!O40))*((VLOOKUP($F32,MIleerling,IF($E32="SO",4,6),FALSE)))))</f>
        <v>62950.28999999999</v>
      </c>
      <c r="M32" s="246">
        <f>IF($E32=0,0,IF(geg!R45=0,0,VLOOKUP(geg!$I$15,MIleerling,2,FALSE)+VLOOKUP($F32,MIleerling,IF($E32="SO",3,5),FALSE)+IF((geg!S$160-geg!R$160)&gt;geg!$I$16/2,(geg!S38+geg!S40),(geg!R38+geg!R40))*((VLOOKUP($F32,MIleerling,IF($E32="SO",4,6),FALSE)))))</f>
        <v>62950.28999999999</v>
      </c>
      <c r="N32" s="246">
        <f>IF($E32=0,0,IF(geg!U45=0,0,VLOOKUP(geg!$I$15,MIleerling,2,FALSE)+VLOOKUP($F32,MIleerling,IF($E32="SO",3,5),FALSE)+IF((geg!V$160-geg!U$160)&gt;geg!$I$16/2,(geg!V38+geg!V40),(geg!U38+geg!U40))*((VLOOKUP($F32,MIleerling,IF($E32="SO",4,6),FALSE)))))</f>
        <v>62950.28999999999</v>
      </c>
      <c r="O32" s="1"/>
      <c r="P32" s="14"/>
    </row>
    <row r="33" spans="2:16" ht="12.75">
      <c r="B33" s="13"/>
      <c r="C33" s="3"/>
      <c r="D33" s="1" t="s">
        <v>584</v>
      </c>
      <c r="E33" s="91" t="str">
        <f>+geg!$D$48</f>
        <v>SO</v>
      </c>
      <c r="F33" s="91" t="str">
        <f>+geg!$E$48</f>
        <v>MG (LG-ZMLK)</v>
      </c>
      <c r="G33" s="1"/>
      <c r="H33" s="1"/>
      <c r="I33" s="1"/>
      <c r="J33" s="516">
        <f>IF($E33=0,0,IF(geg!I58=0,0,IF(geg!G48="ja",0,VLOOKUP($F33,MIleerling,IF($E33="SO",3,5),FALSE))+IF((geg!J$160-geg!I$160)&gt;geg!$I$16/2,(geg!J58),(geg!I58))*((VLOOKUP($F33,MIleerling,IF($E33="SO",4,6),FALSE)))))*tabel!A$363</f>
        <v>11759.941901232096</v>
      </c>
      <c r="K33" s="246">
        <f>IF($E33=0,0,IF(geg!L58=0,0,IF(geg!G48="ja",0,VLOOKUP($F33,MIleerling,IF($E33="SO",3,5),FALSE))+IF((geg!M$160-geg!L$160)&gt;geg!$I$16/2,(geg!M51+geg!M53),(geg!L51+geg!L53))*((VLOOKUP($F33,MIleerling,IF($E33="SO",4,6),FALSE)))))</f>
        <v>11739.95</v>
      </c>
      <c r="L33" s="246">
        <f>IF($E33=0,0,IF(geg!O58=0,0,IF(geg!G48="ja",0,VLOOKUP($F33,MIleerling,IF($E33="SO",3,5),FALSE))+IF((geg!P$160-geg!O$160)&gt;geg!$I$16/2,(geg!P51+geg!P53),(geg!O51+geg!O53))*((VLOOKUP($F33,MIleerling,IF($E33="SO",4,6),FALSE)))))</f>
        <v>11739.95</v>
      </c>
      <c r="M33" s="246">
        <f>IF($E33=0,0,IF(geg!R58=0,0,IF(geg!G48="ja",0,VLOOKUP($F33,MIleerling,IF($E33="SO",3,5),FALSE))+IF((geg!S$160-geg!R$160)&gt;geg!$I$16/2,(geg!S51+geg!S53),(geg!R51+geg!R53))*((VLOOKUP($F33,MIleerling,IF($E33="SO",4,6),FALSE)))))</f>
        <v>11739.95</v>
      </c>
      <c r="N33" s="246">
        <f>IF($E33=0,0,IF(geg!U58=0,0,IF(geg!G48="ja",0,VLOOKUP($F33,MIleerling,IF($E33="SO",3,5),FALSE))+IF((geg!V$160-geg!U$160)&gt;geg!$I$16/2,(geg!V51+geg!V53),(geg!U51+geg!U53))*((VLOOKUP($F33,MIleerling,IF($E33="SO",4,6),FALSE)))))</f>
        <v>11739.95</v>
      </c>
      <c r="O33" s="1"/>
      <c r="P33" s="14"/>
    </row>
    <row r="34" spans="2:16" ht="12.75">
      <c r="B34" s="13"/>
      <c r="C34" s="3"/>
      <c r="D34" s="1" t="s">
        <v>600</v>
      </c>
      <c r="E34" s="91" t="str">
        <f>+geg!$D$61</f>
        <v>SO</v>
      </c>
      <c r="F34" s="91" t="str">
        <f>+geg!$E$61</f>
        <v>LG</v>
      </c>
      <c r="G34" s="1"/>
      <c r="H34" s="1"/>
      <c r="I34" s="1"/>
      <c r="J34" s="516">
        <f>IF($E34=0,0,IF(geg!I71=0,0,IF(G48="ja",0,VLOOKUP($F34,MIleerling,IF($E34="SO",3,5),FALSE))+IF((geg!J$160-geg!I$160)&gt;geg!$I$16/2,(geg!J71),(geg!I71))*((VLOOKUP($F34,MIleerling,IF($E34="SO",4,6),FALSE)))))*tabel!A$363</f>
        <v>20331.563658218976</v>
      </c>
      <c r="K34" s="246">
        <f>IF($E34=0,0,IF(geg!L71=0,0,IF(geg!G61="ja",0,VLOOKUP($F34,MIleerling,IF($E34="SO",3,5),FALSE))+IF((geg!M$160-geg!L$160)&gt;geg!$I$16/2,(geg!M64+geg!M66),(geg!L64+geg!L66))*((VLOOKUP($F34,MIleerling,IF($E34="SO",4,6),FALSE)))))</f>
        <v>20297</v>
      </c>
      <c r="L34" s="246">
        <f>IF($E34=0,0,IF(geg!O71=0,0,IF(geg!G61="ja",0,VLOOKUP($F34,MIleerling,IF($E34="SO",3,5),FALSE))+IF((geg!P$160-geg!O$160)&gt;geg!$I$16/2,(geg!P64+geg!P66),(geg!O64+geg!O66))*((VLOOKUP($F34,MIleerling,IF($E34="SO",4,6),FALSE)))))</f>
        <v>20297</v>
      </c>
      <c r="M34" s="246">
        <f>IF($E34=0,0,IF(geg!R71=0,0,IF(geg!G61="ja",0,VLOOKUP($F34,MIleerling,IF($E34="SO",3,5),FALSE))+IF((geg!S$160-geg!R$160)&gt;geg!$I$16/2,(geg!S64+geg!S66),(geg!R64+geg!R66))*((VLOOKUP($F34,MIleerling,IF($E34="SO",4,6),FALSE)))))</f>
        <v>20297</v>
      </c>
      <c r="N34" s="246">
        <f>IF($E34=0,0,IF(geg!U71=0,0,IF(geg!G61="ja",0,VLOOKUP($F34,MIleerling,IF($E34="SO",3,5),FALSE))+IF((geg!V$160-geg!U$160)&gt;geg!$I$16/2,(geg!V64+geg!V66),(geg!U64+geg!U66))*((VLOOKUP($F34,MIleerling,IF($E34="SO",4,6),FALSE)))))</f>
        <v>20297</v>
      </c>
      <c r="O34" s="1"/>
      <c r="P34" s="14"/>
    </row>
    <row r="35" spans="2:16" ht="12.75">
      <c r="B35" s="13"/>
      <c r="C35" s="3"/>
      <c r="D35" s="1" t="s">
        <v>601</v>
      </c>
      <c r="E35" s="91" t="str">
        <f>+geg!$D$86</f>
        <v>VSO</v>
      </c>
      <c r="F35" s="91" t="str">
        <f>+geg!$E$86</f>
        <v>ZMLK</v>
      </c>
      <c r="G35" s="1"/>
      <c r="H35" s="1"/>
      <c r="I35" s="1"/>
      <c r="J35" s="516">
        <f>IF($E35=0,0,IF(geg!I96=0,0,IF(J32=0,VLOOKUP(F35,MIleerling,2,FALSE),0)+VLOOKUP($F35,MIleerling,IF($E35="SO",3,5),FALSE)+IF((geg!J$160-geg!I$160)&gt;geg!$I$16/2,(geg!J96),(geg!I96))*((VLOOKUP($F35,MIleerling,IF($E35="SO",4,6),FALSE)))))*tabel!A$363</f>
        <v>15684.062906941805</v>
      </c>
      <c r="K35" s="246">
        <f>IF($E35=0,0,IF(geg!L96=0,0,IF(K32=0,VLOOKUP(F35,MIleerling,2,FALSE))+IF(geg!G86="ja",0,VLOOKUP($F35,MIleerling,IF($E35="SO",3,5),FALSE))+IF((geg!M$160-geg!L$160)&gt;geg!$I$16/2,(geg!M89+geg!M91),(geg!L89+geg!L91))*((VLOOKUP($F35,MIleerling,IF($E35="SO",4,6),FALSE)))))</f>
        <v>15657.400000000001</v>
      </c>
      <c r="L35" s="246">
        <f>IF($E35=0,0,IF(geg!O96=0,0,IF(L32=0,VLOOKUP(F35,MIleerling,2,FALSE))+IF(geg!G86="ja",0,VLOOKUP($F35,MIleerling,IF($E35="SO",3,5),FALSE))+IF((geg!P$160-geg!O$160)&gt;geg!$I$16/2,(geg!P89+geg!P91),(geg!O89+geg!O91))*((VLOOKUP($F35,MIleerling,IF($E35="SO",4,6),FALSE)))))</f>
        <v>15657.400000000001</v>
      </c>
      <c r="M35" s="246">
        <f>IF($E35=0,0,IF(geg!R96=0,0,IF(M32=0,VLOOKUP(F35,MIleerling,2,FALSE))+IF(geg!G86="ja",0,VLOOKUP($F35,MIleerling,IF($E35="SO",3,5),FALSE))+IF((geg!S$160-geg!R$160)&gt;geg!$I$16/2,(geg!S89+geg!S91),(geg!R89+geg!R91))*((VLOOKUP($F35,MIleerling,IF($E35="SO",4,6),FALSE)))))</f>
        <v>15657.400000000001</v>
      </c>
      <c r="N35" s="246">
        <f>IF($E35=0,0,IF(geg!U96=0,0,IF(N32=0,VLOOKUP(F35,MIleerling,2,FALSE))+IF(geg!G86="ja",0,VLOOKUP($F35,MIleerling,IF($E35="SO",3,5),FALSE))+IF((geg!V$160-geg!U$160)&gt;geg!$I$16/2,(geg!V89+geg!V91),(geg!U89+geg!U91))*((VLOOKUP($F35,MIleerling,IF($E35="SO",4,6),FALSE)))))</f>
        <v>15657.400000000001</v>
      </c>
      <c r="O35" s="1"/>
      <c r="P35" s="14"/>
    </row>
    <row r="36" spans="2:16" ht="12.75">
      <c r="B36" s="13"/>
      <c r="C36" s="3"/>
      <c r="D36" s="1" t="s">
        <v>602</v>
      </c>
      <c r="E36" s="91" t="str">
        <f>+geg!$D$99</f>
        <v>VSO</v>
      </c>
      <c r="F36" s="91" t="str">
        <f>+geg!$E$99</f>
        <v>MG (LG-ZMLK)</v>
      </c>
      <c r="G36" s="1"/>
      <c r="H36" s="1"/>
      <c r="I36" s="1"/>
      <c r="J36" s="516">
        <f>IF($E36=0,0,IF(geg!I109=0,0,IF(geg!G99="ja",0,VLOOKUP($F36,MIleerling,IF($E36="SO",3,5),FALSE))+IF((geg!J$160-geg!I$160)&gt;geg!$I$16/2,(geg!J109),(geg!I109))*((VLOOKUP($F36,MIleerling,IF($E36="SO",4,6),FALSE)))))*tabel!A$363</f>
        <v>13949.403986777525</v>
      </c>
      <c r="K36" s="246">
        <f>IF($E36=0,0,IF(geg!L102=0,0,IF(geg!G99="ja",0,VLOOKUP($F36,MIleerling,IF($E36="SO",3,5),FALSE))+IF((geg!M$160-geg!L$160)&gt;geg!$I$16/2,(geg!M109),(geg!L109))*((VLOOKUP($F36,MIleerling,IF($E36="SO",4,6),FALSE)))))</f>
        <v>13925.69</v>
      </c>
      <c r="L36" s="246">
        <f>IF($E36=0,0,IF(geg!O102=0,0,IF(geg!G99="ja",0,VLOOKUP($F36,MIleerling,IF($E36="SO",3,5),FALSE))+IF((geg!P$160-geg!O$160)&gt;geg!$I$16/2,(geg!P109),(geg!O109))*((VLOOKUP($F36,MIleerling,IF($E36="SO",4,6),FALSE)))))</f>
        <v>13925.69</v>
      </c>
      <c r="M36" s="246">
        <f>IF($E36=0,0,IF(geg!R102=0,0,IF(geg!G99="ja",0,VLOOKUP($F36,MIleerling,IF($E36="SO",3,5),FALSE))+IF((geg!S$160-geg!R$160)&gt;geg!$I$16/2,(geg!S109),(geg!R109))*((VLOOKUP($F36,MIleerling,IF($E36="SO",4,6),FALSE)))))</f>
        <v>13925.69</v>
      </c>
      <c r="N36" s="246">
        <f>IF($E36=0,0,IF(geg!U102=0,0,IF(geg!G99="ja",0,VLOOKUP($F36,MIleerling,IF($E36="SO",3,5),FALSE))+IF((geg!V$160-geg!U$160)&gt;geg!$I$16/2,(geg!V109),(geg!U109))*((VLOOKUP($F36,MIleerling,IF($E36="SO",4,6),FALSE)))))</f>
        <v>13925.69</v>
      </c>
      <c r="O36" s="1"/>
      <c r="P36" s="14"/>
    </row>
    <row r="37" spans="2:16" ht="12.75">
      <c r="B37" s="13"/>
      <c r="C37" s="3"/>
      <c r="D37" s="1" t="s">
        <v>603</v>
      </c>
      <c r="E37" s="91" t="str">
        <f>+geg!$D$112</f>
        <v>VSO</v>
      </c>
      <c r="F37" s="91" t="str">
        <f>+geg!$E$112</f>
        <v>LG</v>
      </c>
      <c r="G37" s="1"/>
      <c r="H37" s="1"/>
      <c r="I37" s="1"/>
      <c r="J37" s="516">
        <f>IF($E37=0,0,IF(geg!I122=0,0,IF(geg!G112="ja",0,VLOOKUP($F37,MIleerling,IF($E37="SO",3,5),FALSE))+IF((geg!J$160-geg!I$160)&gt;geg!$I$16/2,(geg!J115),(geg!I115))*((VLOOKUP($F37,MIleerling,IF($E37="SO",4,6),FALSE)))))*tabel!A$363</f>
        <v>9333.867574877293</v>
      </c>
      <c r="K37" s="246">
        <f>IF($E37=0,0,IF(geg!L122=0,0,IF(geg!G112="ja",0,VLOOKUP($F37,MIleerling,IF($E37="SO",3,5),FALSE))+IF((geg!M$160-geg!L$160)&gt;geg!$I$16/2,(geg!M122),(geg!L122))*((VLOOKUP($F37,MIleerling,IF($E37="SO",4,6),FALSE)))))</f>
        <v>9318</v>
      </c>
      <c r="L37" s="246">
        <f>IF($E37=0,0,IF(geg!O122=0,0,IF(geg!G112="ja",0,VLOOKUP($F37,MIleerling,IF($E37="SO",3,5),FALSE))+IF((geg!P$160-geg!O$160)&gt;geg!$I$16/2,(geg!P122),(geg!O122))*((VLOOKUP($F37,MIleerling,IF($E37="SO",4,6),FALSE)))))</f>
        <v>9318</v>
      </c>
      <c r="M37" s="246">
        <f>IF($E37=0,0,IF(geg!R122=0,0,IF(geg!G112="ja",0,VLOOKUP($F37,MIleerling,IF($E37="SO",3,5),FALSE))+IF((geg!S$160-geg!R$160)&gt;geg!$I$16/2,(geg!S122),(geg!R122))*((VLOOKUP($F37,MIleerling,IF($E37="SO",4,6),FALSE)))))</f>
        <v>9318</v>
      </c>
      <c r="N37" s="246">
        <f>IF($E37=0,0,IF(geg!U122=0,0,IF(geg!G112="ja",0,VLOOKUP($F37,MIleerling,IF($E37="SO",3,5),FALSE))+IF((geg!V$160-geg!U$160)&gt;geg!$I$16/2,(geg!V122),(geg!U122))*((VLOOKUP($F37,MIleerling,IF($E37="SO",4,6),FALSE)))))</f>
        <v>9318</v>
      </c>
      <c r="O37" s="1"/>
      <c r="P37" s="14"/>
    </row>
    <row r="38" spans="2:16" ht="12.75">
      <c r="B38" s="13"/>
      <c r="C38" s="1"/>
      <c r="D38" s="153" t="s">
        <v>33</v>
      </c>
      <c r="E38" s="94"/>
      <c r="F38" s="94"/>
      <c r="G38" s="239"/>
      <c r="H38" s="94"/>
      <c r="I38" s="239"/>
      <c r="J38" s="450">
        <f>SUM(J32:J37)</f>
        <v>134116.32775718725</v>
      </c>
      <c r="K38" s="450">
        <f>SUM(K32:K37)</f>
        <v>133888.33</v>
      </c>
      <c r="L38" s="450">
        <f>SUM(L32:L37)</f>
        <v>133888.33</v>
      </c>
      <c r="M38" s="450">
        <f>SUM(M32:M37)</f>
        <v>133888.33</v>
      </c>
      <c r="N38" s="450">
        <f>SUM(N32:N37)</f>
        <v>133888.33</v>
      </c>
      <c r="O38" s="1"/>
      <c r="P38" s="14"/>
    </row>
    <row r="39" spans="2:16" ht="12.75">
      <c r="B39" s="13"/>
      <c r="C39" s="1"/>
      <c r="D39" s="153"/>
      <c r="E39" s="94"/>
      <c r="F39" s="94"/>
      <c r="G39" s="239"/>
      <c r="H39" s="94"/>
      <c r="I39" s="239"/>
      <c r="J39" s="239"/>
      <c r="K39" s="155"/>
      <c r="L39" s="155"/>
      <c r="M39" s="155"/>
      <c r="N39" s="155"/>
      <c r="O39" s="1"/>
      <c r="P39" s="14"/>
    </row>
    <row r="40" spans="2:16" ht="12.75">
      <c r="B40" s="13"/>
      <c r="C40" s="1"/>
      <c r="D40" s="2" t="s">
        <v>99</v>
      </c>
      <c r="E40" s="94"/>
      <c r="F40" s="94"/>
      <c r="G40" s="239"/>
      <c r="H40" s="94"/>
      <c r="I40" s="239"/>
      <c r="J40" s="247">
        <f>+J20+J29+J38</f>
        <v>233304.06691375343</v>
      </c>
      <c r="K40" s="247">
        <f>+K20+K29+K38</f>
        <v>232907.44999999998</v>
      </c>
      <c r="L40" s="247">
        <f>+L20+L29+L38</f>
        <v>232907.44999999998</v>
      </c>
      <c r="M40" s="247">
        <f>+M20+M29+M38</f>
        <v>232907.44999999998</v>
      </c>
      <c r="N40" s="247">
        <f>+N20+N29+N38</f>
        <v>232907.44999999998</v>
      </c>
      <c r="O40" s="1"/>
      <c r="P40" s="14"/>
    </row>
    <row r="41" spans="2:16" ht="12.75">
      <c r="B41" s="13"/>
      <c r="C41" s="1"/>
      <c r="D41" s="1"/>
      <c r="E41" s="1"/>
      <c r="F41" s="1"/>
      <c r="G41" s="1"/>
      <c r="H41" s="1"/>
      <c r="I41" s="1"/>
      <c r="J41" s="1"/>
      <c r="K41" s="149"/>
      <c r="L41" s="149"/>
      <c r="M41" s="149"/>
      <c r="N41" s="149"/>
      <c r="O41" s="1"/>
      <c r="P41" s="14"/>
    </row>
    <row r="42" spans="2:16" ht="12.75">
      <c r="B42" s="13"/>
      <c r="C42" s="3"/>
      <c r="D42" s="94" t="s">
        <v>716</v>
      </c>
      <c r="E42" s="1"/>
      <c r="F42" s="1"/>
      <c r="G42" s="1"/>
      <c r="H42" s="1"/>
      <c r="I42" s="1"/>
      <c r="J42" s="1"/>
      <c r="K42" s="155"/>
      <c r="L42" s="155"/>
      <c r="M42" s="155"/>
      <c r="N42" s="155"/>
      <c r="O42" s="1"/>
      <c r="P42" s="14"/>
    </row>
    <row r="43" spans="2:16" ht="12.75">
      <c r="B43" s="13"/>
      <c r="C43" s="1"/>
      <c r="D43" s="1" t="s">
        <v>631</v>
      </c>
      <c r="E43" s="1"/>
      <c r="F43" s="1"/>
      <c r="G43" s="1"/>
      <c r="H43" s="1"/>
      <c r="I43" s="1"/>
      <c r="J43" s="1"/>
      <c r="K43" s="149"/>
      <c r="L43" s="149"/>
      <c r="M43" s="149"/>
      <c r="N43" s="149"/>
      <c r="O43" s="1"/>
      <c r="P43" s="14"/>
    </row>
    <row r="44" spans="2:16" ht="12.75">
      <c r="B44" s="13"/>
      <c r="C44" s="1"/>
      <c r="D44" s="1" t="s">
        <v>583</v>
      </c>
      <c r="E44" s="91" t="str">
        <f>+geg!$D$35</f>
        <v>SO</v>
      </c>
      <c r="F44" s="91" t="str">
        <f>+geg!$E$35</f>
        <v>ZMLK</v>
      </c>
      <c r="G44" s="1"/>
      <c r="H44" s="27" t="s">
        <v>565</v>
      </c>
      <c r="I44" s="1"/>
      <c r="J44" s="246">
        <f>IF($E44=0,0,IF($H44="nee",0,tabel!$D$345))*tabel!A$363</f>
        <v>5882.149654412501</v>
      </c>
      <c r="K44" s="246">
        <f>IF($E44=0,0,IF($H44="nee",0,tabel!$D$345))</f>
        <v>5872.15</v>
      </c>
      <c r="L44" s="246">
        <f>IF($E44=0,0,IF($H44="nee",0,tabel!$D$345))</f>
        <v>5872.15</v>
      </c>
      <c r="M44" s="246">
        <f>IF($E44=0,0,IF($H44="nee",0,tabel!$D$345))</f>
        <v>5872.15</v>
      </c>
      <c r="N44" s="246">
        <f>IF($E44=0,0,IF($H44="nee",0,tabel!$D$345))</f>
        <v>5872.15</v>
      </c>
      <c r="O44" s="1"/>
      <c r="P44" s="14"/>
    </row>
    <row r="45" spans="2:16" ht="12.75">
      <c r="B45" s="13"/>
      <c r="C45" s="1"/>
      <c r="D45" s="1" t="s">
        <v>584</v>
      </c>
      <c r="E45" s="91" t="str">
        <f>+geg!$D$48</f>
        <v>SO</v>
      </c>
      <c r="F45" s="91" t="str">
        <f>+geg!$E$48</f>
        <v>MG (LG-ZMLK)</v>
      </c>
      <c r="G45" s="1"/>
      <c r="H45" s="27" t="s">
        <v>565</v>
      </c>
      <c r="I45" s="1"/>
      <c r="J45" s="246">
        <f>IF($E45=0,0,IF($H45="nee",0,tabel!$D$345))*tabel!A$363</f>
        <v>5882.149654412501</v>
      </c>
      <c r="K45" s="246">
        <f>IF($E45=0,0,IF($H45="nee",0,tabel!$D$345))</f>
        <v>5872.15</v>
      </c>
      <c r="L45" s="246">
        <f>IF($E45=0,0,IF($H45="nee",0,tabel!$D$345))</f>
        <v>5872.15</v>
      </c>
      <c r="M45" s="246">
        <f>IF($E45=0,0,IF($H45="nee",0,tabel!$D$345))</f>
        <v>5872.15</v>
      </c>
      <c r="N45" s="246">
        <f>IF($E45=0,0,IF($H45="nee",0,tabel!$D$345))</f>
        <v>5872.15</v>
      </c>
      <c r="O45" s="1"/>
      <c r="P45" s="14"/>
    </row>
    <row r="46" spans="2:16" ht="12.75">
      <c r="B46" s="13"/>
      <c r="C46" s="1"/>
      <c r="D46" s="1" t="s">
        <v>600</v>
      </c>
      <c r="E46" s="91" t="str">
        <f>+geg!$D$61</f>
        <v>SO</v>
      </c>
      <c r="F46" s="91" t="str">
        <f>+geg!$E$61</f>
        <v>LG</v>
      </c>
      <c r="G46" s="1"/>
      <c r="H46" s="27" t="s">
        <v>565</v>
      </c>
      <c r="I46" s="1"/>
      <c r="J46" s="246">
        <f>IF($E46=0,0,IF($H46="nee",0,tabel!$D$345))*tabel!A$363</f>
        <v>5882.149654412501</v>
      </c>
      <c r="K46" s="246">
        <f>IF($E46=0,0,IF($H46="nee",0,tabel!$D$345))</f>
        <v>5872.15</v>
      </c>
      <c r="L46" s="246">
        <f>IF($E46=0,0,IF($H46="nee",0,tabel!$D$345))</f>
        <v>5872.15</v>
      </c>
      <c r="M46" s="246">
        <f>IF($E46=0,0,IF($H46="nee",0,tabel!$D$345))</f>
        <v>5872.15</v>
      </c>
      <c r="N46" s="246">
        <f>IF($E46=0,0,IF($H46="nee",0,tabel!$D$345))</f>
        <v>5872.15</v>
      </c>
      <c r="O46" s="1"/>
      <c r="P46" s="14"/>
    </row>
    <row r="47" spans="2:16" ht="12.75">
      <c r="B47" s="13"/>
      <c r="C47" s="1"/>
      <c r="D47" s="1" t="s">
        <v>601</v>
      </c>
      <c r="E47" s="91" t="str">
        <f>+geg!$D$86</f>
        <v>VSO</v>
      </c>
      <c r="F47" s="91" t="str">
        <f>+geg!$E$86</f>
        <v>ZMLK</v>
      </c>
      <c r="G47" s="1"/>
      <c r="H47" s="27" t="s">
        <v>565</v>
      </c>
      <c r="I47" s="1"/>
      <c r="J47" s="246">
        <f>IF($E47=0,0,IF($H47="nee",0,tabel!$D$345))*tabel!A$363</f>
        <v>5882.149654412501</v>
      </c>
      <c r="K47" s="246">
        <f>IF($E47=0,0,IF($H47="nee",0,tabel!$D$345))</f>
        <v>5872.15</v>
      </c>
      <c r="L47" s="246">
        <f>IF($E47=0,0,IF($H47="nee",0,tabel!$D$345))</f>
        <v>5872.15</v>
      </c>
      <c r="M47" s="246">
        <f>IF($E47=0,0,IF($H47="nee",0,tabel!$D$345))</f>
        <v>5872.15</v>
      </c>
      <c r="N47" s="246">
        <f>IF($E47=0,0,IF($H47="nee",0,tabel!$D$345))</f>
        <v>5872.15</v>
      </c>
      <c r="O47" s="1"/>
      <c r="P47" s="14"/>
    </row>
    <row r="48" spans="2:16" ht="12.75">
      <c r="B48" s="13"/>
      <c r="C48" s="1"/>
      <c r="D48" s="1" t="s">
        <v>602</v>
      </c>
      <c r="E48" s="91" t="str">
        <f>+geg!$D$99</f>
        <v>VSO</v>
      </c>
      <c r="F48" s="91" t="str">
        <f>+geg!$E$99</f>
        <v>MG (LG-ZMLK)</v>
      </c>
      <c r="G48" s="1"/>
      <c r="H48" s="27" t="s">
        <v>565</v>
      </c>
      <c r="I48" s="1"/>
      <c r="J48" s="246">
        <f>IF($E48=0,0,IF($H48="nee",0,tabel!$D$345))*tabel!A$363</f>
        <v>5882.149654412501</v>
      </c>
      <c r="K48" s="246">
        <f>IF($E48=0,0,IF($H48="nee",0,tabel!$D$345))</f>
        <v>5872.15</v>
      </c>
      <c r="L48" s="246">
        <f>IF($E48=0,0,IF($H48="nee",0,tabel!$D$345))</f>
        <v>5872.15</v>
      </c>
      <c r="M48" s="246">
        <f>IF($E48=0,0,IF($H48="nee",0,tabel!$D$345))</f>
        <v>5872.15</v>
      </c>
      <c r="N48" s="246">
        <f>IF($E48=0,0,IF($H48="nee",0,tabel!$D$345))</f>
        <v>5872.15</v>
      </c>
      <c r="O48" s="1"/>
      <c r="P48" s="14"/>
    </row>
    <row r="49" spans="2:16" ht="12.75">
      <c r="B49" s="13"/>
      <c r="C49" s="1"/>
      <c r="D49" s="1" t="s">
        <v>603</v>
      </c>
      <c r="E49" s="91" t="str">
        <f>+geg!$D$112</f>
        <v>VSO</v>
      </c>
      <c r="F49" s="91" t="str">
        <f>+geg!$E$112</f>
        <v>LG</v>
      </c>
      <c r="G49" s="1"/>
      <c r="H49" s="27" t="s">
        <v>565</v>
      </c>
      <c r="I49" s="1"/>
      <c r="J49" s="246">
        <f>IF($E49=0,0,IF($H49="nee",0,tabel!$D$345))*tabel!A$363</f>
        <v>5882.149654412501</v>
      </c>
      <c r="K49" s="246">
        <f>IF($E49=0,0,IF($H49="nee",0,tabel!$D$345))</f>
        <v>5872.15</v>
      </c>
      <c r="L49" s="246">
        <f>IF($E49=0,0,IF($H49="nee",0,tabel!$D$345))</f>
        <v>5872.15</v>
      </c>
      <c r="M49" s="246">
        <f>IF($E49=0,0,IF($H49="nee",0,tabel!$D$345))</f>
        <v>5872.15</v>
      </c>
      <c r="N49" s="246">
        <f>IF($E49=0,0,IF($H49="nee",0,tabel!$D$345))</f>
        <v>5872.15</v>
      </c>
      <c r="O49" s="1"/>
      <c r="P49" s="14"/>
    </row>
    <row r="50" spans="2:16" ht="12.75">
      <c r="B50" s="13"/>
      <c r="C50" s="1"/>
      <c r="D50" s="159" t="s">
        <v>700</v>
      </c>
      <c r="E50" s="91"/>
      <c r="F50" s="91"/>
      <c r="G50" s="1"/>
      <c r="H50" s="84"/>
      <c r="I50" s="1"/>
      <c r="J50" s="247">
        <f>SUM(J44:J49)</f>
        <v>35292.89792647501</v>
      </c>
      <c r="K50" s="247">
        <f>SUM(K44:K49)</f>
        <v>35232.9</v>
      </c>
      <c r="L50" s="247">
        <f>SUM(L44:L49)</f>
        <v>35232.9</v>
      </c>
      <c r="M50" s="247">
        <f>SUM(M44:M49)</f>
        <v>35232.9</v>
      </c>
      <c r="N50" s="247">
        <f>SUM(N44:N49)</f>
        <v>35232.9</v>
      </c>
      <c r="O50" s="1"/>
      <c r="P50" s="14"/>
    </row>
    <row r="51" spans="2:16" ht="12.75">
      <c r="B51" s="13"/>
      <c r="C51" s="1"/>
      <c r="D51" s="159"/>
      <c r="E51" s="91"/>
      <c r="F51" s="91"/>
      <c r="G51" s="1"/>
      <c r="H51" s="84"/>
      <c r="I51" s="1"/>
      <c r="J51" s="1"/>
      <c r="K51" s="155"/>
      <c r="L51" s="155"/>
      <c r="M51" s="155"/>
      <c r="N51" s="155"/>
      <c r="O51" s="1"/>
      <c r="P51" s="14"/>
    </row>
    <row r="52" spans="2:16" ht="12.75">
      <c r="B52" s="13"/>
      <c r="C52" s="1"/>
      <c r="D52" s="1" t="s">
        <v>632</v>
      </c>
      <c r="E52" s="91"/>
      <c r="F52" s="91"/>
      <c r="G52" s="1"/>
      <c r="H52" s="1"/>
      <c r="I52" s="1"/>
      <c r="J52" s="1"/>
      <c r="K52" s="149"/>
      <c r="L52" s="149"/>
      <c r="M52" s="149"/>
      <c r="N52" s="149"/>
      <c r="O52" s="1"/>
      <c r="P52" s="14"/>
    </row>
    <row r="53" spans="2:16" ht="12.75">
      <c r="B53" s="13"/>
      <c r="C53" s="1"/>
      <c r="D53" s="1" t="s">
        <v>583</v>
      </c>
      <c r="E53" s="91" t="str">
        <f>+geg!$D$35</f>
        <v>SO</v>
      </c>
      <c r="F53" s="91" t="str">
        <f>+geg!$E$35</f>
        <v>ZMLK</v>
      </c>
      <c r="G53" s="1"/>
      <c r="H53" s="27" t="s">
        <v>565</v>
      </c>
      <c r="I53" s="1"/>
      <c r="J53" s="246">
        <f>IF($E53=0,0,IF($H53="nee",0,VLOOKUP($F53,baden,2,FALSE)))*tabel!A$363</f>
        <v>25024.271261143946</v>
      </c>
      <c r="K53" s="246">
        <f aca="true" t="shared" si="1" ref="K53:N58">IF($E53=0,0,IF($H53="nee",0,VLOOKUP($F53,baden,2,FALSE)))</f>
        <v>24981.73</v>
      </c>
      <c r="L53" s="246">
        <f t="shared" si="1"/>
        <v>24981.73</v>
      </c>
      <c r="M53" s="246">
        <f t="shared" si="1"/>
        <v>24981.73</v>
      </c>
      <c r="N53" s="246">
        <f t="shared" si="1"/>
        <v>24981.73</v>
      </c>
      <c r="O53" s="1"/>
      <c r="P53" s="14"/>
    </row>
    <row r="54" spans="2:16" ht="12.75">
      <c r="B54" s="13"/>
      <c r="C54" s="1"/>
      <c r="D54" s="1" t="s">
        <v>584</v>
      </c>
      <c r="E54" s="91" t="str">
        <f>+geg!$D$48</f>
        <v>SO</v>
      </c>
      <c r="F54" s="91" t="str">
        <f>+geg!$E$48</f>
        <v>MG (LG-ZMLK)</v>
      </c>
      <c r="G54" s="1"/>
      <c r="H54" s="27" t="s">
        <v>565</v>
      </c>
      <c r="I54" s="1"/>
      <c r="J54" s="246">
        <f>IF($E54=0,0,IF($H54="nee",0,VLOOKUP($F54,baden,2,FALSE)))*tabel!A$363</f>
        <v>38857.89842732646</v>
      </c>
      <c r="K54" s="246">
        <f t="shared" si="1"/>
        <v>38791.84</v>
      </c>
      <c r="L54" s="246">
        <f t="shared" si="1"/>
        <v>38791.84</v>
      </c>
      <c r="M54" s="246">
        <f t="shared" si="1"/>
        <v>38791.84</v>
      </c>
      <c r="N54" s="246">
        <f t="shared" si="1"/>
        <v>38791.84</v>
      </c>
      <c r="O54" s="1"/>
      <c r="P54" s="14"/>
    </row>
    <row r="55" spans="2:16" ht="12.75">
      <c r="B55" s="13"/>
      <c r="C55" s="1"/>
      <c r="D55" s="1" t="s">
        <v>600</v>
      </c>
      <c r="E55" s="91" t="str">
        <f>+geg!$D$61</f>
        <v>SO</v>
      </c>
      <c r="F55" s="91" t="str">
        <f>+geg!$E$61</f>
        <v>LG</v>
      </c>
      <c r="G55" s="1"/>
      <c r="H55" s="27" t="s">
        <v>565</v>
      </c>
      <c r="I55" s="1"/>
      <c r="J55" s="246">
        <f>IF($E55=0,0,IF($H55="nee",0,VLOOKUP($F55,baden,2,FALSE)))*tabel!A$363</f>
        <v>38857.89842732646</v>
      </c>
      <c r="K55" s="246">
        <f t="shared" si="1"/>
        <v>38791.84</v>
      </c>
      <c r="L55" s="246">
        <f t="shared" si="1"/>
        <v>38791.84</v>
      </c>
      <c r="M55" s="246">
        <f t="shared" si="1"/>
        <v>38791.84</v>
      </c>
      <c r="N55" s="246">
        <f t="shared" si="1"/>
        <v>38791.84</v>
      </c>
      <c r="O55" s="1"/>
      <c r="P55" s="14"/>
    </row>
    <row r="56" spans="2:16" ht="12.75">
      <c r="B56" s="13"/>
      <c r="C56" s="1"/>
      <c r="D56" s="1" t="s">
        <v>601</v>
      </c>
      <c r="E56" s="91" t="str">
        <f>+geg!$D$86</f>
        <v>VSO</v>
      </c>
      <c r="F56" s="91" t="str">
        <f>+geg!$E$86</f>
        <v>ZMLK</v>
      </c>
      <c r="G56" s="1"/>
      <c r="H56" s="27" t="s">
        <v>565</v>
      </c>
      <c r="I56" s="1"/>
      <c r="J56" s="246">
        <f>IF($E56=0,0,IF($H56="nee",0,VLOOKUP($F56,baden,2,FALSE)))*tabel!A$363</f>
        <v>25024.271261143946</v>
      </c>
      <c r="K56" s="246">
        <f t="shared" si="1"/>
        <v>24981.73</v>
      </c>
      <c r="L56" s="246">
        <f t="shared" si="1"/>
        <v>24981.73</v>
      </c>
      <c r="M56" s="246">
        <f t="shared" si="1"/>
        <v>24981.73</v>
      </c>
      <c r="N56" s="246">
        <f t="shared" si="1"/>
        <v>24981.73</v>
      </c>
      <c r="O56" s="1"/>
      <c r="P56" s="14"/>
    </row>
    <row r="57" spans="2:16" ht="12.75">
      <c r="B57" s="13"/>
      <c r="C57" s="1"/>
      <c r="D57" s="1" t="s">
        <v>602</v>
      </c>
      <c r="E57" s="91" t="str">
        <f>+geg!$D$99</f>
        <v>VSO</v>
      </c>
      <c r="F57" s="91" t="str">
        <f>+geg!$E$99</f>
        <v>MG (LG-ZMLK)</v>
      </c>
      <c r="G57" s="1"/>
      <c r="H57" s="27" t="s">
        <v>565</v>
      </c>
      <c r="I57" s="1"/>
      <c r="J57" s="246">
        <f>IF($E57=0,0,IF($H57="nee",0,VLOOKUP($F57,baden,2,FALSE)))*tabel!A$363</f>
        <v>38857.89842732646</v>
      </c>
      <c r="K57" s="246">
        <f t="shared" si="1"/>
        <v>38791.84</v>
      </c>
      <c r="L57" s="246">
        <f t="shared" si="1"/>
        <v>38791.84</v>
      </c>
      <c r="M57" s="246">
        <f t="shared" si="1"/>
        <v>38791.84</v>
      </c>
      <c r="N57" s="246">
        <f t="shared" si="1"/>
        <v>38791.84</v>
      </c>
      <c r="O57" s="1"/>
      <c r="P57" s="14"/>
    </row>
    <row r="58" spans="2:16" ht="12.75">
      <c r="B58" s="13"/>
      <c r="C58" s="1"/>
      <c r="D58" s="1" t="s">
        <v>603</v>
      </c>
      <c r="E58" s="91" t="str">
        <f>+geg!$D$112</f>
        <v>VSO</v>
      </c>
      <c r="F58" s="91" t="str">
        <f>+geg!$E$112</f>
        <v>LG</v>
      </c>
      <c r="G58" s="1"/>
      <c r="H58" s="27" t="s">
        <v>565</v>
      </c>
      <c r="I58" s="1"/>
      <c r="J58" s="246">
        <f>IF($E58=0,0,IF($H58="nee",0,VLOOKUP($F58,baden,2,FALSE)))*tabel!A$363</f>
        <v>38857.89842732646</v>
      </c>
      <c r="K58" s="246">
        <f t="shared" si="1"/>
        <v>38791.84</v>
      </c>
      <c r="L58" s="246">
        <f t="shared" si="1"/>
        <v>38791.84</v>
      </c>
      <c r="M58" s="246">
        <f t="shared" si="1"/>
        <v>38791.84</v>
      </c>
      <c r="N58" s="246">
        <f t="shared" si="1"/>
        <v>38791.84</v>
      </c>
      <c r="O58" s="1"/>
      <c r="P58" s="14"/>
    </row>
    <row r="59" spans="2:16" ht="12.75">
      <c r="B59" s="13"/>
      <c r="C59" s="159"/>
      <c r="D59" s="159" t="s">
        <v>700</v>
      </c>
      <c r="E59" s="1"/>
      <c r="F59" s="1"/>
      <c r="G59" s="1"/>
      <c r="H59" s="84"/>
      <c r="I59" s="1"/>
      <c r="J59" s="247">
        <f>SUM(J53:J58)</f>
        <v>205480.13623159373</v>
      </c>
      <c r="K59" s="247">
        <f>SUM(K53:K58)</f>
        <v>205130.81999999998</v>
      </c>
      <c r="L59" s="247">
        <f>SUM(L53:L58)</f>
        <v>205130.81999999998</v>
      </c>
      <c r="M59" s="247">
        <f>SUM(M53:M58)</f>
        <v>205130.81999999998</v>
      </c>
      <c r="N59" s="247">
        <f>SUM(N53:N58)</f>
        <v>205130.81999999998</v>
      </c>
      <c r="O59" s="1"/>
      <c r="P59" s="14"/>
    </row>
    <row r="60" spans="2:16" ht="12.75">
      <c r="B60" s="13"/>
      <c r="C60" s="3"/>
      <c r="D60" s="3"/>
      <c r="E60" s="1"/>
      <c r="F60" s="1"/>
      <c r="G60" s="84"/>
      <c r="H60" s="1"/>
      <c r="I60" s="84"/>
      <c r="J60" s="84"/>
      <c r="K60" s="240"/>
      <c r="L60" s="240"/>
      <c r="M60" s="240"/>
      <c r="N60" s="240"/>
      <c r="O60" s="1"/>
      <c r="P60" s="14"/>
    </row>
    <row r="61" spans="2:16" ht="12.75">
      <c r="B61" s="13"/>
      <c r="C61" s="3"/>
      <c r="D61" s="94" t="s">
        <v>717</v>
      </c>
      <c r="E61" s="1"/>
      <c r="F61" s="1"/>
      <c r="G61" s="1"/>
      <c r="H61" s="1"/>
      <c r="I61" s="1"/>
      <c r="J61" s="1"/>
      <c r="K61" s="25"/>
      <c r="L61" s="25"/>
      <c r="M61" s="25"/>
      <c r="N61" s="25"/>
      <c r="O61" s="1"/>
      <c r="P61" s="14"/>
    </row>
    <row r="62" spans="2:16" ht="12.75">
      <c r="B62" s="13"/>
      <c r="C62" s="3"/>
      <c r="D62" s="1" t="s">
        <v>636</v>
      </c>
      <c r="E62" s="1"/>
      <c r="F62" s="1"/>
      <c r="G62" s="241"/>
      <c r="H62" s="248">
        <f>+tabel!C352</f>
        <v>984.14</v>
      </c>
      <c r="I62" s="241"/>
      <c r="J62" s="234" t="s">
        <v>633</v>
      </c>
      <c r="K62" s="234" t="s">
        <v>633</v>
      </c>
      <c r="L62" s="234" t="s">
        <v>633</v>
      </c>
      <c r="M62" s="234" t="s">
        <v>633</v>
      </c>
      <c r="N62" s="234" t="s">
        <v>633</v>
      </c>
      <c r="O62" s="1"/>
      <c r="P62" s="14"/>
    </row>
    <row r="63" spans="2:16" ht="12.75">
      <c r="B63" s="13"/>
      <c r="C63" s="3"/>
      <c r="D63" s="1" t="s">
        <v>634</v>
      </c>
      <c r="E63" s="1"/>
      <c r="F63" s="1"/>
      <c r="G63" s="1"/>
      <c r="H63" s="1"/>
      <c r="I63" s="1"/>
      <c r="J63" s="448">
        <v>1</v>
      </c>
      <c r="K63" s="361">
        <f>J63</f>
        <v>1</v>
      </c>
      <c r="L63" s="361">
        <f>K63</f>
        <v>1</v>
      </c>
      <c r="M63" s="361">
        <f>L63</f>
        <v>1</v>
      </c>
      <c r="N63" s="361">
        <f>M63</f>
        <v>1</v>
      </c>
      <c r="O63" s="1"/>
      <c r="P63" s="14"/>
    </row>
    <row r="64" spans="2:16" ht="12.75">
      <c r="B64" s="13"/>
      <c r="C64" s="3"/>
      <c r="D64" s="3"/>
      <c r="E64" s="1"/>
      <c r="F64" s="1"/>
      <c r="G64" s="1"/>
      <c r="H64" s="1"/>
      <c r="I64" s="1"/>
      <c r="J64" s="247">
        <f>+J63*$H62*tabel!A363</f>
        <v>985.8158870079136</v>
      </c>
      <c r="K64" s="247">
        <f>+K63*$H62</f>
        <v>984.14</v>
      </c>
      <c r="L64" s="247">
        <f>+L63*$H62</f>
        <v>984.14</v>
      </c>
      <c r="M64" s="247">
        <f>+M63*$H62</f>
        <v>984.14</v>
      </c>
      <c r="N64" s="247">
        <f>+N63*$H62</f>
        <v>984.14</v>
      </c>
      <c r="O64" s="1"/>
      <c r="P64" s="14"/>
    </row>
    <row r="65" spans="2:16" ht="12.75">
      <c r="B65" s="13"/>
      <c r="C65" s="3"/>
      <c r="D65" s="94" t="s">
        <v>35</v>
      </c>
      <c r="E65" s="1"/>
      <c r="F65" s="1"/>
      <c r="G65" s="1"/>
      <c r="H65" s="1"/>
      <c r="I65" s="1"/>
      <c r="J65" s="1"/>
      <c r="K65" s="155"/>
      <c r="L65" s="155"/>
      <c r="M65" s="155"/>
      <c r="N65" s="155"/>
      <c r="O65" s="1"/>
      <c r="P65" s="14"/>
    </row>
    <row r="66" spans="2:16" ht="12.75">
      <c r="B66" s="13"/>
      <c r="C66" s="3"/>
      <c r="D66" s="91" t="s">
        <v>34</v>
      </c>
      <c r="E66" s="1"/>
      <c r="F66" s="1"/>
      <c r="G66" s="1"/>
      <c r="H66" s="322">
        <v>1000</v>
      </c>
      <c r="I66" s="1"/>
      <c r="J66" s="247">
        <f>+$H66*tabel!H357</f>
        <v>1135.2</v>
      </c>
      <c r="K66" s="247">
        <f>+$H66*tabel!I357</f>
        <v>1133.3</v>
      </c>
      <c r="L66" s="247">
        <f>+$H66*tabel!J357</f>
        <v>1133.3</v>
      </c>
      <c r="M66" s="247">
        <f>+$H66*tabel!K357</f>
        <v>1133.3</v>
      </c>
      <c r="N66" s="247">
        <f>+$H66*tabel!L357</f>
        <v>1133.3</v>
      </c>
      <c r="O66" s="1"/>
      <c r="P66" s="14"/>
    </row>
    <row r="67" spans="2:16" ht="12.75">
      <c r="B67" s="13"/>
      <c r="C67" s="3"/>
      <c r="D67" s="3"/>
      <c r="E67" s="1"/>
      <c r="F67" s="242"/>
      <c r="G67" s="1"/>
      <c r="H67" s="1"/>
      <c r="I67" s="1"/>
      <c r="J67" s="1"/>
      <c r="K67" s="25"/>
      <c r="L67" s="25"/>
      <c r="M67" s="25"/>
      <c r="N67" s="25"/>
      <c r="O67" s="1"/>
      <c r="P67" s="14"/>
    </row>
    <row r="68" spans="2:16" ht="12.75">
      <c r="B68" s="13"/>
      <c r="C68" s="3"/>
      <c r="D68" s="3"/>
      <c r="E68" s="1"/>
      <c r="F68" s="242"/>
      <c r="G68" s="1"/>
      <c r="H68" s="1"/>
      <c r="I68" s="1"/>
      <c r="J68" s="1"/>
      <c r="K68" s="25"/>
      <c r="L68" s="25"/>
      <c r="M68" s="25"/>
      <c r="N68" s="25"/>
      <c r="O68" s="1"/>
      <c r="P68" s="14"/>
    </row>
    <row r="69" spans="2:16" ht="12.75">
      <c r="B69" s="13"/>
      <c r="C69" s="3"/>
      <c r="D69" s="94" t="s">
        <v>115</v>
      </c>
      <c r="E69" s="1"/>
      <c r="F69" s="1"/>
      <c r="G69" s="1"/>
      <c r="H69" s="1"/>
      <c r="I69" s="1"/>
      <c r="J69" s="1"/>
      <c r="K69" s="25"/>
      <c r="L69" s="25"/>
      <c r="M69" s="25"/>
      <c r="N69" s="25"/>
      <c r="O69" s="1"/>
      <c r="P69" s="14"/>
    </row>
    <row r="70" spans="2:16" ht="12.75">
      <c r="B70" s="13"/>
      <c r="C70" s="3"/>
      <c r="D70" s="1" t="s">
        <v>640</v>
      </c>
      <c r="E70" s="1"/>
      <c r="F70" s="1"/>
      <c r="G70" s="1"/>
      <c r="H70" s="1"/>
      <c r="I70" s="1"/>
      <c r="J70" s="448">
        <v>0</v>
      </c>
      <c r="K70" s="235">
        <f>J70</f>
        <v>0</v>
      </c>
      <c r="L70" s="235">
        <f aca="true" t="shared" si="2" ref="L70:N71">K70</f>
        <v>0</v>
      </c>
      <c r="M70" s="235">
        <f t="shared" si="2"/>
        <v>0</v>
      </c>
      <c r="N70" s="235">
        <f t="shared" si="2"/>
        <v>0</v>
      </c>
      <c r="O70" s="1"/>
      <c r="P70" s="14"/>
    </row>
    <row r="71" spans="2:16" ht="12.75">
      <c r="B71" s="13"/>
      <c r="C71" s="3"/>
      <c r="D71" s="1" t="s">
        <v>116</v>
      </c>
      <c r="E71" s="1"/>
      <c r="F71" s="1"/>
      <c r="G71" s="1"/>
      <c r="H71" s="1"/>
      <c r="I71" s="1"/>
      <c r="J71" s="448">
        <v>0</v>
      </c>
      <c r="K71" s="235">
        <f>J71</f>
        <v>0</v>
      </c>
      <c r="L71" s="235">
        <f t="shared" si="2"/>
        <v>0</v>
      </c>
      <c r="M71" s="235">
        <f t="shared" si="2"/>
        <v>0</v>
      </c>
      <c r="N71" s="235">
        <f t="shared" si="2"/>
        <v>0</v>
      </c>
      <c r="O71" s="1"/>
      <c r="P71" s="14"/>
    </row>
    <row r="72" spans="2:16" ht="12.75">
      <c r="B72" s="13"/>
      <c r="C72" s="3"/>
      <c r="D72" s="3"/>
      <c r="E72" s="1"/>
      <c r="F72" s="242"/>
      <c r="G72" s="1"/>
      <c r="H72" s="1"/>
      <c r="I72" s="1"/>
      <c r="J72" s="1"/>
      <c r="K72" s="149"/>
      <c r="L72" s="149"/>
      <c r="M72" s="149"/>
      <c r="N72" s="149"/>
      <c r="O72" s="1"/>
      <c r="P72" s="14"/>
    </row>
    <row r="73" spans="2:16" ht="12.75">
      <c r="B73" s="13"/>
      <c r="C73" s="3"/>
      <c r="D73" s="3"/>
      <c r="E73" s="1"/>
      <c r="F73" s="242"/>
      <c r="G73" s="1"/>
      <c r="H73" s="1"/>
      <c r="I73" s="1"/>
      <c r="J73" s="1"/>
      <c r="K73" s="149"/>
      <c r="L73" s="149"/>
      <c r="M73" s="149"/>
      <c r="N73" s="149"/>
      <c r="O73" s="1"/>
      <c r="P73" s="14"/>
    </row>
    <row r="74" spans="2:16" ht="12.75">
      <c r="B74" s="13"/>
      <c r="C74" s="3"/>
      <c r="D74" s="94" t="s">
        <v>259</v>
      </c>
      <c r="E74" s="1"/>
      <c r="F74" s="242"/>
      <c r="G74" s="1"/>
      <c r="H74" s="1"/>
      <c r="I74" s="1"/>
      <c r="J74" s="1"/>
      <c r="K74" s="1"/>
      <c r="L74" s="1"/>
      <c r="M74" s="1"/>
      <c r="N74" s="1"/>
      <c r="O74" s="1"/>
      <c r="P74" s="14"/>
    </row>
    <row r="75" spans="2:27" ht="12.75">
      <c r="B75" s="13"/>
      <c r="C75" s="1"/>
      <c r="D75" s="1" t="s">
        <v>648</v>
      </c>
      <c r="E75" s="1"/>
      <c r="F75" s="242"/>
      <c r="G75" s="1"/>
      <c r="H75" s="1"/>
      <c r="I75" s="1"/>
      <c r="J75" s="1"/>
      <c r="K75" s="1"/>
      <c r="L75" s="1"/>
      <c r="M75" s="1"/>
      <c r="N75" s="1"/>
      <c r="O75" s="149"/>
      <c r="P75" s="323"/>
      <c r="Q75" s="144"/>
      <c r="R75" s="144"/>
      <c r="S75" s="144"/>
      <c r="T75" s="144"/>
      <c r="U75" s="144"/>
      <c r="V75" s="144"/>
      <c r="W75" s="144"/>
      <c r="X75" s="144"/>
      <c r="Y75" s="144"/>
      <c r="Z75" s="144"/>
      <c r="AA75" s="144"/>
    </row>
    <row r="76" spans="2:27" ht="12.75">
      <c r="B76" s="13"/>
      <c r="C76" s="1"/>
      <c r="D76" s="1" t="s">
        <v>583</v>
      </c>
      <c r="E76" s="91" t="str">
        <f>+geg!$D$35</f>
        <v>SO</v>
      </c>
      <c r="F76" s="91" t="str">
        <f>+geg!$E$35</f>
        <v>ZMLK</v>
      </c>
      <c r="G76" s="1"/>
      <c r="H76" s="1"/>
      <c r="I76" s="1"/>
      <c r="J76" s="246">
        <f>IF($F$76=0,0,(geg!I43*VLOOKUP(geg!$E35,TAB,6,FALSE)+geg!I44*VLOOKUP(geg!$E35,TAB,7,FALSE)))*tabel!A$363</f>
        <v>0</v>
      </c>
      <c r="K76" s="246">
        <f>IF($F$76=0,0,(geg!L43*VLOOKUP(geg!$E35,TAB,6,FALSE)+geg!L44*VLOOKUP(geg!$E35,TAB,7,FALSE)))</f>
        <v>0</v>
      </c>
      <c r="L76" s="246">
        <f>IF($F$76=0,0,(geg!O43*VLOOKUP(geg!$E35,TAB,6,FALSE)+geg!O44*VLOOKUP(geg!$E35,TAB,7,FALSE)))</f>
        <v>0</v>
      </c>
      <c r="M76" s="246">
        <f>IF($F$76=0,0,(geg!R43*VLOOKUP(geg!$E35,TAB,6,FALSE)+geg!R44*VLOOKUP(geg!$E35,TAB,7,FALSE)))</f>
        <v>0</v>
      </c>
      <c r="N76" s="246">
        <f>IF($F$76=0,0,(geg!U43*VLOOKUP(geg!$E35,TAB,6,FALSE)+geg!U44*VLOOKUP(geg!$E35,TAB,7,FALSE)))</f>
        <v>0</v>
      </c>
      <c r="O76" s="149"/>
      <c r="P76" s="323"/>
      <c r="Q76" s="144"/>
      <c r="R76" s="144"/>
      <c r="S76" s="144"/>
      <c r="T76" s="144"/>
      <c r="U76" s="144"/>
      <c r="V76" s="144"/>
      <c r="W76" s="144"/>
      <c r="X76" s="144"/>
      <c r="Y76" s="144"/>
      <c r="Z76" s="144"/>
      <c r="AA76" s="144"/>
    </row>
    <row r="77" spans="2:27" ht="12.75">
      <c r="B77" s="13"/>
      <c r="C77" s="1"/>
      <c r="D77" s="1" t="s">
        <v>584</v>
      </c>
      <c r="E77" s="91" t="str">
        <f>+geg!$D$48</f>
        <v>SO</v>
      </c>
      <c r="F77" s="91" t="str">
        <f>+geg!$E$48</f>
        <v>MG (LG-ZMLK)</v>
      </c>
      <c r="G77" s="1"/>
      <c r="H77" s="1"/>
      <c r="I77" s="1"/>
      <c r="J77" s="246">
        <f>IF($F$77=0,0,(geg!I56*VLOOKUP(geg!$E48,TAB,6,FALSE)+geg!I57*VLOOKUP(geg!$E48,TAB,7,FALSE)))*tabel!A$363</f>
        <v>0</v>
      </c>
      <c r="K77" s="246">
        <f>IF($F$77=0,0,(geg!L56*VLOOKUP(geg!$E48,TAB,6,FALSE)+geg!L57*VLOOKUP(geg!$E48,TAB,7,FALSE)))</f>
        <v>0</v>
      </c>
      <c r="L77" s="246">
        <f>IF($F$77=0,0,(geg!O56*VLOOKUP(geg!$E48,TAB,6,FALSE)+geg!O57*VLOOKUP(geg!$E48,TAB,7,FALSE)))</f>
        <v>0</v>
      </c>
      <c r="M77" s="246">
        <f>IF($F$77=0,0,(geg!R56*VLOOKUP(geg!$E48,TAB,6,FALSE)+geg!R57*VLOOKUP(geg!$E48,TAB,7,FALSE)))</f>
        <v>0</v>
      </c>
      <c r="N77" s="246">
        <f>IF($F$77=0,0,(geg!U56*VLOOKUP(geg!$E48,TAB,6,FALSE)+geg!U57*VLOOKUP(geg!$E48,TAB,7,FALSE)))</f>
        <v>0</v>
      </c>
      <c r="O77" s="149"/>
      <c r="P77" s="323"/>
      <c r="Q77" s="144"/>
      <c r="R77" s="144"/>
      <c r="S77" s="144"/>
      <c r="T77" s="144"/>
      <c r="U77" s="144"/>
      <c r="V77" s="144"/>
      <c r="W77" s="144"/>
      <c r="X77" s="144"/>
      <c r="Y77" s="144"/>
      <c r="Z77" s="144"/>
      <c r="AA77" s="144"/>
    </row>
    <row r="78" spans="2:27" ht="12.75">
      <c r="B78" s="13"/>
      <c r="C78" s="1"/>
      <c r="D78" s="1" t="s">
        <v>600</v>
      </c>
      <c r="E78" s="91" t="str">
        <f>+geg!$D$61</f>
        <v>SO</v>
      </c>
      <c r="F78" s="91" t="str">
        <f>+geg!$E$61</f>
        <v>LG</v>
      </c>
      <c r="G78" s="1"/>
      <c r="H78" s="1"/>
      <c r="I78" s="1"/>
      <c r="J78" s="246">
        <f>IF($F$78=0,0,(geg!I69*VLOOKUP(geg!$E61,TAB,6,FALSE)+geg!I70*VLOOKUP(geg!$E61,TAB,7,FALSE)))*tabel!A363</f>
        <v>0</v>
      </c>
      <c r="K78" s="246">
        <f>IF($F$78=0,0,(geg!L69*VLOOKUP(geg!$E61,TAB,6,FALSE)+geg!L70*VLOOKUP(geg!$E61,TAB,7,FALSE)))</f>
        <v>0</v>
      </c>
      <c r="L78" s="246">
        <f>IF($F$78=0,0,(geg!O69*VLOOKUP(geg!$E61,TAB,6,FALSE)+geg!O70*VLOOKUP(geg!$E61,TAB,7,FALSE)))</f>
        <v>0</v>
      </c>
      <c r="M78" s="246">
        <f>IF($F$78=0,0,(geg!R69*VLOOKUP(geg!$E61,TAB,6,FALSE)+geg!R70*VLOOKUP(geg!$E61,TAB,7,FALSE)))</f>
        <v>0</v>
      </c>
      <c r="N78" s="246">
        <f>IF($F$78=0,0,(geg!U69*VLOOKUP(geg!$E61,TAB,6,FALSE)+geg!U70*VLOOKUP(geg!$E61,TAB,7,FALSE)))</f>
        <v>0</v>
      </c>
      <c r="O78" s="149"/>
      <c r="P78" s="323"/>
      <c r="Q78" s="144"/>
      <c r="R78" s="144"/>
      <c r="S78" s="144"/>
      <c r="T78" s="144"/>
      <c r="U78" s="144"/>
      <c r="V78" s="144"/>
      <c r="W78" s="144"/>
      <c r="X78" s="144"/>
      <c r="Y78" s="144"/>
      <c r="Z78" s="144"/>
      <c r="AA78" s="144"/>
    </row>
    <row r="79" spans="2:27" ht="12.75">
      <c r="B79" s="13"/>
      <c r="C79" s="1"/>
      <c r="D79" s="1" t="s">
        <v>601</v>
      </c>
      <c r="E79" s="91" t="str">
        <f>+geg!$D$86</f>
        <v>VSO</v>
      </c>
      <c r="F79" s="91" t="str">
        <f>+geg!$E$86</f>
        <v>ZMLK</v>
      </c>
      <c r="G79" s="1"/>
      <c r="H79" s="1"/>
      <c r="I79" s="1"/>
      <c r="J79" s="246">
        <f>IF($F$79=0,0,(geg!I94*VLOOKUP(geg!$E86,TAB,6,FALSE)+geg!I95*VLOOKUP(geg!$E86,TAB,7,FALSE)))*tabel!A363</f>
        <v>0</v>
      </c>
      <c r="K79" s="246">
        <f>IF($F$79=0,0,(geg!L94*VLOOKUP(geg!$E86,TAB,6,FALSE)+geg!L95*VLOOKUP(geg!$E86,TAB,7,FALSE)))</f>
        <v>0</v>
      </c>
      <c r="L79" s="246">
        <f>IF($F$79=0,0,(geg!O94*VLOOKUP(geg!$E86,TAB,6,FALSE)+geg!O95*VLOOKUP(geg!$E86,TAB,7,FALSE)))</f>
        <v>0</v>
      </c>
      <c r="M79" s="246">
        <f>IF($F$79=0,0,(geg!R94*VLOOKUP(geg!$E86,TAB,6,FALSE)+geg!R95*VLOOKUP(geg!$E86,TAB,7,FALSE)))</f>
        <v>0</v>
      </c>
      <c r="N79" s="246">
        <f>IF($F$79=0,0,(geg!U94*VLOOKUP(geg!$E86,TAB,6,FALSE)+geg!U95*VLOOKUP(geg!$E86,TAB,7,FALSE)))</f>
        <v>0</v>
      </c>
      <c r="O79" s="149"/>
      <c r="P79" s="323"/>
      <c r="Q79" s="144"/>
      <c r="R79" s="144"/>
      <c r="S79" s="144"/>
      <c r="T79" s="144"/>
      <c r="U79" s="144"/>
      <c r="V79" s="144"/>
      <c r="W79" s="144"/>
      <c r="X79" s="144"/>
      <c r="Y79" s="144"/>
      <c r="Z79" s="144"/>
      <c r="AA79" s="144"/>
    </row>
    <row r="80" spans="2:27" ht="12.75">
      <c r="B80" s="13"/>
      <c r="C80" s="1"/>
      <c r="D80" s="1" t="s">
        <v>602</v>
      </c>
      <c r="E80" s="91" t="str">
        <f>+geg!$D$99</f>
        <v>VSO</v>
      </c>
      <c r="F80" s="91" t="str">
        <f>+geg!$E$99</f>
        <v>MG (LG-ZMLK)</v>
      </c>
      <c r="G80" s="1"/>
      <c r="H80" s="1"/>
      <c r="I80" s="1"/>
      <c r="J80" s="246">
        <f>IF($F$80=0,0,(geg!I107*VLOOKUP(geg!$E99,TAB,6,FALSE)+geg!I108*VLOOKUP(geg!$E99,TAB,7,FALSE)))*tabel!A363</f>
        <v>0</v>
      </c>
      <c r="K80" s="246">
        <f>IF($F$80=0,0,(geg!L107*VLOOKUP(geg!$E99,TAB,6,FALSE)+geg!L108*VLOOKUP(geg!$E99,TAB,7,FALSE)))</f>
        <v>0</v>
      </c>
      <c r="L80" s="246">
        <f>IF($F$80=0,0,(geg!O107*VLOOKUP(geg!$E99,TAB,6,FALSE)+geg!O108*VLOOKUP(geg!$E99,TAB,7,FALSE)))</f>
        <v>0</v>
      </c>
      <c r="M80" s="246">
        <f>IF($F$80=0,0,(geg!R107*VLOOKUP(geg!$E99,TAB,6,FALSE)+geg!R108*VLOOKUP(geg!$E99,TAB,7,FALSE)))</f>
        <v>0</v>
      </c>
      <c r="N80" s="246">
        <f>IF($F$80=0,0,(geg!U107*VLOOKUP(geg!$E99,TAB,6,FALSE)+geg!U108*VLOOKUP(geg!$E99,TAB,7,FALSE)))</f>
        <v>0</v>
      </c>
      <c r="O80" s="149"/>
      <c r="P80" s="323"/>
      <c r="Q80" s="144"/>
      <c r="R80" s="144"/>
      <c r="S80" s="144"/>
      <c r="T80" s="144"/>
      <c r="U80" s="144"/>
      <c r="V80" s="144"/>
      <c r="W80" s="144"/>
      <c r="X80" s="144"/>
      <c r="Y80" s="144"/>
      <c r="Z80" s="144"/>
      <c r="AA80" s="144"/>
    </row>
    <row r="81" spans="2:27" ht="12.75">
      <c r="B81" s="13"/>
      <c r="C81" s="1"/>
      <c r="D81" s="1" t="s">
        <v>603</v>
      </c>
      <c r="E81" s="91" t="str">
        <f>+geg!$D$112</f>
        <v>VSO</v>
      </c>
      <c r="F81" s="91" t="str">
        <f>+geg!$E$112</f>
        <v>LG</v>
      </c>
      <c r="G81" s="1"/>
      <c r="H81" s="1"/>
      <c r="I81" s="1"/>
      <c r="J81" s="246">
        <f>IF($F$81=0,0,(geg!I120*VLOOKUP(geg!$E112,TAB,6,FALSE)+geg!I121*VLOOKUP(geg!$E112,TAB,7,FALSE)))*tabel!A363</f>
        <v>0</v>
      </c>
      <c r="K81" s="246">
        <f>IF($F$81=0,0,(geg!L120*VLOOKUP(geg!$E112,TAB,6,FALSE)+geg!L121*VLOOKUP(geg!$E112,TAB,7,FALSE)))</f>
        <v>0</v>
      </c>
      <c r="L81" s="246">
        <f>IF($F$81=0,0,(geg!O120*VLOOKUP(geg!$E112,TAB,6,FALSE)+geg!O121*VLOOKUP(geg!$E112,TAB,7,FALSE)))</f>
        <v>0</v>
      </c>
      <c r="M81" s="246">
        <f>IF($F$81=0,0,(geg!R120*VLOOKUP(geg!$E112,TAB,6,FALSE)+geg!R121*VLOOKUP(geg!$E112,TAB,7,FALSE)))</f>
        <v>0</v>
      </c>
      <c r="N81" s="246">
        <f>IF($F$81=0,0,(geg!U120*VLOOKUP(geg!$E112,TAB,6,FALSE)+geg!U121*VLOOKUP(geg!$E112,TAB,7,FALSE)))</f>
        <v>0</v>
      </c>
      <c r="O81" s="149"/>
      <c r="P81" s="323"/>
      <c r="Q81" s="144"/>
      <c r="R81" s="144"/>
      <c r="S81" s="144"/>
      <c r="T81" s="144"/>
      <c r="U81" s="144"/>
      <c r="V81" s="144"/>
      <c r="W81" s="144"/>
      <c r="X81" s="144"/>
      <c r="Y81" s="144"/>
      <c r="Z81" s="144"/>
      <c r="AA81" s="144"/>
    </row>
    <row r="82" spans="2:16" ht="12.75">
      <c r="B82" s="13"/>
      <c r="C82" s="1"/>
      <c r="D82" s="1" t="s">
        <v>709</v>
      </c>
      <c r="E82" s="1"/>
      <c r="F82" s="242"/>
      <c r="G82" s="1"/>
      <c r="H82" s="25"/>
      <c r="I82" s="1"/>
      <c r="J82" s="518">
        <f>+K82</f>
        <v>11007.119999999999</v>
      </c>
      <c r="K82" s="246">
        <f>+rugzak!J226</f>
        <v>11007.119999999999</v>
      </c>
      <c r="L82" s="355">
        <f aca="true" t="shared" si="3" ref="L82:N83">+K82</f>
        <v>11007.119999999999</v>
      </c>
      <c r="M82" s="355">
        <f t="shared" si="3"/>
        <v>11007.119999999999</v>
      </c>
      <c r="N82" s="355">
        <f t="shared" si="3"/>
        <v>11007.119999999999</v>
      </c>
      <c r="O82" s="1"/>
      <c r="P82" s="14"/>
    </row>
    <row r="83" spans="2:16" ht="12.75">
      <c r="B83" s="13"/>
      <c r="C83" s="1"/>
      <c r="D83" s="1" t="s">
        <v>521</v>
      </c>
      <c r="E83" s="1"/>
      <c r="F83" s="242"/>
      <c r="G83" s="1"/>
      <c r="H83" s="25"/>
      <c r="I83" s="1"/>
      <c r="J83" s="518">
        <f>+K83</f>
        <v>6434.5199999999995</v>
      </c>
      <c r="K83" s="246">
        <f>+rugzak!J227</f>
        <v>6434.5199999999995</v>
      </c>
      <c r="L83" s="355">
        <f t="shared" si="3"/>
        <v>6434.5199999999995</v>
      </c>
      <c r="M83" s="355">
        <f t="shared" si="3"/>
        <v>6434.5199999999995</v>
      </c>
      <c r="N83" s="355">
        <f t="shared" si="3"/>
        <v>6434.5199999999995</v>
      </c>
      <c r="O83" s="1"/>
      <c r="P83" s="14"/>
    </row>
    <row r="84" spans="2:16" ht="12.75">
      <c r="B84" s="13"/>
      <c r="C84" s="1"/>
      <c r="D84" s="159" t="s">
        <v>700</v>
      </c>
      <c r="E84" s="1"/>
      <c r="F84" s="242"/>
      <c r="G84" s="1"/>
      <c r="H84" s="25"/>
      <c r="I84" s="1"/>
      <c r="J84" s="528">
        <f>SUM(J76:J83)</f>
        <v>17441.64</v>
      </c>
      <c r="K84" s="528">
        <f>SUM(K76:K83)</f>
        <v>17441.64</v>
      </c>
      <c r="L84" s="528">
        <f>SUM(L76:L83)</f>
        <v>17441.64</v>
      </c>
      <c r="M84" s="528">
        <f>SUM(M76:M83)</f>
        <v>17441.64</v>
      </c>
      <c r="N84" s="528">
        <f>SUM(N76:N83)</f>
        <v>17441.64</v>
      </c>
      <c r="O84" s="1"/>
      <c r="P84" s="14"/>
    </row>
    <row r="85" spans="2:16" ht="12.75">
      <c r="B85" s="13"/>
      <c r="C85" s="1"/>
      <c r="D85" s="1"/>
      <c r="E85" s="1"/>
      <c r="F85" s="242"/>
      <c r="G85" s="1"/>
      <c r="H85" s="25"/>
      <c r="I85" s="1"/>
      <c r="J85" s="517"/>
      <c r="K85" s="149"/>
      <c r="L85" s="484"/>
      <c r="M85" s="484"/>
      <c r="N85" s="484"/>
      <c r="O85" s="1"/>
      <c r="P85" s="14"/>
    </row>
    <row r="86" spans="2:16" ht="12.75">
      <c r="B86" s="13"/>
      <c r="C86" s="1"/>
      <c r="D86" s="150" t="s">
        <v>718</v>
      </c>
      <c r="E86" s="1"/>
      <c r="F86" s="242"/>
      <c r="G86" s="1"/>
      <c r="H86" s="1"/>
      <c r="I86" s="1"/>
      <c r="J86" s="484"/>
      <c r="K86" s="484"/>
      <c r="L86" s="484"/>
      <c r="M86" s="484"/>
      <c r="N86" s="484"/>
      <c r="O86" s="1"/>
      <c r="P86" s="14"/>
    </row>
    <row r="87" spans="2:16" ht="12.75">
      <c r="B87" s="13"/>
      <c r="C87" s="1"/>
      <c r="D87" s="99"/>
      <c r="F87" s="148"/>
      <c r="I87" s="1"/>
      <c r="J87" s="354">
        <v>0</v>
      </c>
      <c r="K87" s="355">
        <f aca="true" t="shared" si="4" ref="K87:N89">+J87</f>
        <v>0</v>
      </c>
      <c r="L87" s="355">
        <f t="shared" si="4"/>
        <v>0</v>
      </c>
      <c r="M87" s="355">
        <f t="shared" si="4"/>
        <v>0</v>
      </c>
      <c r="N87" s="355">
        <f t="shared" si="4"/>
        <v>0</v>
      </c>
      <c r="O87" s="1"/>
      <c r="P87" s="14"/>
    </row>
    <row r="88" spans="2:16" ht="12.75">
      <c r="B88" s="13"/>
      <c r="C88" s="1"/>
      <c r="D88" s="99"/>
      <c r="F88" s="148"/>
      <c r="I88" s="1"/>
      <c r="J88" s="354">
        <v>0</v>
      </c>
      <c r="K88" s="355">
        <f t="shared" si="4"/>
        <v>0</v>
      </c>
      <c r="L88" s="355">
        <f t="shared" si="4"/>
        <v>0</v>
      </c>
      <c r="M88" s="355">
        <f t="shared" si="4"/>
        <v>0</v>
      </c>
      <c r="N88" s="355">
        <f t="shared" si="4"/>
        <v>0</v>
      </c>
      <c r="O88" s="1"/>
      <c r="P88" s="14"/>
    </row>
    <row r="89" spans="2:16" ht="12.75">
      <c r="B89" s="13"/>
      <c r="C89" s="1"/>
      <c r="D89" s="99"/>
      <c r="F89" s="148"/>
      <c r="I89" s="1"/>
      <c r="J89" s="354">
        <v>0</v>
      </c>
      <c r="K89" s="355">
        <f t="shared" si="4"/>
        <v>0</v>
      </c>
      <c r="L89" s="355">
        <f t="shared" si="4"/>
        <v>0</v>
      </c>
      <c r="M89" s="355">
        <f t="shared" si="4"/>
        <v>0</v>
      </c>
      <c r="N89" s="355">
        <f t="shared" si="4"/>
        <v>0</v>
      </c>
      <c r="O89" s="1"/>
      <c r="P89" s="14"/>
    </row>
    <row r="90" spans="2:16" ht="12.75">
      <c r="B90" s="13"/>
      <c r="C90" s="1"/>
      <c r="D90" s="159" t="s">
        <v>667</v>
      </c>
      <c r="E90" s="94"/>
      <c r="F90" s="243"/>
      <c r="G90" s="239"/>
      <c r="H90" s="94"/>
      <c r="I90" s="239"/>
      <c r="J90" s="247">
        <f>SUM(J87:J89)</f>
        <v>0</v>
      </c>
      <c r="K90" s="247">
        <f>SUM(K87:K89)</f>
        <v>0</v>
      </c>
      <c r="L90" s="247">
        <f>SUM(L87:L89)</f>
        <v>0</v>
      </c>
      <c r="M90" s="247">
        <f>SUM(M87:M89)</f>
        <v>0</v>
      </c>
      <c r="N90" s="247">
        <f>SUM(N87:N89)</f>
        <v>0</v>
      </c>
      <c r="O90" s="1"/>
      <c r="P90" s="14"/>
    </row>
    <row r="91" spans="2:16" ht="12.75">
      <c r="B91" s="13"/>
      <c r="C91" s="1"/>
      <c r="D91" s="3"/>
      <c r="E91" s="1"/>
      <c r="F91" s="242"/>
      <c r="G91" s="1"/>
      <c r="H91" s="1"/>
      <c r="I91" s="1"/>
      <c r="J91" s="1"/>
      <c r="K91" s="149"/>
      <c r="L91" s="149"/>
      <c r="M91" s="149"/>
      <c r="N91" s="149"/>
      <c r="O91" s="1"/>
      <c r="P91" s="14"/>
    </row>
    <row r="92" spans="2:16" ht="12.75">
      <c r="B92" s="13"/>
      <c r="P92" s="14"/>
    </row>
    <row r="93" spans="2:16" ht="13.5" thickBot="1">
      <c r="B93" s="48"/>
      <c r="C93" s="49"/>
      <c r="D93" s="72"/>
      <c r="E93" s="49"/>
      <c r="F93" s="451"/>
      <c r="G93" s="49"/>
      <c r="H93" s="49"/>
      <c r="I93" s="49"/>
      <c r="J93" s="49"/>
      <c r="K93" s="452"/>
      <c r="L93" s="452"/>
      <c r="M93" s="452"/>
      <c r="N93" s="452"/>
      <c r="O93" s="49"/>
      <c r="P93" s="51"/>
    </row>
    <row r="94" spans="2:16" ht="12.75">
      <c r="B94" s="9"/>
      <c r="C94" s="10"/>
      <c r="D94" s="10"/>
      <c r="E94" s="10"/>
      <c r="F94" s="10"/>
      <c r="G94" s="10"/>
      <c r="H94" s="10"/>
      <c r="I94" s="10"/>
      <c r="J94" s="10"/>
      <c r="K94" s="11"/>
      <c r="L94" s="11"/>
      <c r="M94" s="11"/>
      <c r="N94" s="11"/>
      <c r="O94" s="10"/>
      <c r="P94" s="12"/>
    </row>
    <row r="95" spans="2:16" ht="12.75">
      <c r="B95" s="13"/>
      <c r="P95" s="14"/>
    </row>
    <row r="96" spans="2:16" ht="18">
      <c r="B96" s="16"/>
      <c r="C96" s="17" t="s">
        <v>283</v>
      </c>
      <c r="D96" s="15"/>
      <c r="E96" s="15"/>
      <c r="F96" s="15"/>
      <c r="G96" s="15"/>
      <c r="H96" s="15"/>
      <c r="I96" s="15"/>
      <c r="J96" s="15"/>
      <c r="K96" s="18"/>
      <c r="L96" s="18"/>
      <c r="M96" s="18"/>
      <c r="N96" s="18"/>
      <c r="O96" s="15"/>
      <c r="P96" s="20"/>
    </row>
    <row r="97" spans="2:16" ht="12.75">
      <c r="B97" s="13"/>
      <c r="P97" s="14"/>
    </row>
    <row r="98" spans="2:16" ht="12.75">
      <c r="B98" s="13"/>
      <c r="K98" s="7"/>
      <c r="L98" s="7"/>
      <c r="M98" s="7"/>
      <c r="N98" s="7"/>
      <c r="P98" s="14"/>
    </row>
    <row r="99" spans="2:16" ht="12.75">
      <c r="B99" s="13"/>
      <c r="J99" s="21">
        <f>J7</f>
        <v>2009</v>
      </c>
      <c r="K99" s="21">
        <f>K7</f>
        <v>2010</v>
      </c>
      <c r="L99" s="21">
        <f>L7</f>
        <v>2011</v>
      </c>
      <c r="M99" s="21">
        <f>M7</f>
        <v>2012</v>
      </c>
      <c r="N99" s="21">
        <f>N7</f>
        <v>2013</v>
      </c>
      <c r="P99" s="14"/>
    </row>
    <row r="100" spans="2:16" ht="12.75">
      <c r="B100" s="13"/>
      <c r="K100" s="7"/>
      <c r="L100" s="7"/>
      <c r="M100" s="7"/>
      <c r="N100" s="7"/>
      <c r="P100" s="14"/>
    </row>
    <row r="101" spans="2:16" ht="12.75">
      <c r="B101" s="13"/>
      <c r="C101" s="1"/>
      <c r="D101" s="3"/>
      <c r="E101" s="1"/>
      <c r="F101" s="242"/>
      <c r="G101" s="1"/>
      <c r="H101" s="1"/>
      <c r="I101" s="1"/>
      <c r="J101" s="149"/>
      <c r="K101" s="149"/>
      <c r="L101" s="149"/>
      <c r="M101" s="149"/>
      <c r="N101" s="149"/>
      <c r="O101" s="1"/>
      <c r="P101" s="14"/>
    </row>
    <row r="102" spans="2:16" ht="12.75">
      <c r="B102" s="13"/>
      <c r="C102" s="1"/>
      <c r="D102" s="3" t="s">
        <v>244</v>
      </c>
      <c r="E102" s="1"/>
      <c r="F102" s="242"/>
      <c r="G102" s="3"/>
      <c r="H102" s="1"/>
      <c r="I102" s="1"/>
      <c r="J102" s="149"/>
      <c r="K102" s="149"/>
      <c r="L102" s="149"/>
      <c r="M102" s="149"/>
      <c r="N102" s="149"/>
      <c r="O102" s="1"/>
      <c r="P102" s="14"/>
    </row>
    <row r="103" spans="2:16" ht="12.75">
      <c r="B103" s="13"/>
      <c r="C103" s="1"/>
      <c r="D103" s="1"/>
      <c r="E103" s="1"/>
      <c r="F103" s="242"/>
      <c r="G103" s="1"/>
      <c r="H103" s="1"/>
      <c r="I103" s="1"/>
      <c r="J103" s="149"/>
      <c r="K103" s="149"/>
      <c r="L103" s="149"/>
      <c r="M103" s="149"/>
      <c r="N103" s="149"/>
      <c r="O103" s="1"/>
      <c r="P103" s="14"/>
    </row>
    <row r="104" spans="2:16" ht="12.75">
      <c r="B104" s="13"/>
      <c r="C104" s="1"/>
      <c r="D104" s="150" t="s">
        <v>245</v>
      </c>
      <c r="E104" s="1"/>
      <c r="F104" s="242"/>
      <c r="G104" s="1"/>
      <c r="H104" s="1"/>
      <c r="I104" s="1"/>
      <c r="J104" s="149"/>
      <c r="K104" s="149"/>
      <c r="L104" s="149"/>
      <c r="M104" s="149"/>
      <c r="N104" s="149"/>
      <c r="O104" s="1"/>
      <c r="P104" s="14"/>
    </row>
    <row r="105" spans="2:16" ht="12.75">
      <c r="B105" s="13"/>
      <c r="C105" s="1"/>
      <c r="D105" s="136"/>
      <c r="E105" s="136"/>
      <c r="F105" s="136"/>
      <c r="G105" s="1"/>
      <c r="H105" s="1"/>
      <c r="I105" s="1"/>
      <c r="J105" s="354">
        <v>0</v>
      </c>
      <c r="K105" s="354">
        <v>0</v>
      </c>
      <c r="L105" s="355">
        <f aca="true" t="shared" si="5" ref="L105:N108">+K105</f>
        <v>0</v>
      </c>
      <c r="M105" s="355">
        <f t="shared" si="5"/>
        <v>0</v>
      </c>
      <c r="N105" s="355">
        <f t="shared" si="5"/>
        <v>0</v>
      </c>
      <c r="O105" s="1"/>
      <c r="P105" s="14"/>
    </row>
    <row r="106" spans="2:16" ht="12.75">
      <c r="B106" s="13"/>
      <c r="C106" s="1"/>
      <c r="D106" s="136"/>
      <c r="E106" s="136"/>
      <c r="F106" s="136"/>
      <c r="G106" s="1"/>
      <c r="H106" s="1"/>
      <c r="I106" s="1"/>
      <c r="J106" s="354">
        <v>0</v>
      </c>
      <c r="K106" s="354">
        <v>0</v>
      </c>
      <c r="L106" s="355">
        <f t="shared" si="5"/>
        <v>0</v>
      </c>
      <c r="M106" s="355">
        <f t="shared" si="5"/>
        <v>0</v>
      </c>
      <c r="N106" s="355">
        <f t="shared" si="5"/>
        <v>0</v>
      </c>
      <c r="O106" s="1"/>
      <c r="P106" s="14"/>
    </row>
    <row r="107" spans="2:16" ht="12.75">
      <c r="B107" s="13"/>
      <c r="C107" s="1"/>
      <c r="D107" s="136"/>
      <c r="E107" s="136"/>
      <c r="F107" s="136"/>
      <c r="G107" s="1"/>
      <c r="H107" s="1"/>
      <c r="I107" s="1"/>
      <c r="J107" s="354">
        <v>0</v>
      </c>
      <c r="K107" s="354">
        <v>0</v>
      </c>
      <c r="L107" s="355">
        <f t="shared" si="5"/>
        <v>0</v>
      </c>
      <c r="M107" s="355">
        <f t="shared" si="5"/>
        <v>0</v>
      </c>
      <c r="N107" s="355">
        <f t="shared" si="5"/>
        <v>0</v>
      </c>
      <c r="O107" s="1"/>
      <c r="P107" s="14"/>
    </row>
    <row r="108" spans="2:16" ht="12.75">
      <c r="B108" s="13"/>
      <c r="C108" s="1"/>
      <c r="D108" s="136"/>
      <c r="E108" s="136"/>
      <c r="F108" s="136"/>
      <c r="G108" s="1"/>
      <c r="H108" s="1"/>
      <c r="I108" s="1"/>
      <c r="J108" s="354">
        <v>0</v>
      </c>
      <c r="K108" s="354">
        <v>0</v>
      </c>
      <c r="L108" s="355">
        <f t="shared" si="5"/>
        <v>0</v>
      </c>
      <c r="M108" s="355">
        <f t="shared" si="5"/>
        <v>0</v>
      </c>
      <c r="N108" s="355">
        <f t="shared" si="5"/>
        <v>0</v>
      </c>
      <c r="O108" s="1"/>
      <c r="P108" s="14"/>
    </row>
    <row r="109" spans="2:16" ht="12.75">
      <c r="B109" s="13"/>
      <c r="C109" s="1"/>
      <c r="D109" s="434"/>
      <c r="E109" s="1"/>
      <c r="F109" s="242"/>
      <c r="G109" s="1"/>
      <c r="H109" s="1"/>
      <c r="I109" s="1"/>
      <c r="J109" s="450">
        <f>SUM(J105:J108)</f>
        <v>0</v>
      </c>
      <c r="K109" s="450">
        <f>SUM(K105:K108)</f>
        <v>0</v>
      </c>
      <c r="L109" s="450">
        <f>SUM(L105:L108)</f>
        <v>0</v>
      </c>
      <c r="M109" s="450">
        <f>SUM(M105:M108)</f>
        <v>0</v>
      </c>
      <c r="N109" s="450">
        <f>SUM(N105:N108)</f>
        <v>0</v>
      </c>
      <c r="O109" s="1"/>
      <c r="P109" s="14"/>
    </row>
    <row r="110" spans="2:16" ht="12.75">
      <c r="B110" s="13"/>
      <c r="C110" s="1"/>
      <c r="D110" s="94" t="s">
        <v>246</v>
      </c>
      <c r="E110" s="1"/>
      <c r="F110" s="242"/>
      <c r="G110" s="1"/>
      <c r="H110" s="1"/>
      <c r="I110" s="1"/>
      <c r="J110" s="149"/>
      <c r="K110" s="149"/>
      <c r="L110" s="149"/>
      <c r="M110" s="149"/>
      <c r="N110" s="149"/>
      <c r="O110" s="1"/>
      <c r="P110" s="14"/>
    </row>
    <row r="111" spans="2:16" ht="12.75">
      <c r="B111" s="13"/>
      <c r="C111" s="1"/>
      <c r="D111" s="136"/>
      <c r="E111" s="136"/>
      <c r="F111" s="136"/>
      <c r="G111" s="136"/>
      <c r="H111" s="1"/>
      <c r="I111" s="1"/>
      <c r="J111" s="354">
        <v>0</v>
      </c>
      <c r="K111" s="354">
        <v>0</v>
      </c>
      <c r="L111" s="355">
        <f aca="true" t="shared" si="6" ref="L111:N114">+K111</f>
        <v>0</v>
      </c>
      <c r="M111" s="355">
        <f t="shared" si="6"/>
        <v>0</v>
      </c>
      <c r="N111" s="355">
        <f t="shared" si="6"/>
        <v>0</v>
      </c>
      <c r="O111" s="1"/>
      <c r="P111" s="14"/>
    </row>
    <row r="112" spans="2:16" ht="12.75">
      <c r="B112" s="13"/>
      <c r="C112" s="1"/>
      <c r="D112" s="136"/>
      <c r="E112" s="136"/>
      <c r="F112" s="136"/>
      <c r="G112" s="136"/>
      <c r="H112" s="1"/>
      <c r="I112" s="1"/>
      <c r="J112" s="354">
        <v>0</v>
      </c>
      <c r="K112" s="354">
        <v>0</v>
      </c>
      <c r="L112" s="355">
        <f t="shared" si="6"/>
        <v>0</v>
      </c>
      <c r="M112" s="355">
        <f t="shared" si="6"/>
        <v>0</v>
      </c>
      <c r="N112" s="355">
        <f t="shared" si="6"/>
        <v>0</v>
      </c>
      <c r="O112" s="1"/>
      <c r="P112" s="14"/>
    </row>
    <row r="113" spans="2:16" ht="12.75">
      <c r="B113" s="13"/>
      <c r="C113" s="1"/>
      <c r="D113" s="136"/>
      <c r="E113" s="136"/>
      <c r="F113" s="136"/>
      <c r="G113" s="136"/>
      <c r="H113" s="1"/>
      <c r="I113" s="1"/>
      <c r="J113" s="354">
        <v>0</v>
      </c>
      <c r="K113" s="354">
        <v>0</v>
      </c>
      <c r="L113" s="355">
        <f t="shared" si="6"/>
        <v>0</v>
      </c>
      <c r="M113" s="355">
        <f t="shared" si="6"/>
        <v>0</v>
      </c>
      <c r="N113" s="355">
        <f t="shared" si="6"/>
        <v>0</v>
      </c>
      <c r="O113" s="1"/>
      <c r="P113" s="14"/>
    </row>
    <row r="114" spans="2:16" ht="12.75">
      <c r="B114" s="13"/>
      <c r="C114" s="1"/>
      <c r="D114" s="136"/>
      <c r="E114" s="136"/>
      <c r="F114" s="136"/>
      <c r="G114" s="136"/>
      <c r="H114" s="1"/>
      <c r="I114" s="1"/>
      <c r="J114" s="354">
        <v>0</v>
      </c>
      <c r="K114" s="354">
        <v>0</v>
      </c>
      <c r="L114" s="355">
        <f t="shared" si="6"/>
        <v>0</v>
      </c>
      <c r="M114" s="355">
        <f t="shared" si="6"/>
        <v>0</v>
      </c>
      <c r="N114" s="355">
        <f t="shared" si="6"/>
        <v>0</v>
      </c>
      <c r="O114" s="1"/>
      <c r="P114" s="14"/>
    </row>
    <row r="115" spans="2:16" ht="12.75">
      <c r="B115" s="13"/>
      <c r="C115" s="1"/>
      <c r="D115" s="426"/>
      <c r="E115" s="1"/>
      <c r="F115" s="242"/>
      <c r="G115" s="1"/>
      <c r="H115" s="1"/>
      <c r="I115" s="1"/>
      <c r="J115" s="450">
        <f>SUM(J111:J114)</f>
        <v>0</v>
      </c>
      <c r="K115" s="450">
        <f>SUM(K111:K114)</f>
        <v>0</v>
      </c>
      <c r="L115" s="450">
        <f>SUM(L111:L114)</f>
        <v>0</v>
      </c>
      <c r="M115" s="450">
        <f>SUM(M111:M114)</f>
        <v>0</v>
      </c>
      <c r="N115" s="450">
        <f>SUM(N111:N114)</f>
        <v>0</v>
      </c>
      <c r="O115" s="1"/>
      <c r="P115" s="14"/>
    </row>
    <row r="116" spans="2:16" ht="12.75">
      <c r="B116" s="13"/>
      <c r="C116" s="1"/>
      <c r="D116" s="1"/>
      <c r="E116" s="1"/>
      <c r="F116" s="242"/>
      <c r="G116" s="1"/>
      <c r="H116" s="1"/>
      <c r="I116" s="1"/>
      <c r="J116" s="149"/>
      <c r="K116" s="149"/>
      <c r="L116" s="149"/>
      <c r="M116" s="149"/>
      <c r="N116" s="149"/>
      <c r="O116" s="1"/>
      <c r="P116" s="14"/>
    </row>
    <row r="117" spans="2:16" ht="12.75">
      <c r="B117" s="13"/>
      <c r="C117" s="1"/>
      <c r="D117" s="159" t="s">
        <v>247</v>
      </c>
      <c r="E117" s="1"/>
      <c r="F117" s="242"/>
      <c r="G117" s="1"/>
      <c r="H117" s="1"/>
      <c r="I117" s="1"/>
      <c r="J117" s="247">
        <f>J109-J115</f>
        <v>0</v>
      </c>
      <c r="K117" s="247">
        <f>K109-K115</f>
        <v>0</v>
      </c>
      <c r="L117" s="247">
        <f>L109-L115</f>
        <v>0</v>
      </c>
      <c r="M117" s="247">
        <f>M109-M115</f>
        <v>0</v>
      </c>
      <c r="N117" s="247">
        <f>N109-N115</f>
        <v>0</v>
      </c>
      <c r="O117" s="1"/>
      <c r="P117" s="14"/>
    </row>
    <row r="118" spans="2:16" ht="12.75">
      <c r="B118" s="13"/>
      <c r="C118" s="1"/>
      <c r="D118" s="1"/>
      <c r="E118" s="1"/>
      <c r="F118" s="242"/>
      <c r="G118" s="1"/>
      <c r="H118" s="1"/>
      <c r="I118" s="1"/>
      <c r="J118" s="1"/>
      <c r="K118" s="149"/>
      <c r="L118" s="149"/>
      <c r="M118" s="149"/>
      <c r="N118" s="149"/>
      <c r="O118" s="1"/>
      <c r="P118" s="14"/>
    </row>
    <row r="119" spans="2:16" ht="12.75">
      <c r="B119" s="13"/>
      <c r="C119" s="1"/>
      <c r="D119" s="1"/>
      <c r="E119" s="1"/>
      <c r="F119" s="242"/>
      <c r="G119" s="1"/>
      <c r="H119" s="1"/>
      <c r="I119" s="1"/>
      <c r="J119" s="1"/>
      <c r="K119" s="149"/>
      <c r="L119" s="149"/>
      <c r="M119" s="149"/>
      <c r="N119" s="149"/>
      <c r="O119" s="1"/>
      <c r="P119" s="14"/>
    </row>
    <row r="120" spans="2:16" ht="12.75">
      <c r="B120" s="13"/>
      <c r="C120" s="1"/>
      <c r="D120" s="3" t="s">
        <v>667</v>
      </c>
      <c r="E120" s="1"/>
      <c r="F120" s="242"/>
      <c r="G120" s="1"/>
      <c r="H120" s="1"/>
      <c r="I120" s="1"/>
      <c r="J120" s="165">
        <f>+J40+J50+J59+J64+J66+J70+J71+J84+J90-J117</f>
        <v>493639.7569588301</v>
      </c>
      <c r="K120" s="165">
        <f>+K40+K50+K59+K64+K66+K70+K71+K84+K90-K117</f>
        <v>492830.24999999994</v>
      </c>
      <c r="L120" s="165">
        <f>+L40+L50+L59+L64+L66+L70+L71+L84+L90-L117</f>
        <v>492830.24999999994</v>
      </c>
      <c r="M120" s="165">
        <f>+M40+M50+M59+M64+M66+M70+M71+M84+M90-M117</f>
        <v>492830.24999999994</v>
      </c>
      <c r="N120" s="165">
        <f>+N40+N50+N59+N64+N66+N70+N71+N84+N90-N117</f>
        <v>492830.24999999994</v>
      </c>
      <c r="O120" s="1"/>
      <c r="P120" s="14"/>
    </row>
    <row r="121" spans="2:16" ht="12.75">
      <c r="B121" s="13"/>
      <c r="C121" s="1"/>
      <c r="D121" s="3"/>
      <c r="E121" s="1"/>
      <c r="F121" s="242"/>
      <c r="G121" s="1"/>
      <c r="H121" s="1"/>
      <c r="I121" s="1"/>
      <c r="J121" s="1"/>
      <c r="K121" s="149"/>
      <c r="L121" s="149"/>
      <c r="M121" s="149"/>
      <c r="N121" s="149"/>
      <c r="O121" s="1"/>
      <c r="P121" s="14"/>
    </row>
    <row r="122" spans="2:16" ht="12.75">
      <c r="B122" s="13"/>
      <c r="K122" s="7"/>
      <c r="L122" s="7"/>
      <c r="M122" s="7"/>
      <c r="N122" s="7"/>
      <c r="P122" s="14"/>
    </row>
    <row r="123" spans="2:16" ht="12.75">
      <c r="B123" s="13"/>
      <c r="C123" s="1"/>
      <c r="D123" s="3"/>
      <c r="E123" s="1"/>
      <c r="F123" s="242"/>
      <c r="G123" s="1"/>
      <c r="H123" s="1"/>
      <c r="I123" s="1"/>
      <c r="J123" s="1"/>
      <c r="K123" s="149"/>
      <c r="L123" s="149"/>
      <c r="M123" s="149"/>
      <c r="N123" s="149"/>
      <c r="O123" s="1"/>
      <c r="P123" s="14"/>
    </row>
    <row r="124" spans="2:16" ht="12.75">
      <c r="B124" s="13"/>
      <c r="C124" s="3"/>
      <c r="D124" s="3" t="s">
        <v>719</v>
      </c>
      <c r="E124" s="1"/>
      <c r="F124" s="242"/>
      <c r="G124" s="1"/>
      <c r="H124" s="1"/>
      <c r="I124" s="1"/>
      <c r="J124" s="1"/>
      <c r="K124" s="149"/>
      <c r="L124" s="149"/>
      <c r="M124" s="149"/>
      <c r="N124" s="149"/>
      <c r="O124" s="1"/>
      <c r="P124" s="14"/>
    </row>
    <row r="125" spans="2:16" ht="12.75">
      <c r="B125" s="13"/>
      <c r="C125" s="3"/>
      <c r="D125" s="3"/>
      <c r="E125" s="1"/>
      <c r="F125" s="242"/>
      <c r="G125" s="1"/>
      <c r="H125" s="1"/>
      <c r="I125" s="1"/>
      <c r="J125" s="1"/>
      <c r="K125" s="149"/>
      <c r="L125" s="149"/>
      <c r="M125" s="149"/>
      <c r="N125" s="149"/>
      <c r="O125" s="1"/>
      <c r="P125" s="14"/>
    </row>
    <row r="126" spans="2:16" ht="12.75">
      <c r="B126" s="13"/>
      <c r="C126" s="3"/>
      <c r="D126" s="136"/>
      <c r="E126" s="136"/>
      <c r="F126" s="249"/>
      <c r="G126" s="136"/>
      <c r="H126" s="1"/>
      <c r="I126" s="444"/>
      <c r="J126" s="354">
        <v>0</v>
      </c>
      <c r="K126" s="354">
        <v>0</v>
      </c>
      <c r="L126" s="355">
        <f aca="true" t="shared" si="7" ref="L126:N130">+K126</f>
        <v>0</v>
      </c>
      <c r="M126" s="355">
        <f t="shared" si="7"/>
        <v>0</v>
      </c>
      <c r="N126" s="355">
        <f t="shared" si="7"/>
        <v>0</v>
      </c>
      <c r="O126" s="1"/>
      <c r="P126" s="14"/>
    </row>
    <row r="127" spans="2:16" ht="12.75">
      <c r="B127" s="13"/>
      <c r="C127" s="3"/>
      <c r="D127" s="136"/>
      <c r="E127" s="136"/>
      <c r="F127" s="249"/>
      <c r="G127" s="136"/>
      <c r="H127" s="1"/>
      <c r="I127" s="444"/>
      <c r="J127" s="354">
        <v>0</v>
      </c>
      <c r="K127" s="354">
        <v>0</v>
      </c>
      <c r="L127" s="355">
        <f aca="true" t="shared" si="8" ref="L127:N128">+K127</f>
        <v>0</v>
      </c>
      <c r="M127" s="355">
        <f t="shared" si="8"/>
        <v>0</v>
      </c>
      <c r="N127" s="355">
        <f t="shared" si="8"/>
        <v>0</v>
      </c>
      <c r="O127" s="1"/>
      <c r="P127" s="14"/>
    </row>
    <row r="128" spans="2:16" ht="12.75">
      <c r="B128" s="13"/>
      <c r="C128" s="3"/>
      <c r="D128" s="136"/>
      <c r="E128" s="136"/>
      <c r="F128" s="249"/>
      <c r="G128" s="136"/>
      <c r="H128" s="1"/>
      <c r="I128" s="444"/>
      <c r="J128" s="354">
        <v>0</v>
      </c>
      <c r="K128" s="354">
        <v>0</v>
      </c>
      <c r="L128" s="355">
        <f t="shared" si="8"/>
        <v>0</v>
      </c>
      <c r="M128" s="355">
        <f t="shared" si="8"/>
        <v>0</v>
      </c>
      <c r="N128" s="355">
        <f t="shared" si="8"/>
        <v>0</v>
      </c>
      <c r="O128" s="1"/>
      <c r="P128" s="14"/>
    </row>
    <row r="129" spans="2:16" ht="12.75">
      <c r="B129" s="13"/>
      <c r="C129" s="3"/>
      <c r="D129" s="136"/>
      <c r="E129" s="136"/>
      <c r="F129" s="249"/>
      <c r="G129" s="136"/>
      <c r="H129" s="1"/>
      <c r="I129" s="444"/>
      <c r="J129" s="354">
        <v>0</v>
      </c>
      <c r="K129" s="354">
        <v>0</v>
      </c>
      <c r="L129" s="355">
        <f t="shared" si="7"/>
        <v>0</v>
      </c>
      <c r="M129" s="355">
        <f t="shared" si="7"/>
        <v>0</v>
      </c>
      <c r="N129" s="355">
        <f t="shared" si="7"/>
        <v>0</v>
      </c>
      <c r="O129" s="1"/>
      <c r="P129" s="14"/>
    </row>
    <row r="130" spans="2:16" ht="12.75">
      <c r="B130" s="13"/>
      <c r="C130" s="3"/>
      <c r="D130" s="136"/>
      <c r="E130" s="136"/>
      <c r="F130" s="249"/>
      <c r="G130" s="136"/>
      <c r="H130" s="1"/>
      <c r="I130" s="444"/>
      <c r="J130" s="354">
        <v>0</v>
      </c>
      <c r="K130" s="354">
        <v>0</v>
      </c>
      <c r="L130" s="355">
        <f t="shared" si="7"/>
        <v>0</v>
      </c>
      <c r="M130" s="355">
        <f t="shared" si="7"/>
        <v>0</v>
      </c>
      <c r="N130" s="355">
        <f t="shared" si="7"/>
        <v>0</v>
      </c>
      <c r="O130" s="1"/>
      <c r="P130" s="14"/>
    </row>
    <row r="131" spans="2:16" ht="12.75">
      <c r="B131" s="13"/>
      <c r="C131" s="3"/>
      <c r="D131" s="91"/>
      <c r="E131" s="1"/>
      <c r="F131" s="242"/>
      <c r="G131" s="1"/>
      <c r="H131" s="1"/>
      <c r="I131" s="1"/>
      <c r="J131" s="149"/>
      <c r="K131" s="149"/>
      <c r="L131" s="149"/>
      <c r="M131" s="149"/>
      <c r="N131" s="149"/>
      <c r="O131" s="1"/>
      <c r="P131" s="14"/>
    </row>
    <row r="132" spans="2:16" ht="12.75">
      <c r="B132" s="13"/>
      <c r="C132" s="3"/>
      <c r="D132" s="2" t="s">
        <v>700</v>
      </c>
      <c r="E132" s="1"/>
      <c r="F132" s="242"/>
      <c r="G132" s="1"/>
      <c r="H132" s="1"/>
      <c r="I132" s="1"/>
      <c r="J132" s="165">
        <f>SUM(J126:J130)</f>
        <v>0</v>
      </c>
      <c r="K132" s="165">
        <f>SUM(K126:K130)</f>
        <v>0</v>
      </c>
      <c r="L132" s="165">
        <f>SUM(L126:L130)</f>
        <v>0</v>
      </c>
      <c r="M132" s="165">
        <f>SUM(M126:M130)</f>
        <v>0</v>
      </c>
      <c r="N132" s="165">
        <f>SUM(N126:N130)</f>
        <v>0</v>
      </c>
      <c r="O132" s="1"/>
      <c r="P132" s="14"/>
    </row>
    <row r="133" spans="2:16" ht="12.75">
      <c r="B133" s="13"/>
      <c r="C133" s="3"/>
      <c r="D133" s="91"/>
      <c r="E133" s="1"/>
      <c r="F133" s="242"/>
      <c r="G133" s="1"/>
      <c r="H133" s="1"/>
      <c r="I133" s="1"/>
      <c r="J133" s="149"/>
      <c r="K133" s="149"/>
      <c r="L133" s="149"/>
      <c r="M133" s="149"/>
      <c r="N133" s="149"/>
      <c r="O133" s="1"/>
      <c r="P133" s="14"/>
    </row>
    <row r="134" spans="2:16" ht="12.75">
      <c r="B134" s="13"/>
      <c r="C134" s="36"/>
      <c r="D134" s="99"/>
      <c r="F134" s="148"/>
      <c r="J134" s="144"/>
      <c r="K134" s="144"/>
      <c r="L134" s="144"/>
      <c r="M134" s="144"/>
      <c r="N134" s="144"/>
      <c r="P134" s="14"/>
    </row>
    <row r="135" spans="2:16" ht="12.75">
      <c r="B135" s="13"/>
      <c r="C135" s="3"/>
      <c r="D135" s="91"/>
      <c r="E135" s="1"/>
      <c r="F135" s="242"/>
      <c r="G135" s="1"/>
      <c r="H135" s="1"/>
      <c r="I135" s="1"/>
      <c r="J135" s="149"/>
      <c r="K135" s="149"/>
      <c r="L135" s="149"/>
      <c r="M135" s="149"/>
      <c r="N135" s="149"/>
      <c r="O135" s="1"/>
      <c r="P135" s="14"/>
    </row>
    <row r="136" spans="2:16" ht="12.75">
      <c r="B136" s="13"/>
      <c r="C136" s="3"/>
      <c r="D136" s="3" t="s">
        <v>720</v>
      </c>
      <c r="E136" s="1"/>
      <c r="F136" s="242"/>
      <c r="G136" s="1"/>
      <c r="H136" s="1"/>
      <c r="I136" s="1"/>
      <c r="J136" s="149"/>
      <c r="K136" s="149"/>
      <c r="L136" s="149"/>
      <c r="M136" s="149"/>
      <c r="N136" s="149"/>
      <c r="O136" s="1"/>
      <c r="P136" s="14"/>
    </row>
    <row r="137" spans="2:16" ht="12.75">
      <c r="B137" s="13"/>
      <c r="C137" s="3"/>
      <c r="D137" s="3"/>
      <c r="E137" s="1"/>
      <c r="F137" s="242"/>
      <c r="G137" s="1"/>
      <c r="H137" s="1"/>
      <c r="I137" s="1"/>
      <c r="J137" s="149"/>
      <c r="K137" s="149"/>
      <c r="L137" s="149"/>
      <c r="M137" s="149"/>
      <c r="N137" s="149"/>
      <c r="O137" s="1"/>
      <c r="P137" s="14"/>
    </row>
    <row r="138" spans="2:16" ht="12.75">
      <c r="B138" s="13"/>
      <c r="C138" s="3"/>
      <c r="D138" s="1" t="s">
        <v>195</v>
      </c>
      <c r="E138" s="1"/>
      <c r="F138" s="242"/>
      <c r="G138" s="1"/>
      <c r="H138" s="1"/>
      <c r="I138" s="1"/>
      <c r="J138" s="354">
        <v>0</v>
      </c>
      <c r="K138" s="354">
        <v>0</v>
      </c>
      <c r="L138" s="355">
        <f>+K138</f>
        <v>0</v>
      </c>
      <c r="M138" s="355">
        <f>+L138</f>
        <v>0</v>
      </c>
      <c r="N138" s="355">
        <f>+M138</f>
        <v>0</v>
      </c>
      <c r="O138" s="1"/>
      <c r="P138" s="14"/>
    </row>
    <row r="139" spans="2:16" ht="12.75">
      <c r="B139" s="13"/>
      <c r="C139" s="3"/>
      <c r="D139" s="1" t="s">
        <v>257</v>
      </c>
      <c r="E139" s="1"/>
      <c r="F139" s="242"/>
      <c r="G139" s="1"/>
      <c r="H139" s="1"/>
      <c r="I139" s="1"/>
      <c r="J139" s="354">
        <v>0</v>
      </c>
      <c r="K139" s="354">
        <v>0</v>
      </c>
      <c r="L139" s="355">
        <f aca="true" t="shared" si="9" ref="L139:N144">+K139</f>
        <v>0</v>
      </c>
      <c r="M139" s="355">
        <f t="shared" si="9"/>
        <v>0</v>
      </c>
      <c r="N139" s="355">
        <f t="shared" si="9"/>
        <v>0</v>
      </c>
      <c r="O139" s="1"/>
      <c r="P139" s="14"/>
    </row>
    <row r="140" spans="2:16" ht="12.75">
      <c r="B140" s="13"/>
      <c r="C140" s="3"/>
      <c r="D140" s="1" t="s">
        <v>258</v>
      </c>
      <c r="E140" s="1"/>
      <c r="F140" s="242"/>
      <c r="G140" s="1"/>
      <c r="H140" s="1"/>
      <c r="I140" s="1"/>
      <c r="J140" s="354">
        <v>0</v>
      </c>
      <c r="K140" s="354">
        <v>0</v>
      </c>
      <c r="L140" s="355">
        <f t="shared" si="9"/>
        <v>0</v>
      </c>
      <c r="M140" s="355">
        <f t="shared" si="9"/>
        <v>0</v>
      </c>
      <c r="N140" s="355">
        <f t="shared" si="9"/>
        <v>0</v>
      </c>
      <c r="O140" s="1"/>
      <c r="P140" s="14"/>
    </row>
    <row r="141" spans="2:16" ht="12.75">
      <c r="B141" s="13"/>
      <c r="C141" s="3"/>
      <c r="D141" s="136"/>
      <c r="E141" s="136"/>
      <c r="F141" s="249"/>
      <c r="G141" s="136"/>
      <c r="H141" s="1"/>
      <c r="I141" s="1"/>
      <c r="J141" s="354">
        <v>0</v>
      </c>
      <c r="K141" s="354">
        <v>0</v>
      </c>
      <c r="L141" s="355">
        <f t="shared" si="9"/>
        <v>0</v>
      </c>
      <c r="M141" s="355">
        <f t="shared" si="9"/>
        <v>0</v>
      </c>
      <c r="N141" s="355">
        <f t="shared" si="9"/>
        <v>0</v>
      </c>
      <c r="O141" s="1"/>
      <c r="P141" s="14"/>
    </row>
    <row r="142" spans="2:16" ht="12.75">
      <c r="B142" s="13"/>
      <c r="C142" s="3"/>
      <c r="D142" s="136"/>
      <c r="E142" s="136"/>
      <c r="F142" s="249"/>
      <c r="G142" s="136"/>
      <c r="H142" s="1"/>
      <c r="I142" s="1"/>
      <c r="J142" s="354">
        <v>0</v>
      </c>
      <c r="K142" s="354">
        <v>0</v>
      </c>
      <c r="L142" s="355">
        <f aca="true" t="shared" si="10" ref="L142:N143">+K142</f>
        <v>0</v>
      </c>
      <c r="M142" s="355">
        <f t="shared" si="10"/>
        <v>0</v>
      </c>
      <c r="N142" s="355">
        <f t="shared" si="10"/>
        <v>0</v>
      </c>
      <c r="O142" s="1"/>
      <c r="P142" s="14"/>
    </row>
    <row r="143" spans="2:16" ht="12.75">
      <c r="B143" s="13"/>
      <c r="C143" s="3"/>
      <c r="D143" s="136"/>
      <c r="E143" s="136"/>
      <c r="F143" s="249"/>
      <c r="G143" s="136"/>
      <c r="H143" s="1"/>
      <c r="I143" s="1"/>
      <c r="J143" s="354">
        <v>0</v>
      </c>
      <c r="K143" s="354">
        <v>0</v>
      </c>
      <c r="L143" s="355">
        <f t="shared" si="10"/>
        <v>0</v>
      </c>
      <c r="M143" s="355">
        <f t="shared" si="10"/>
        <v>0</v>
      </c>
      <c r="N143" s="355">
        <f t="shared" si="10"/>
        <v>0</v>
      </c>
      <c r="O143" s="1"/>
      <c r="P143" s="14"/>
    </row>
    <row r="144" spans="2:16" ht="12.75">
      <c r="B144" s="13"/>
      <c r="C144" s="3"/>
      <c r="D144" s="136"/>
      <c r="E144" s="136"/>
      <c r="F144" s="249"/>
      <c r="G144" s="136"/>
      <c r="H144" s="1"/>
      <c r="I144" s="1"/>
      <c r="J144" s="354">
        <v>0</v>
      </c>
      <c r="K144" s="354">
        <v>0</v>
      </c>
      <c r="L144" s="355">
        <f t="shared" si="9"/>
        <v>0</v>
      </c>
      <c r="M144" s="355">
        <f t="shared" si="9"/>
        <v>0</v>
      </c>
      <c r="N144" s="355">
        <f t="shared" si="9"/>
        <v>0</v>
      </c>
      <c r="O144" s="1"/>
      <c r="P144" s="14"/>
    </row>
    <row r="145" spans="2:16" ht="12.75">
      <c r="B145" s="13"/>
      <c r="C145" s="3"/>
      <c r="D145" s="136"/>
      <c r="E145" s="136"/>
      <c r="F145" s="249"/>
      <c r="G145" s="136"/>
      <c r="H145" s="1"/>
      <c r="I145" s="1"/>
      <c r="J145" s="354">
        <v>0</v>
      </c>
      <c r="K145" s="354">
        <v>0</v>
      </c>
      <c r="L145" s="355">
        <f aca="true" t="shared" si="11" ref="L145:N146">+K145</f>
        <v>0</v>
      </c>
      <c r="M145" s="355">
        <f t="shared" si="11"/>
        <v>0</v>
      </c>
      <c r="N145" s="355">
        <f t="shared" si="11"/>
        <v>0</v>
      </c>
      <c r="O145" s="1"/>
      <c r="P145" s="14"/>
    </row>
    <row r="146" spans="2:16" ht="12.75">
      <c r="B146" s="13"/>
      <c r="C146" s="3"/>
      <c r="D146" s="136"/>
      <c r="E146" s="136"/>
      <c r="F146" s="249"/>
      <c r="G146" s="136"/>
      <c r="H146" s="1"/>
      <c r="I146" s="1"/>
      <c r="J146" s="354">
        <v>0</v>
      </c>
      <c r="K146" s="354">
        <v>0</v>
      </c>
      <c r="L146" s="355">
        <f t="shared" si="11"/>
        <v>0</v>
      </c>
      <c r="M146" s="355">
        <f t="shared" si="11"/>
        <v>0</v>
      </c>
      <c r="N146" s="355">
        <f t="shared" si="11"/>
        <v>0</v>
      </c>
      <c r="O146" s="1"/>
      <c r="P146" s="14"/>
    </row>
    <row r="147" spans="2:16" ht="12.75">
      <c r="B147" s="13"/>
      <c r="C147" s="3"/>
      <c r="D147" s="91"/>
      <c r="E147" s="1"/>
      <c r="F147" s="242"/>
      <c r="G147" s="1"/>
      <c r="H147" s="1"/>
      <c r="I147" s="1"/>
      <c r="J147" s="149"/>
      <c r="K147" s="149"/>
      <c r="L147" s="149"/>
      <c r="M147" s="149"/>
      <c r="N147" s="149"/>
      <c r="O147" s="1"/>
      <c r="P147" s="14"/>
    </row>
    <row r="148" spans="2:16" ht="12.75">
      <c r="B148" s="13"/>
      <c r="C148" s="3"/>
      <c r="D148" s="2" t="s">
        <v>700</v>
      </c>
      <c r="E148" s="1"/>
      <c r="F148" s="242"/>
      <c r="G148" s="1"/>
      <c r="H148" s="1"/>
      <c r="I148" s="1"/>
      <c r="J148" s="165">
        <f>SUM(J138:J146)</f>
        <v>0</v>
      </c>
      <c r="K148" s="165">
        <f>SUM(K138:K146)</f>
        <v>0</v>
      </c>
      <c r="L148" s="165">
        <f>SUM(L138:L146)</f>
        <v>0</v>
      </c>
      <c r="M148" s="165">
        <f>SUM(M138:M146)</f>
        <v>0</v>
      </c>
      <c r="N148" s="165">
        <f>SUM(N138:N146)</f>
        <v>0</v>
      </c>
      <c r="O148" s="1"/>
      <c r="P148" s="14"/>
    </row>
    <row r="149" spans="2:16" ht="12.75">
      <c r="B149" s="13"/>
      <c r="C149" s="94"/>
      <c r="D149" s="1"/>
      <c r="E149" s="1"/>
      <c r="F149" s="242"/>
      <c r="G149" s="1"/>
      <c r="H149" s="1"/>
      <c r="I149" s="1"/>
      <c r="J149" s="1"/>
      <c r="K149" s="149"/>
      <c r="L149" s="149"/>
      <c r="M149" s="149"/>
      <c r="N149" s="149"/>
      <c r="O149" s="1"/>
      <c r="P149" s="14"/>
    </row>
    <row r="150" spans="2:16" ht="12.75">
      <c r="B150" s="13"/>
      <c r="C150" s="127"/>
      <c r="F150" s="148"/>
      <c r="K150" s="144"/>
      <c r="L150" s="144"/>
      <c r="M150" s="144"/>
      <c r="N150" s="144"/>
      <c r="P150" s="14"/>
    </row>
    <row r="151" spans="2:16" ht="12.75">
      <c r="B151" s="13"/>
      <c r="C151" s="94"/>
      <c r="D151" s="1"/>
      <c r="E151" s="1"/>
      <c r="F151" s="242"/>
      <c r="G151" s="1"/>
      <c r="H151" s="1"/>
      <c r="I151" s="1"/>
      <c r="J151" s="1"/>
      <c r="K151" s="149"/>
      <c r="L151" s="149"/>
      <c r="M151" s="149"/>
      <c r="N151" s="149"/>
      <c r="O151" s="1"/>
      <c r="P151" s="14"/>
    </row>
    <row r="152" spans="2:16" ht="12.75">
      <c r="B152" s="13"/>
      <c r="C152" s="94"/>
      <c r="D152" s="3" t="s">
        <v>284</v>
      </c>
      <c r="E152" s="1"/>
      <c r="F152" s="242"/>
      <c r="G152" s="1"/>
      <c r="H152" s="1"/>
      <c r="I152" s="1"/>
      <c r="J152" s="165">
        <f>J120+J132+J148</f>
        <v>493639.7569588301</v>
      </c>
      <c r="K152" s="165">
        <f>K120+K132+K148</f>
        <v>492830.24999999994</v>
      </c>
      <c r="L152" s="165">
        <f>K120+K132+K148</f>
        <v>492830.24999999994</v>
      </c>
      <c r="M152" s="165">
        <f>K120+K132+K148</f>
        <v>492830.24999999994</v>
      </c>
      <c r="N152" s="165">
        <f>K120+K132+K148</f>
        <v>492830.24999999994</v>
      </c>
      <c r="O152" s="1"/>
      <c r="P152" s="14"/>
    </row>
    <row r="153" spans="2:16" ht="12.75">
      <c r="B153" s="13"/>
      <c r="C153" s="94"/>
      <c r="D153" s="1"/>
      <c r="E153" s="1"/>
      <c r="F153" s="242"/>
      <c r="G153" s="1"/>
      <c r="H153" s="1"/>
      <c r="I153" s="1"/>
      <c r="J153" s="1"/>
      <c r="K153" s="149"/>
      <c r="L153" s="149"/>
      <c r="M153" s="149"/>
      <c r="N153" s="149"/>
      <c r="O153" s="1"/>
      <c r="P153" s="14"/>
    </row>
    <row r="154" spans="2:16" ht="12.75">
      <c r="B154" s="13"/>
      <c r="C154" s="94"/>
      <c r="D154" s="1" t="s">
        <v>175</v>
      </c>
      <c r="E154" s="1"/>
      <c r="F154" s="242"/>
      <c r="G154" s="1"/>
      <c r="H154" s="1"/>
      <c r="I154" s="1"/>
      <c r="J154" s="246">
        <f>pers!I195</f>
        <v>0</v>
      </c>
      <c r="K154" s="246">
        <f>pers!J195</f>
        <v>0</v>
      </c>
      <c r="L154" s="246">
        <f>pers!K195</f>
        <v>0</v>
      </c>
      <c r="M154" s="246">
        <f>pers!L195</f>
        <v>0</v>
      </c>
      <c r="N154" s="246">
        <f>pers!M195</f>
        <v>0</v>
      </c>
      <c r="O154" s="1"/>
      <c r="P154" s="14"/>
    </row>
    <row r="155" spans="2:16" ht="12.75">
      <c r="B155" s="13"/>
      <c r="C155" s="94"/>
      <c r="D155" s="1" t="s">
        <v>170</v>
      </c>
      <c r="E155" s="1"/>
      <c r="F155" s="242"/>
      <c r="G155" s="1"/>
      <c r="H155" s="1"/>
      <c r="I155" s="1"/>
      <c r="J155" s="246">
        <f>persbel!I81</f>
        <v>0</v>
      </c>
      <c r="K155" s="246">
        <f>persbel!J81</f>
        <v>0</v>
      </c>
      <c r="L155" s="246">
        <f>persbel!K81</f>
        <v>0</v>
      </c>
      <c r="M155" s="246">
        <f>persbel!L81</f>
        <v>0</v>
      </c>
      <c r="N155" s="246">
        <f>persbel!M81</f>
        <v>0</v>
      </c>
      <c r="O155" s="1"/>
      <c r="P155" s="14"/>
    </row>
    <row r="156" spans="2:16" ht="12.75">
      <c r="B156" s="13"/>
      <c r="C156" s="94"/>
      <c r="D156" s="1" t="s">
        <v>176</v>
      </c>
      <c r="E156" s="1"/>
      <c r="F156" s="242"/>
      <c r="G156" s="1"/>
      <c r="H156" s="1"/>
      <c r="I156" s="1"/>
      <c r="J156" s="246">
        <f>pers!I193</f>
        <v>0</v>
      </c>
      <c r="K156" s="246">
        <f>pers!J193</f>
        <v>0</v>
      </c>
      <c r="L156" s="246">
        <f>pers!K193</f>
        <v>0</v>
      </c>
      <c r="M156" s="246">
        <f>pers!L193</f>
        <v>0</v>
      </c>
      <c r="N156" s="246">
        <f>pers!M193</f>
        <v>0</v>
      </c>
      <c r="O156" s="1"/>
      <c r="P156" s="14"/>
    </row>
    <row r="157" spans="2:16" ht="12.75">
      <c r="B157" s="13"/>
      <c r="C157" s="94"/>
      <c r="D157" s="1" t="s">
        <v>172</v>
      </c>
      <c r="E157" s="1"/>
      <c r="F157" s="242"/>
      <c r="G157" s="1"/>
      <c r="H157" s="1"/>
      <c r="I157" s="1"/>
      <c r="J157" s="246">
        <f>persbel!I79</f>
        <v>0</v>
      </c>
      <c r="K157" s="246">
        <f>persbel!J79</f>
        <v>0</v>
      </c>
      <c r="L157" s="246">
        <f>persbel!K79</f>
        <v>0</v>
      </c>
      <c r="M157" s="246">
        <f>persbel!L79</f>
        <v>0</v>
      </c>
      <c r="N157" s="246">
        <f>persbel!M79</f>
        <v>0</v>
      </c>
      <c r="O157" s="1"/>
      <c r="P157" s="14"/>
    </row>
    <row r="158" spans="2:16" ht="12.75">
      <c r="B158" s="13"/>
      <c r="C158" s="94"/>
      <c r="D158" s="1"/>
      <c r="E158" s="1"/>
      <c r="F158" s="242"/>
      <c r="G158" s="1"/>
      <c r="H158" s="1"/>
      <c r="I158" s="1"/>
      <c r="J158" s="149"/>
      <c r="K158" s="149"/>
      <c r="L158" s="149"/>
      <c r="M158" s="149"/>
      <c r="N158" s="149"/>
      <c r="O158" s="1"/>
      <c r="P158" s="14"/>
    </row>
    <row r="159" spans="2:16" ht="12.75">
      <c r="B159" s="13"/>
      <c r="C159" s="1"/>
      <c r="D159" s="3" t="s">
        <v>174</v>
      </c>
      <c r="E159" s="1"/>
      <c r="F159" s="1"/>
      <c r="G159" s="1"/>
      <c r="H159" s="1"/>
      <c r="I159" s="1"/>
      <c r="J159" s="164">
        <f>SUM(J152:J155)-SUM(J156:J157)</f>
        <v>493639.7569588301</v>
      </c>
      <c r="K159" s="164">
        <f>SUM(K152:K155)-SUM(K156:K157)</f>
        <v>492830.24999999994</v>
      </c>
      <c r="L159" s="164">
        <f>SUM(L152:L155)-SUM(L156:L157)</f>
        <v>492830.24999999994</v>
      </c>
      <c r="M159" s="164">
        <f>SUM(M152:M155)-SUM(M156:M157)</f>
        <v>492830.24999999994</v>
      </c>
      <c r="N159" s="164">
        <f>SUM(N152:N155)-SUM(N156:N157)</f>
        <v>492830.24999999994</v>
      </c>
      <c r="O159" s="1"/>
      <c r="P159" s="14"/>
    </row>
    <row r="160" spans="2:16" ht="12.75">
      <c r="B160" s="13"/>
      <c r="C160" s="1"/>
      <c r="D160" s="1"/>
      <c r="E160" s="1"/>
      <c r="F160" s="1"/>
      <c r="G160" s="1"/>
      <c r="H160" s="1"/>
      <c r="I160" s="1"/>
      <c r="J160" s="1"/>
      <c r="K160" s="25"/>
      <c r="L160" s="25"/>
      <c r="M160" s="25"/>
      <c r="N160" s="25"/>
      <c r="O160" s="1"/>
      <c r="P160" s="14"/>
    </row>
    <row r="161" spans="2:16" ht="12.75">
      <c r="B161" s="13"/>
      <c r="P161" s="14"/>
    </row>
    <row r="162" spans="2:16" ht="13.5" thickBot="1">
      <c r="B162" s="48"/>
      <c r="C162" s="49"/>
      <c r="D162" s="49"/>
      <c r="E162" s="49"/>
      <c r="F162" s="49"/>
      <c r="G162" s="49"/>
      <c r="H162" s="49"/>
      <c r="I162" s="49"/>
      <c r="J162" s="49"/>
      <c r="K162" s="50"/>
      <c r="L162" s="50"/>
      <c r="M162" s="50"/>
      <c r="N162" s="50"/>
      <c r="O162" s="49"/>
      <c r="P162" s="51"/>
    </row>
    <row r="163" spans="2:16" ht="12.75">
      <c r="B163" s="9"/>
      <c r="C163" s="10"/>
      <c r="D163" s="10"/>
      <c r="E163" s="10"/>
      <c r="F163" s="10"/>
      <c r="G163" s="10"/>
      <c r="H163" s="10"/>
      <c r="I163" s="10"/>
      <c r="J163" s="10"/>
      <c r="K163" s="11"/>
      <c r="L163" s="11"/>
      <c r="M163" s="11"/>
      <c r="N163" s="11"/>
      <c r="O163" s="10"/>
      <c r="P163" s="12"/>
    </row>
    <row r="164" spans="2:16" ht="12.75">
      <c r="B164" s="13"/>
      <c r="P164" s="14"/>
    </row>
    <row r="165" spans="2:16" ht="18">
      <c r="B165" s="16"/>
      <c r="C165" s="17" t="s">
        <v>283</v>
      </c>
      <c r="D165" s="15"/>
      <c r="E165" s="15"/>
      <c r="F165" s="15"/>
      <c r="G165" s="15"/>
      <c r="H165" s="15"/>
      <c r="I165" s="15"/>
      <c r="J165" s="15"/>
      <c r="K165" s="18"/>
      <c r="L165" s="18"/>
      <c r="M165" s="18"/>
      <c r="N165" s="18"/>
      <c r="O165" s="15"/>
      <c r="P165" s="20"/>
    </row>
    <row r="166" spans="2:16" ht="12.75">
      <c r="B166" s="13"/>
      <c r="K166" s="7"/>
      <c r="L166" s="7"/>
      <c r="M166" s="7"/>
      <c r="N166" s="7"/>
      <c r="P166" s="14"/>
    </row>
    <row r="167" spans="2:16" ht="12.75">
      <c r="B167" s="13"/>
      <c r="K167" s="7"/>
      <c r="L167" s="7"/>
      <c r="M167" s="7"/>
      <c r="N167" s="7"/>
      <c r="P167" s="14"/>
    </row>
    <row r="168" spans="2:16" ht="12.75">
      <c r="B168" s="13"/>
      <c r="J168" s="21">
        <f>J99</f>
        <v>2009</v>
      </c>
      <c r="K168" s="21">
        <f>K99</f>
        <v>2010</v>
      </c>
      <c r="L168" s="21">
        <f>L99</f>
        <v>2011</v>
      </c>
      <c r="M168" s="21">
        <f>M99</f>
        <v>2012</v>
      </c>
      <c r="N168" s="21">
        <f>N99</f>
        <v>2013</v>
      </c>
      <c r="P168" s="14"/>
    </row>
    <row r="169" spans="2:16" ht="12.75">
      <c r="B169" s="13"/>
      <c r="K169" s="7"/>
      <c r="L169" s="7"/>
      <c r="M169" s="7"/>
      <c r="N169" s="7"/>
      <c r="P169" s="14"/>
    </row>
    <row r="170" spans="2:16" ht="12.75">
      <c r="B170" s="13"/>
      <c r="C170" s="1"/>
      <c r="D170" s="1"/>
      <c r="E170" s="1"/>
      <c r="F170" s="1"/>
      <c r="G170" s="1"/>
      <c r="H170" s="25"/>
      <c r="I170" s="1"/>
      <c r="J170" s="1"/>
      <c r="K170" s="181"/>
      <c r="L170" s="181"/>
      <c r="M170" s="181"/>
      <c r="N170" s="181"/>
      <c r="O170" s="1"/>
      <c r="P170" s="14"/>
    </row>
    <row r="171" spans="2:16" ht="12.75">
      <c r="B171" s="13"/>
      <c r="C171" s="1"/>
      <c r="D171" s="245" t="s">
        <v>616</v>
      </c>
      <c r="E171" s="1"/>
      <c r="F171" s="1"/>
      <c r="G171" s="1"/>
      <c r="H171" s="234" t="s">
        <v>468</v>
      </c>
      <c r="I171" s="1"/>
      <c r="J171" s="1"/>
      <c r="K171" s="181"/>
      <c r="L171" s="181"/>
      <c r="M171" s="181"/>
      <c r="N171" s="181"/>
      <c r="O171" s="1"/>
      <c r="P171" s="14"/>
    </row>
    <row r="172" spans="2:16" ht="12.75">
      <c r="B172" s="13"/>
      <c r="C172" s="1"/>
      <c r="D172" s="251"/>
      <c r="E172" s="1"/>
      <c r="F172" s="1"/>
      <c r="G172" s="1"/>
      <c r="H172" s="25"/>
      <c r="I172" s="1"/>
      <c r="J172" s="1"/>
      <c r="K172" s="181"/>
      <c r="L172" s="181"/>
      <c r="M172" s="181"/>
      <c r="N172" s="181"/>
      <c r="O172" s="1"/>
      <c r="P172" s="14"/>
    </row>
    <row r="173" spans="2:16" ht="12.75">
      <c r="B173" s="13"/>
      <c r="C173" s="1"/>
      <c r="D173" s="1" t="s">
        <v>696</v>
      </c>
      <c r="E173" s="1"/>
      <c r="F173" s="1"/>
      <c r="G173" s="1"/>
      <c r="H173" s="27"/>
      <c r="I173" s="1"/>
      <c r="J173" s="35">
        <f>act!F33+act!F42</f>
        <v>0</v>
      </c>
      <c r="K173" s="35">
        <f>act!G33+act!G42</f>
        <v>0</v>
      </c>
      <c r="L173" s="35">
        <f>act!H33+act!H42</f>
        <v>0</v>
      </c>
      <c r="M173" s="35">
        <f>act!I33+act!I42</f>
        <v>0</v>
      </c>
      <c r="N173" s="35">
        <f>act!J33+act!J42</f>
        <v>0</v>
      </c>
      <c r="O173" s="1"/>
      <c r="P173" s="14"/>
    </row>
    <row r="174" spans="2:16" ht="12.75">
      <c r="B174" s="13"/>
      <c r="C174" s="1"/>
      <c r="D174" s="1" t="s">
        <v>697</v>
      </c>
      <c r="E174" s="1"/>
      <c r="F174" s="1"/>
      <c r="G174" s="1"/>
      <c r="H174" s="27"/>
      <c r="I174" s="1"/>
      <c r="J174" s="35">
        <f>act!F34+act!F43</f>
        <v>11111</v>
      </c>
      <c r="K174" s="35">
        <f>act!G34+act!G43</f>
        <v>11111</v>
      </c>
      <c r="L174" s="35">
        <f>act!H34+act!H43</f>
        <v>11111</v>
      </c>
      <c r="M174" s="35">
        <f>act!I34+act!I43</f>
        <v>11111</v>
      </c>
      <c r="N174" s="35">
        <f>act!J34+act!J43</f>
        <v>11111</v>
      </c>
      <c r="O174" s="1"/>
      <c r="P174" s="14"/>
    </row>
    <row r="175" spans="2:16" ht="12.75">
      <c r="B175" s="13"/>
      <c r="C175" s="1"/>
      <c r="D175" s="273" t="s">
        <v>454</v>
      </c>
      <c r="E175" s="1"/>
      <c r="F175" s="1"/>
      <c r="G175" s="1"/>
      <c r="H175" s="27"/>
      <c r="I175" s="1"/>
      <c r="J175" s="35">
        <f>act!F35+act!F44</f>
        <v>0</v>
      </c>
      <c r="K175" s="35">
        <f>act!G35+act!G44</f>
        <v>0</v>
      </c>
      <c r="L175" s="35">
        <f>act!H35+act!H44</f>
        <v>0</v>
      </c>
      <c r="M175" s="35">
        <f>act!I35+act!I44</f>
        <v>0</v>
      </c>
      <c r="N175" s="35">
        <f>act!J35+act!J44</f>
        <v>0</v>
      </c>
      <c r="O175" s="1"/>
      <c r="P175" s="14"/>
    </row>
    <row r="176" spans="2:16" ht="12.75">
      <c r="B176" s="13"/>
      <c r="C176" s="1"/>
      <c r="D176" s="273" t="s">
        <v>455</v>
      </c>
      <c r="E176" s="1"/>
      <c r="F176" s="1"/>
      <c r="G176" s="1"/>
      <c r="H176" s="27"/>
      <c r="I176" s="1"/>
      <c r="J176" s="35">
        <f>act!F36+act!F45</f>
        <v>0</v>
      </c>
      <c r="K176" s="35">
        <f>act!G36+act!G45</f>
        <v>0</v>
      </c>
      <c r="L176" s="35">
        <f>act!H36+act!H45</f>
        <v>0</v>
      </c>
      <c r="M176" s="35">
        <f>act!I36+act!I45</f>
        <v>0</v>
      </c>
      <c r="N176" s="35">
        <f>act!J36+act!J45</f>
        <v>0</v>
      </c>
      <c r="O176" s="1"/>
      <c r="P176" s="14"/>
    </row>
    <row r="177" spans="2:16" ht="12.75">
      <c r="B177" s="13"/>
      <c r="C177" s="1"/>
      <c r="D177" s="1" t="s">
        <v>698</v>
      </c>
      <c r="E177" s="1"/>
      <c r="F177" s="1"/>
      <c r="G177" s="1"/>
      <c r="H177" s="27"/>
      <c r="I177" s="1"/>
      <c r="J177" s="35">
        <f>act!F37+act!F46</f>
        <v>0</v>
      </c>
      <c r="K177" s="35">
        <f>act!G37+act!G46</f>
        <v>0</v>
      </c>
      <c r="L177" s="35">
        <f>act!H37+act!H46</f>
        <v>0</v>
      </c>
      <c r="M177" s="35">
        <f>act!I37+act!I46</f>
        <v>0</v>
      </c>
      <c r="N177" s="35">
        <f>act!J37+act!J46</f>
        <v>0</v>
      </c>
      <c r="O177" s="1"/>
      <c r="P177" s="14"/>
    </row>
    <row r="178" spans="2:16" ht="12.75">
      <c r="B178" s="13"/>
      <c r="C178" s="1"/>
      <c r="D178" s="1" t="s">
        <v>699</v>
      </c>
      <c r="E178" s="1"/>
      <c r="F178" s="1"/>
      <c r="G178" s="1"/>
      <c r="H178" s="27"/>
      <c r="I178" s="1"/>
      <c r="J178" s="35">
        <f>act!F38+act!F47</f>
        <v>0</v>
      </c>
      <c r="K178" s="35">
        <f>act!G38+act!G47</f>
        <v>0</v>
      </c>
      <c r="L178" s="35">
        <f>act!H38+act!H47</f>
        <v>0</v>
      </c>
      <c r="M178" s="35">
        <f>act!I38+act!I47</f>
        <v>0</v>
      </c>
      <c r="N178" s="35">
        <f>act!J38+act!J47</f>
        <v>0</v>
      </c>
      <c r="O178" s="1"/>
      <c r="P178" s="14"/>
    </row>
    <row r="179" spans="2:16" ht="12.75">
      <c r="B179" s="13"/>
      <c r="C179" s="1"/>
      <c r="D179" s="245"/>
      <c r="E179" s="1"/>
      <c r="F179" s="1"/>
      <c r="G179" s="1"/>
      <c r="H179" s="25"/>
      <c r="I179" s="1"/>
      <c r="J179" s="1"/>
      <c r="K179" s="158"/>
      <c r="L179" s="158"/>
      <c r="M179" s="158"/>
      <c r="N179" s="158"/>
      <c r="O179" s="1"/>
      <c r="P179" s="14"/>
    </row>
    <row r="180" spans="2:16" ht="12.75">
      <c r="B180" s="13"/>
      <c r="C180" s="1"/>
      <c r="D180" s="449" t="s">
        <v>667</v>
      </c>
      <c r="E180" s="1"/>
      <c r="F180" s="1"/>
      <c r="G180" s="1"/>
      <c r="H180" s="25"/>
      <c r="I180" s="1"/>
      <c r="J180" s="177">
        <f>SUM(J173:J178)</f>
        <v>11111</v>
      </c>
      <c r="K180" s="177">
        <f>SUM(K173:K178)</f>
        <v>11111</v>
      </c>
      <c r="L180" s="177">
        <f>SUM(L173:L178)</f>
        <v>11111</v>
      </c>
      <c r="M180" s="177">
        <f>SUM(M173:M178)</f>
        <v>11111</v>
      </c>
      <c r="N180" s="177">
        <f>SUM(N173:N178)</f>
        <v>11111</v>
      </c>
      <c r="O180" s="1"/>
      <c r="P180" s="14"/>
    </row>
    <row r="181" spans="2:16" ht="12.75">
      <c r="B181" s="13"/>
      <c r="C181" s="1"/>
      <c r="D181" s="1"/>
      <c r="E181" s="1"/>
      <c r="F181" s="1"/>
      <c r="G181" s="1"/>
      <c r="H181" s="1"/>
      <c r="I181" s="1"/>
      <c r="J181" s="1"/>
      <c r="K181" s="181"/>
      <c r="L181" s="181"/>
      <c r="M181" s="181"/>
      <c r="N181" s="181"/>
      <c r="O181" s="1"/>
      <c r="P181" s="14"/>
    </row>
    <row r="182" spans="2:16" ht="12.75">
      <c r="B182" s="13"/>
      <c r="K182" s="180"/>
      <c r="L182" s="180"/>
      <c r="M182" s="180"/>
      <c r="N182" s="180"/>
      <c r="P182" s="14"/>
    </row>
    <row r="183" spans="2:16" ht="12.75">
      <c r="B183" s="13"/>
      <c r="C183" s="1"/>
      <c r="D183" s="1"/>
      <c r="E183" s="1"/>
      <c r="F183" s="1"/>
      <c r="G183" s="1"/>
      <c r="H183" s="1"/>
      <c r="I183" s="1"/>
      <c r="J183" s="1"/>
      <c r="K183" s="158"/>
      <c r="L183" s="158"/>
      <c r="M183" s="158"/>
      <c r="N183" s="158"/>
      <c r="O183" s="1"/>
      <c r="P183" s="14"/>
    </row>
    <row r="184" spans="2:16" ht="12.75">
      <c r="B184" s="13"/>
      <c r="C184" s="1"/>
      <c r="D184" s="3" t="s">
        <v>617</v>
      </c>
      <c r="E184" s="1"/>
      <c r="F184" s="159"/>
      <c r="G184" s="1"/>
      <c r="H184" s="234" t="s">
        <v>468</v>
      </c>
      <c r="I184" s="1"/>
      <c r="J184" s="1"/>
      <c r="K184" s="158"/>
      <c r="L184" s="158"/>
      <c r="M184" s="158"/>
      <c r="N184" s="158"/>
      <c r="O184" s="1"/>
      <c r="P184" s="14"/>
    </row>
    <row r="185" spans="2:16" ht="12.75">
      <c r="B185" s="13"/>
      <c r="C185" s="1"/>
      <c r="D185" s="159"/>
      <c r="E185" s="1"/>
      <c r="F185" s="1"/>
      <c r="G185" s="1"/>
      <c r="H185" s="25"/>
      <c r="I185" s="1"/>
      <c r="J185" s="1"/>
      <c r="K185" s="158"/>
      <c r="L185" s="158"/>
      <c r="M185" s="158"/>
      <c r="N185" s="158"/>
      <c r="O185" s="1"/>
      <c r="P185" s="14"/>
    </row>
    <row r="186" spans="2:16" ht="12.75">
      <c r="B186" s="13"/>
      <c r="C186" s="1"/>
      <c r="D186" s="244" t="s">
        <v>445</v>
      </c>
      <c r="E186" s="1"/>
      <c r="F186" s="244"/>
      <c r="G186" s="1"/>
      <c r="H186" s="27"/>
      <c r="I186" s="1"/>
      <c r="J186" s="279">
        <f>mop!F17</f>
        <v>10000</v>
      </c>
      <c r="K186" s="279">
        <f>mop!G17</f>
        <v>10000</v>
      </c>
      <c r="L186" s="279">
        <f>mop!H17</f>
        <v>10000</v>
      </c>
      <c r="M186" s="279">
        <f>mop!I17</f>
        <v>10000</v>
      </c>
      <c r="N186" s="279">
        <f>mop!J17</f>
        <v>10000</v>
      </c>
      <c r="O186" s="1"/>
      <c r="P186" s="14"/>
    </row>
    <row r="187" spans="2:20" ht="12.75">
      <c r="B187" s="13"/>
      <c r="C187" s="1"/>
      <c r="D187" s="453" t="s">
        <v>446</v>
      </c>
      <c r="E187" s="136"/>
      <c r="F187" s="136"/>
      <c r="G187" s="1"/>
      <c r="H187" s="27"/>
      <c r="I187" s="1"/>
      <c r="J187" s="354">
        <v>0</v>
      </c>
      <c r="K187" s="354">
        <v>0</v>
      </c>
      <c r="L187" s="355">
        <f aca="true" t="shared" si="12" ref="L187:N201">+K187</f>
        <v>0</v>
      </c>
      <c r="M187" s="355">
        <f t="shared" si="12"/>
        <v>0</v>
      </c>
      <c r="N187" s="355">
        <f t="shared" si="12"/>
        <v>0</v>
      </c>
      <c r="O187" s="1"/>
      <c r="P187" s="14"/>
      <c r="T187" s="53"/>
    </row>
    <row r="188" spans="2:20" ht="12.75">
      <c r="B188" s="13"/>
      <c r="C188" s="1"/>
      <c r="D188" s="136" t="s">
        <v>39</v>
      </c>
      <c r="E188" s="136"/>
      <c r="F188" s="136"/>
      <c r="G188" s="1"/>
      <c r="H188" s="27"/>
      <c r="I188" s="1"/>
      <c r="J188" s="354">
        <v>0</v>
      </c>
      <c r="K188" s="354">
        <v>0</v>
      </c>
      <c r="L188" s="355">
        <f t="shared" si="12"/>
        <v>0</v>
      </c>
      <c r="M188" s="355">
        <f t="shared" si="12"/>
        <v>0</v>
      </c>
      <c r="N188" s="355">
        <f t="shared" si="12"/>
        <v>0</v>
      </c>
      <c r="O188" s="1"/>
      <c r="P188" s="14"/>
      <c r="T188" s="53"/>
    </row>
    <row r="189" spans="2:20" ht="12.75">
      <c r="B189" s="13"/>
      <c r="C189" s="1"/>
      <c r="D189" s="136" t="s">
        <v>159</v>
      </c>
      <c r="E189" s="136"/>
      <c r="F189" s="136"/>
      <c r="G189" s="1"/>
      <c r="H189" s="27"/>
      <c r="I189" s="1"/>
      <c r="J189" s="354">
        <v>0</v>
      </c>
      <c r="K189" s="354">
        <v>0</v>
      </c>
      <c r="L189" s="355">
        <f aca="true" t="shared" si="13" ref="L189:N193">+K189</f>
        <v>0</v>
      </c>
      <c r="M189" s="355">
        <f t="shared" si="13"/>
        <v>0</v>
      </c>
      <c r="N189" s="355">
        <f t="shared" si="13"/>
        <v>0</v>
      </c>
      <c r="O189" s="1"/>
      <c r="P189" s="14"/>
      <c r="T189" s="53"/>
    </row>
    <row r="190" spans="2:20" ht="12.75">
      <c r="B190" s="13"/>
      <c r="C190" s="1"/>
      <c r="D190" s="136" t="s">
        <v>40</v>
      </c>
      <c r="E190" s="136"/>
      <c r="F190" s="136"/>
      <c r="G190" s="1"/>
      <c r="H190" s="27"/>
      <c r="I190" s="1"/>
      <c r="J190" s="354">
        <v>0</v>
      </c>
      <c r="K190" s="354">
        <v>0</v>
      </c>
      <c r="L190" s="355">
        <f t="shared" si="13"/>
        <v>0</v>
      </c>
      <c r="M190" s="355">
        <f t="shared" si="13"/>
        <v>0</v>
      </c>
      <c r="N190" s="355">
        <f t="shared" si="13"/>
        <v>0</v>
      </c>
      <c r="O190" s="1"/>
      <c r="P190" s="14"/>
      <c r="T190" s="53"/>
    </row>
    <row r="191" spans="2:20" ht="12.75">
      <c r="B191" s="13"/>
      <c r="C191" s="1"/>
      <c r="D191" s="136" t="s">
        <v>41</v>
      </c>
      <c r="E191" s="136"/>
      <c r="F191" s="136"/>
      <c r="G191" s="1"/>
      <c r="H191" s="27"/>
      <c r="I191" s="1"/>
      <c r="J191" s="354">
        <v>0</v>
      </c>
      <c r="K191" s="354">
        <v>0</v>
      </c>
      <c r="L191" s="355">
        <f t="shared" si="13"/>
        <v>0</v>
      </c>
      <c r="M191" s="355">
        <f t="shared" si="13"/>
        <v>0</v>
      </c>
      <c r="N191" s="355">
        <f t="shared" si="13"/>
        <v>0</v>
      </c>
      <c r="O191" s="1"/>
      <c r="P191" s="14"/>
      <c r="T191" s="53"/>
    </row>
    <row r="192" spans="2:20" ht="12.75">
      <c r="B192" s="13"/>
      <c r="C192" s="1"/>
      <c r="D192" s="136" t="s">
        <v>42</v>
      </c>
      <c r="E192" s="136"/>
      <c r="F192" s="136"/>
      <c r="G192" s="1"/>
      <c r="H192" s="27"/>
      <c r="I192" s="1"/>
      <c r="J192" s="354">
        <v>0</v>
      </c>
      <c r="K192" s="354">
        <v>0</v>
      </c>
      <c r="L192" s="355">
        <f t="shared" si="13"/>
        <v>0</v>
      </c>
      <c r="M192" s="355">
        <f t="shared" si="13"/>
        <v>0</v>
      </c>
      <c r="N192" s="355">
        <f t="shared" si="13"/>
        <v>0</v>
      </c>
      <c r="O192" s="1"/>
      <c r="P192" s="14"/>
      <c r="T192" s="53"/>
    </row>
    <row r="193" spans="2:20" ht="12.75">
      <c r="B193" s="13"/>
      <c r="C193" s="1"/>
      <c r="D193" s="136" t="s">
        <v>43</v>
      </c>
      <c r="E193" s="136"/>
      <c r="F193" s="136"/>
      <c r="G193" s="1"/>
      <c r="H193" s="27"/>
      <c r="I193" s="1"/>
      <c r="J193" s="354">
        <v>0</v>
      </c>
      <c r="K193" s="354">
        <v>0</v>
      </c>
      <c r="L193" s="355">
        <f t="shared" si="13"/>
        <v>0</v>
      </c>
      <c r="M193" s="355">
        <f t="shared" si="13"/>
        <v>0</v>
      </c>
      <c r="N193" s="355">
        <f t="shared" si="13"/>
        <v>0</v>
      </c>
      <c r="O193" s="1"/>
      <c r="P193" s="14"/>
      <c r="T193" s="53"/>
    </row>
    <row r="194" spans="2:20" ht="12.75">
      <c r="B194" s="13"/>
      <c r="C194" s="1"/>
      <c r="D194" s="136" t="s">
        <v>44</v>
      </c>
      <c r="E194" s="136"/>
      <c r="F194" s="136"/>
      <c r="G194" s="1"/>
      <c r="H194" s="27"/>
      <c r="I194" s="1"/>
      <c r="J194" s="354">
        <v>0</v>
      </c>
      <c r="K194" s="354">
        <v>0</v>
      </c>
      <c r="L194" s="355">
        <f t="shared" si="12"/>
        <v>0</v>
      </c>
      <c r="M194" s="355">
        <f t="shared" si="12"/>
        <v>0</v>
      </c>
      <c r="N194" s="355">
        <f t="shared" si="12"/>
        <v>0</v>
      </c>
      <c r="O194" s="1"/>
      <c r="P194" s="14"/>
      <c r="T194" s="53"/>
    </row>
    <row r="195" spans="2:20" ht="12.75">
      <c r="B195" s="13"/>
      <c r="C195" s="1"/>
      <c r="D195" s="136" t="s">
        <v>45</v>
      </c>
      <c r="E195" s="136"/>
      <c r="F195" s="136"/>
      <c r="G195" s="1"/>
      <c r="H195" s="27"/>
      <c r="I195" s="1"/>
      <c r="J195" s="354">
        <v>0</v>
      </c>
      <c r="K195" s="354">
        <v>0</v>
      </c>
      <c r="L195" s="355">
        <f t="shared" si="12"/>
        <v>0</v>
      </c>
      <c r="M195" s="355">
        <f t="shared" si="12"/>
        <v>0</v>
      </c>
      <c r="N195" s="355">
        <f t="shared" si="12"/>
        <v>0</v>
      </c>
      <c r="O195" s="1"/>
      <c r="P195" s="14"/>
      <c r="T195" s="53"/>
    </row>
    <row r="196" spans="2:20" ht="12.75">
      <c r="B196" s="13"/>
      <c r="C196" s="1"/>
      <c r="D196" s="136" t="s">
        <v>46</v>
      </c>
      <c r="E196" s="136"/>
      <c r="F196" s="136"/>
      <c r="G196" s="1"/>
      <c r="H196" s="27"/>
      <c r="I196" s="1"/>
      <c r="J196" s="354">
        <v>0</v>
      </c>
      <c r="K196" s="354">
        <v>0</v>
      </c>
      <c r="L196" s="355">
        <f t="shared" si="12"/>
        <v>0</v>
      </c>
      <c r="M196" s="355">
        <f t="shared" si="12"/>
        <v>0</v>
      </c>
      <c r="N196" s="355">
        <f t="shared" si="12"/>
        <v>0</v>
      </c>
      <c r="O196" s="1"/>
      <c r="P196" s="14"/>
      <c r="T196" s="53"/>
    </row>
    <row r="197" spans="2:20" ht="12.75">
      <c r="B197" s="13"/>
      <c r="C197" s="1"/>
      <c r="D197" s="136" t="s">
        <v>47</v>
      </c>
      <c r="E197" s="136"/>
      <c r="F197" s="136"/>
      <c r="G197" s="1"/>
      <c r="H197" s="27"/>
      <c r="I197" s="1"/>
      <c r="J197" s="354">
        <v>0</v>
      </c>
      <c r="K197" s="354">
        <v>0</v>
      </c>
      <c r="L197" s="355">
        <f t="shared" si="12"/>
        <v>0</v>
      </c>
      <c r="M197" s="355">
        <f t="shared" si="12"/>
        <v>0</v>
      </c>
      <c r="N197" s="355">
        <f t="shared" si="12"/>
        <v>0</v>
      </c>
      <c r="O197" s="1"/>
      <c r="P197" s="14"/>
      <c r="T197" s="53"/>
    </row>
    <row r="198" spans="2:20" ht="12.75">
      <c r="B198" s="13"/>
      <c r="C198" s="1"/>
      <c r="D198" s="136" t="s">
        <v>160</v>
      </c>
      <c r="E198" s="136"/>
      <c r="F198" s="136"/>
      <c r="G198" s="1"/>
      <c r="H198" s="27"/>
      <c r="I198" s="1"/>
      <c r="J198" s="354">
        <v>0</v>
      </c>
      <c r="K198" s="354">
        <v>0</v>
      </c>
      <c r="L198" s="355">
        <f t="shared" si="12"/>
        <v>0</v>
      </c>
      <c r="M198" s="355">
        <f t="shared" si="12"/>
        <v>0</v>
      </c>
      <c r="N198" s="355">
        <f t="shared" si="12"/>
        <v>0</v>
      </c>
      <c r="O198" s="1"/>
      <c r="P198" s="14"/>
      <c r="T198" s="53"/>
    </row>
    <row r="199" spans="2:20" ht="12.75">
      <c r="B199" s="13"/>
      <c r="C199" s="1"/>
      <c r="D199" s="136" t="s">
        <v>48</v>
      </c>
      <c r="E199" s="136"/>
      <c r="F199" s="136"/>
      <c r="G199" s="1"/>
      <c r="H199" s="27"/>
      <c r="I199" s="1"/>
      <c r="J199" s="354">
        <v>0</v>
      </c>
      <c r="K199" s="354">
        <v>0</v>
      </c>
      <c r="L199" s="355">
        <f t="shared" si="12"/>
        <v>0</v>
      </c>
      <c r="M199" s="355">
        <f t="shared" si="12"/>
        <v>0</v>
      </c>
      <c r="N199" s="355">
        <f t="shared" si="12"/>
        <v>0</v>
      </c>
      <c r="O199" s="1"/>
      <c r="P199" s="14"/>
      <c r="T199" s="53"/>
    </row>
    <row r="200" spans="2:20" ht="12.75">
      <c r="B200" s="13"/>
      <c r="C200" s="1"/>
      <c r="D200" s="136" t="s">
        <v>161</v>
      </c>
      <c r="E200" s="136"/>
      <c r="F200" s="136"/>
      <c r="G200" s="1"/>
      <c r="H200" s="27"/>
      <c r="I200" s="1"/>
      <c r="J200" s="354">
        <v>0</v>
      </c>
      <c r="K200" s="354">
        <v>0</v>
      </c>
      <c r="L200" s="355">
        <f t="shared" si="12"/>
        <v>0</v>
      </c>
      <c r="M200" s="355">
        <f t="shared" si="12"/>
        <v>0</v>
      </c>
      <c r="N200" s="355">
        <f t="shared" si="12"/>
        <v>0</v>
      </c>
      <c r="O200" s="1"/>
      <c r="P200" s="14"/>
      <c r="T200" s="53"/>
    </row>
    <row r="201" spans="2:20" ht="12.75">
      <c r="B201" s="13"/>
      <c r="C201" s="1"/>
      <c r="D201" s="453"/>
      <c r="E201" s="136"/>
      <c r="F201" s="136"/>
      <c r="G201" s="1"/>
      <c r="H201" s="27"/>
      <c r="I201" s="1"/>
      <c r="J201" s="354">
        <v>0</v>
      </c>
      <c r="K201" s="354">
        <v>0</v>
      </c>
      <c r="L201" s="355">
        <f t="shared" si="12"/>
        <v>0</v>
      </c>
      <c r="M201" s="355">
        <f t="shared" si="12"/>
        <v>0</v>
      </c>
      <c r="N201" s="355">
        <f t="shared" si="12"/>
        <v>0</v>
      </c>
      <c r="O201" s="1"/>
      <c r="P201" s="14"/>
      <c r="T201" s="53"/>
    </row>
    <row r="202" spans="2:20" ht="12.75">
      <c r="B202" s="13"/>
      <c r="C202" s="1"/>
      <c r="D202" s="245"/>
      <c r="E202" s="1"/>
      <c r="F202" s="1"/>
      <c r="G202" s="1"/>
      <c r="H202" s="25"/>
      <c r="I202" s="1"/>
      <c r="J202" s="158"/>
      <c r="K202" s="158"/>
      <c r="L202" s="158"/>
      <c r="M202" s="158"/>
      <c r="N202" s="158"/>
      <c r="O202" s="1"/>
      <c r="P202" s="14"/>
      <c r="T202" s="53"/>
    </row>
    <row r="203" spans="2:20" ht="12.75">
      <c r="B203" s="13"/>
      <c r="C203" s="1"/>
      <c r="D203" s="449" t="s">
        <v>667</v>
      </c>
      <c r="E203" s="1"/>
      <c r="F203" s="1"/>
      <c r="G203" s="1"/>
      <c r="H203" s="25"/>
      <c r="I203" s="1"/>
      <c r="J203" s="177">
        <f>SUM(J186:J201)</f>
        <v>10000</v>
      </c>
      <c r="K203" s="177">
        <f>SUM(K186:K201)</f>
        <v>10000</v>
      </c>
      <c r="L203" s="177">
        <f>SUM(L186:L201)</f>
        <v>10000</v>
      </c>
      <c r="M203" s="177">
        <f>SUM(M186:M201)</f>
        <v>10000</v>
      </c>
      <c r="N203" s="177">
        <f>SUM(N186:N201)</f>
        <v>10000</v>
      </c>
      <c r="O203" s="1"/>
      <c r="P203" s="14"/>
      <c r="T203" s="53"/>
    </row>
    <row r="204" spans="2:21" ht="12.75">
      <c r="B204" s="13"/>
      <c r="C204" s="1"/>
      <c r="D204" s="245"/>
      <c r="E204" s="1"/>
      <c r="F204" s="1"/>
      <c r="G204" s="1"/>
      <c r="H204" s="25"/>
      <c r="I204" s="1"/>
      <c r="J204" s="1"/>
      <c r="K204" s="158"/>
      <c r="L204" s="158"/>
      <c r="M204" s="158"/>
      <c r="N204" s="158"/>
      <c r="O204" s="1"/>
      <c r="P204" s="14"/>
      <c r="T204" s="53"/>
      <c r="U204" s="6"/>
    </row>
    <row r="205" spans="2:21" ht="12.75">
      <c r="B205" s="13"/>
      <c r="D205" s="36"/>
      <c r="H205" s="8"/>
      <c r="K205" s="134"/>
      <c r="L205" s="134"/>
      <c r="M205" s="134"/>
      <c r="N205" s="134"/>
      <c r="P205" s="14"/>
      <c r="T205" s="53"/>
      <c r="U205" s="6"/>
    </row>
    <row r="206" spans="2:21" ht="12.75">
      <c r="B206" s="13"/>
      <c r="C206" s="1"/>
      <c r="D206" s="3"/>
      <c r="E206" s="1"/>
      <c r="F206" s="1"/>
      <c r="G206" s="1"/>
      <c r="H206" s="25"/>
      <c r="I206" s="1"/>
      <c r="J206" s="1"/>
      <c r="K206" s="158"/>
      <c r="L206" s="158"/>
      <c r="M206" s="158"/>
      <c r="N206" s="158"/>
      <c r="O206" s="1"/>
      <c r="P206" s="14"/>
      <c r="T206" s="53"/>
      <c r="U206" s="6"/>
    </row>
    <row r="207" spans="2:21" ht="12.75">
      <c r="B207" s="13"/>
      <c r="C207" s="3"/>
      <c r="D207" s="3" t="s">
        <v>285</v>
      </c>
      <c r="E207" s="1"/>
      <c r="F207" s="159"/>
      <c r="G207" s="1"/>
      <c r="H207" s="234"/>
      <c r="I207" s="1"/>
      <c r="J207" s="1"/>
      <c r="K207" s="158"/>
      <c r="L207" s="158"/>
      <c r="M207" s="158"/>
      <c r="N207" s="158"/>
      <c r="O207" s="1"/>
      <c r="P207" s="14"/>
      <c r="T207" s="53"/>
      <c r="U207" s="6"/>
    </row>
    <row r="208" spans="2:21" ht="12.75">
      <c r="B208" s="13"/>
      <c r="C208" s="3"/>
      <c r="D208" s="250"/>
      <c r="E208" s="1"/>
      <c r="F208" s="1"/>
      <c r="G208" s="1"/>
      <c r="H208" s="25"/>
      <c r="I208" s="1"/>
      <c r="J208" s="1"/>
      <c r="K208" s="158"/>
      <c r="L208" s="158"/>
      <c r="M208" s="158"/>
      <c r="N208" s="158"/>
      <c r="O208" s="1"/>
      <c r="P208" s="14"/>
      <c r="T208" s="53"/>
      <c r="U208" s="6"/>
    </row>
    <row r="209" spans="2:21" ht="12.75">
      <c r="B209" s="13"/>
      <c r="C209" s="1"/>
      <c r="D209" s="251" t="s">
        <v>447</v>
      </c>
      <c r="E209" s="444"/>
      <c r="F209" s="483"/>
      <c r="G209" s="1"/>
      <c r="H209" s="445"/>
      <c r="I209" s="1"/>
      <c r="J209" s="1"/>
      <c r="K209" s="484"/>
      <c r="L209" s="484"/>
      <c r="M209" s="484"/>
      <c r="N209" s="484"/>
      <c r="O209" s="1"/>
      <c r="P209" s="14"/>
      <c r="T209" s="53"/>
      <c r="U209" s="6"/>
    </row>
    <row r="210" spans="2:21" ht="12.75">
      <c r="B210" s="13"/>
      <c r="C210" s="1"/>
      <c r="D210" s="453" t="s">
        <v>49</v>
      </c>
      <c r="E210" s="136"/>
      <c r="F210" s="249"/>
      <c r="G210" s="1"/>
      <c r="H210" s="27"/>
      <c r="I210" s="1"/>
      <c r="J210" s="354">
        <v>0</v>
      </c>
      <c r="K210" s="355">
        <f aca="true" t="shared" si="14" ref="K210:K227">+J210</f>
        <v>0</v>
      </c>
      <c r="L210" s="355">
        <f aca="true" t="shared" si="15" ref="L210:N237">+K210</f>
        <v>0</v>
      </c>
      <c r="M210" s="355">
        <f t="shared" si="15"/>
        <v>0</v>
      </c>
      <c r="N210" s="355">
        <f t="shared" si="15"/>
        <v>0</v>
      </c>
      <c r="O210" s="1"/>
      <c r="P210" s="14"/>
      <c r="T210" s="53"/>
      <c r="U210" s="6"/>
    </row>
    <row r="211" spans="2:21" ht="12.75">
      <c r="B211" s="13"/>
      <c r="C211" s="1"/>
      <c r="D211" s="453" t="s">
        <v>50</v>
      </c>
      <c r="E211" s="136"/>
      <c r="F211" s="249"/>
      <c r="G211" s="1"/>
      <c r="H211" s="27"/>
      <c r="I211" s="1"/>
      <c r="J211" s="354">
        <v>0</v>
      </c>
      <c r="K211" s="355">
        <f t="shared" si="14"/>
        <v>0</v>
      </c>
      <c r="L211" s="355">
        <f t="shared" si="15"/>
        <v>0</v>
      </c>
      <c r="M211" s="355">
        <f t="shared" si="15"/>
        <v>0</v>
      </c>
      <c r="N211" s="355">
        <f t="shared" si="15"/>
        <v>0</v>
      </c>
      <c r="O211" s="1"/>
      <c r="P211" s="14"/>
      <c r="T211" s="53"/>
      <c r="U211" s="6"/>
    </row>
    <row r="212" spans="2:21" ht="12.75">
      <c r="B212" s="13"/>
      <c r="C212" s="1"/>
      <c r="D212" s="453" t="s">
        <v>51</v>
      </c>
      <c r="E212" s="136"/>
      <c r="F212" s="249"/>
      <c r="G212" s="1"/>
      <c r="H212" s="27"/>
      <c r="I212" s="1"/>
      <c r="J212" s="354">
        <v>0</v>
      </c>
      <c r="K212" s="355">
        <f t="shared" si="14"/>
        <v>0</v>
      </c>
      <c r="L212" s="355">
        <f t="shared" si="15"/>
        <v>0</v>
      </c>
      <c r="M212" s="355">
        <f t="shared" si="15"/>
        <v>0</v>
      </c>
      <c r="N212" s="355">
        <f t="shared" si="15"/>
        <v>0</v>
      </c>
      <c r="O212" s="1"/>
      <c r="P212" s="14"/>
      <c r="T212" s="53"/>
      <c r="U212" s="6"/>
    </row>
    <row r="213" spans="2:21" ht="12.75">
      <c r="B213" s="13"/>
      <c r="C213" s="1"/>
      <c r="D213" s="453" t="s">
        <v>52</v>
      </c>
      <c r="E213" s="136"/>
      <c r="F213" s="249"/>
      <c r="G213" s="1"/>
      <c r="H213" s="27"/>
      <c r="I213" s="1"/>
      <c r="J213" s="354">
        <v>0</v>
      </c>
      <c r="K213" s="355">
        <f t="shared" si="14"/>
        <v>0</v>
      </c>
      <c r="L213" s="355">
        <f t="shared" si="15"/>
        <v>0</v>
      </c>
      <c r="M213" s="355">
        <f t="shared" si="15"/>
        <v>0</v>
      </c>
      <c r="N213" s="355">
        <f t="shared" si="15"/>
        <v>0</v>
      </c>
      <c r="O213" s="1"/>
      <c r="P213" s="14"/>
      <c r="T213" s="53"/>
      <c r="U213" s="6"/>
    </row>
    <row r="214" spans="2:21" ht="12.75">
      <c r="B214" s="13"/>
      <c r="C214" s="1"/>
      <c r="D214" s="453" t="s">
        <v>53</v>
      </c>
      <c r="E214" s="136"/>
      <c r="F214" s="249"/>
      <c r="G214" s="1"/>
      <c r="H214" s="27"/>
      <c r="I214" s="1"/>
      <c r="J214" s="354">
        <v>0</v>
      </c>
      <c r="K214" s="355">
        <f t="shared" si="14"/>
        <v>0</v>
      </c>
      <c r="L214" s="355">
        <f t="shared" si="15"/>
        <v>0</v>
      </c>
      <c r="M214" s="355">
        <f t="shared" si="15"/>
        <v>0</v>
      </c>
      <c r="N214" s="355">
        <f t="shared" si="15"/>
        <v>0</v>
      </c>
      <c r="O214" s="1"/>
      <c r="P214" s="14"/>
      <c r="T214" s="53"/>
      <c r="U214" s="6"/>
    </row>
    <row r="215" spans="2:21" ht="12.75">
      <c r="B215" s="13"/>
      <c r="C215" s="1"/>
      <c r="D215" s="453" t="s">
        <v>54</v>
      </c>
      <c r="E215" s="136"/>
      <c r="F215" s="249"/>
      <c r="G215" s="1"/>
      <c r="H215" s="27"/>
      <c r="I215" s="1"/>
      <c r="J215" s="354">
        <v>0</v>
      </c>
      <c r="K215" s="355">
        <f t="shared" si="14"/>
        <v>0</v>
      </c>
      <c r="L215" s="355">
        <f t="shared" si="15"/>
        <v>0</v>
      </c>
      <c r="M215" s="355">
        <f t="shared" si="15"/>
        <v>0</v>
      </c>
      <c r="N215" s="355">
        <f t="shared" si="15"/>
        <v>0</v>
      </c>
      <c r="O215" s="1"/>
      <c r="P215" s="14"/>
      <c r="T215" s="53"/>
      <c r="U215" s="6"/>
    </row>
    <row r="216" spans="2:21" ht="12.75">
      <c r="B216" s="13"/>
      <c r="C216" s="1"/>
      <c r="D216" s="453" t="s">
        <v>55</v>
      </c>
      <c r="E216" s="136"/>
      <c r="F216" s="249"/>
      <c r="G216" s="1"/>
      <c r="H216" s="27"/>
      <c r="I216" s="1"/>
      <c r="J216" s="354">
        <v>0</v>
      </c>
      <c r="K216" s="355">
        <f t="shared" si="14"/>
        <v>0</v>
      </c>
      <c r="L216" s="355">
        <f t="shared" si="15"/>
        <v>0</v>
      </c>
      <c r="M216" s="355">
        <f t="shared" si="15"/>
        <v>0</v>
      </c>
      <c r="N216" s="355">
        <f t="shared" si="15"/>
        <v>0</v>
      </c>
      <c r="O216" s="1"/>
      <c r="P216" s="14"/>
      <c r="T216" s="53"/>
      <c r="U216" s="6"/>
    </row>
    <row r="217" spans="2:21" ht="12.75">
      <c r="B217" s="13"/>
      <c r="C217" s="1"/>
      <c r="D217" s="453" t="s">
        <v>56</v>
      </c>
      <c r="E217" s="136"/>
      <c r="F217" s="249"/>
      <c r="G217" s="1"/>
      <c r="H217" s="27"/>
      <c r="I217" s="1"/>
      <c r="J217" s="354">
        <v>0</v>
      </c>
      <c r="K217" s="355">
        <f t="shared" si="14"/>
        <v>0</v>
      </c>
      <c r="L217" s="355">
        <f t="shared" si="15"/>
        <v>0</v>
      </c>
      <c r="M217" s="355">
        <f t="shared" si="15"/>
        <v>0</v>
      </c>
      <c r="N217" s="355">
        <f t="shared" si="15"/>
        <v>0</v>
      </c>
      <c r="O217" s="1"/>
      <c r="P217" s="14"/>
      <c r="T217" s="53"/>
      <c r="U217" s="6"/>
    </row>
    <row r="218" spans="2:21" ht="12.75">
      <c r="B218" s="13"/>
      <c r="C218" s="1"/>
      <c r="D218" s="453" t="s">
        <v>57</v>
      </c>
      <c r="E218" s="136"/>
      <c r="F218" s="249"/>
      <c r="G218" s="1"/>
      <c r="H218" s="27"/>
      <c r="I218" s="1"/>
      <c r="J218" s="354">
        <v>0</v>
      </c>
      <c r="K218" s="355">
        <f t="shared" si="14"/>
        <v>0</v>
      </c>
      <c r="L218" s="355">
        <f aca="true" t="shared" si="16" ref="L218:N225">+K218</f>
        <v>0</v>
      </c>
      <c r="M218" s="355">
        <f t="shared" si="16"/>
        <v>0</v>
      </c>
      <c r="N218" s="355">
        <f t="shared" si="16"/>
        <v>0</v>
      </c>
      <c r="O218" s="1"/>
      <c r="P218" s="14"/>
      <c r="T218" s="53"/>
      <c r="U218" s="6"/>
    </row>
    <row r="219" spans="2:21" ht="12.75">
      <c r="B219" s="13"/>
      <c r="C219" s="1"/>
      <c r="D219" s="453" t="s">
        <v>58</v>
      </c>
      <c r="E219" s="136"/>
      <c r="F219" s="249"/>
      <c r="G219" s="1"/>
      <c r="H219" s="27"/>
      <c r="I219" s="1"/>
      <c r="J219" s="354">
        <v>0</v>
      </c>
      <c r="K219" s="355">
        <f t="shared" si="14"/>
        <v>0</v>
      </c>
      <c r="L219" s="355">
        <f t="shared" si="16"/>
        <v>0</v>
      </c>
      <c r="M219" s="355">
        <f t="shared" si="16"/>
        <v>0</v>
      </c>
      <c r="N219" s="355">
        <f t="shared" si="16"/>
        <v>0</v>
      </c>
      <c r="O219" s="1"/>
      <c r="P219" s="14"/>
      <c r="T219" s="53"/>
      <c r="U219" s="6"/>
    </row>
    <row r="220" spans="2:21" ht="12.75">
      <c r="B220" s="13"/>
      <c r="C220" s="1"/>
      <c r="D220" s="453" t="s">
        <v>448</v>
      </c>
      <c r="E220" s="136"/>
      <c r="F220" s="249"/>
      <c r="G220" s="1"/>
      <c r="H220" s="27"/>
      <c r="I220" s="1"/>
      <c r="J220" s="354">
        <v>0</v>
      </c>
      <c r="K220" s="355">
        <f t="shared" si="14"/>
        <v>0</v>
      </c>
      <c r="L220" s="355">
        <f t="shared" si="16"/>
        <v>0</v>
      </c>
      <c r="M220" s="355">
        <f t="shared" si="16"/>
        <v>0</v>
      </c>
      <c r="N220" s="355">
        <f t="shared" si="16"/>
        <v>0</v>
      </c>
      <c r="O220" s="1"/>
      <c r="P220" s="14"/>
      <c r="T220" s="53"/>
      <c r="U220" s="6"/>
    </row>
    <row r="221" spans="2:21" ht="12.75">
      <c r="B221" s="13"/>
      <c r="C221" s="1"/>
      <c r="D221" s="453" t="s">
        <v>59</v>
      </c>
      <c r="E221" s="136"/>
      <c r="F221" s="249"/>
      <c r="G221" s="1"/>
      <c r="H221" s="27"/>
      <c r="I221" s="1"/>
      <c r="J221" s="354">
        <v>0</v>
      </c>
      <c r="K221" s="355">
        <f t="shared" si="14"/>
        <v>0</v>
      </c>
      <c r="L221" s="355">
        <f t="shared" si="16"/>
        <v>0</v>
      </c>
      <c r="M221" s="355">
        <f t="shared" si="16"/>
        <v>0</v>
      </c>
      <c r="N221" s="355">
        <f t="shared" si="16"/>
        <v>0</v>
      </c>
      <c r="O221" s="1"/>
      <c r="P221" s="14"/>
      <c r="T221" s="53"/>
      <c r="U221" s="6"/>
    </row>
    <row r="222" spans="2:21" ht="12.75">
      <c r="B222" s="13"/>
      <c r="C222" s="1"/>
      <c r="D222" s="453" t="s">
        <v>60</v>
      </c>
      <c r="E222" s="136"/>
      <c r="F222" s="249"/>
      <c r="G222" s="1"/>
      <c r="H222" s="27"/>
      <c r="I222" s="1"/>
      <c r="J222" s="354">
        <v>0</v>
      </c>
      <c r="K222" s="355">
        <f t="shared" si="14"/>
        <v>0</v>
      </c>
      <c r="L222" s="355">
        <f t="shared" si="16"/>
        <v>0</v>
      </c>
      <c r="M222" s="355">
        <f t="shared" si="16"/>
        <v>0</v>
      </c>
      <c r="N222" s="355">
        <f t="shared" si="16"/>
        <v>0</v>
      </c>
      <c r="O222" s="1"/>
      <c r="P222" s="14"/>
      <c r="T222" s="53"/>
      <c r="U222" s="6"/>
    </row>
    <row r="223" spans="2:21" ht="12.75">
      <c r="B223" s="13"/>
      <c r="C223" s="1"/>
      <c r="D223" s="453" t="s">
        <v>61</v>
      </c>
      <c r="E223" s="136"/>
      <c r="F223" s="249"/>
      <c r="G223" s="1"/>
      <c r="H223" s="27"/>
      <c r="I223" s="1"/>
      <c r="J223" s="354">
        <v>0</v>
      </c>
      <c r="K223" s="355">
        <f t="shared" si="14"/>
        <v>0</v>
      </c>
      <c r="L223" s="355">
        <f t="shared" si="16"/>
        <v>0</v>
      </c>
      <c r="M223" s="355">
        <f t="shared" si="16"/>
        <v>0</v>
      </c>
      <c r="N223" s="355">
        <f t="shared" si="16"/>
        <v>0</v>
      </c>
      <c r="O223" s="1"/>
      <c r="P223" s="14"/>
      <c r="T223" s="53"/>
      <c r="U223" s="6"/>
    </row>
    <row r="224" spans="2:21" ht="12.75">
      <c r="B224" s="13"/>
      <c r="C224" s="1"/>
      <c r="D224" s="453" t="s">
        <v>62</v>
      </c>
      <c r="E224" s="136"/>
      <c r="F224" s="249"/>
      <c r="G224" s="1"/>
      <c r="H224" s="27"/>
      <c r="I224" s="1"/>
      <c r="J224" s="354">
        <v>0</v>
      </c>
      <c r="K224" s="355">
        <f t="shared" si="14"/>
        <v>0</v>
      </c>
      <c r="L224" s="355">
        <f t="shared" si="16"/>
        <v>0</v>
      </c>
      <c r="M224" s="355">
        <f t="shared" si="16"/>
        <v>0</v>
      </c>
      <c r="N224" s="355">
        <f t="shared" si="16"/>
        <v>0</v>
      </c>
      <c r="O224" s="1"/>
      <c r="P224" s="14"/>
      <c r="T224" s="53"/>
      <c r="U224" s="6"/>
    </row>
    <row r="225" spans="2:21" ht="12.75">
      <c r="B225" s="13"/>
      <c r="C225" s="1"/>
      <c r="D225" s="453" t="s">
        <v>63</v>
      </c>
      <c r="E225" s="136"/>
      <c r="F225" s="249"/>
      <c r="G225" s="1"/>
      <c r="H225" s="27"/>
      <c r="I225" s="1"/>
      <c r="J225" s="354">
        <v>0</v>
      </c>
      <c r="K225" s="355">
        <f t="shared" si="14"/>
        <v>0</v>
      </c>
      <c r="L225" s="355">
        <f t="shared" si="16"/>
        <v>0</v>
      </c>
      <c r="M225" s="355">
        <f t="shared" si="16"/>
        <v>0</v>
      </c>
      <c r="N225" s="355">
        <f t="shared" si="16"/>
        <v>0</v>
      </c>
      <c r="O225" s="1"/>
      <c r="P225" s="14"/>
      <c r="T225" s="53"/>
      <c r="U225" s="6"/>
    </row>
    <row r="226" spans="2:21" ht="12.75">
      <c r="B226" s="13"/>
      <c r="C226" s="1"/>
      <c r="D226" s="453" t="s">
        <v>64</v>
      </c>
      <c r="E226" s="136"/>
      <c r="F226" s="249"/>
      <c r="G226" s="1"/>
      <c r="H226" s="27"/>
      <c r="I226" s="1"/>
      <c r="J226" s="354">
        <v>0</v>
      </c>
      <c r="K226" s="355">
        <f t="shared" si="14"/>
        <v>0</v>
      </c>
      <c r="L226" s="355">
        <f t="shared" si="15"/>
        <v>0</v>
      </c>
      <c r="M226" s="355">
        <f t="shared" si="15"/>
        <v>0</v>
      </c>
      <c r="N226" s="355">
        <f t="shared" si="15"/>
        <v>0</v>
      </c>
      <c r="O226" s="1"/>
      <c r="P226" s="14"/>
      <c r="T226" s="53"/>
      <c r="U226" s="6"/>
    </row>
    <row r="227" spans="2:21" ht="12.75">
      <c r="B227" s="13"/>
      <c r="C227" s="1"/>
      <c r="D227" s="453" t="s">
        <v>65</v>
      </c>
      <c r="E227" s="136"/>
      <c r="F227" s="249"/>
      <c r="G227" s="1"/>
      <c r="H227" s="27"/>
      <c r="I227" s="1"/>
      <c r="J227" s="354">
        <v>0</v>
      </c>
      <c r="K227" s="355">
        <f t="shared" si="14"/>
        <v>0</v>
      </c>
      <c r="L227" s="355">
        <f t="shared" si="15"/>
        <v>0</v>
      </c>
      <c r="M227" s="355">
        <f t="shared" si="15"/>
        <v>0</v>
      </c>
      <c r="N227" s="355">
        <f t="shared" si="15"/>
        <v>0</v>
      </c>
      <c r="O227" s="1"/>
      <c r="P227" s="14"/>
      <c r="T227" s="53"/>
      <c r="U227" s="6"/>
    </row>
    <row r="228" spans="2:21" ht="12.75">
      <c r="B228" s="13"/>
      <c r="C228" s="1"/>
      <c r="D228" s="481"/>
      <c r="E228" s="444"/>
      <c r="F228" s="483"/>
      <c r="G228" s="1"/>
      <c r="H228" s="445"/>
      <c r="I228" s="1"/>
      <c r="J228" s="484"/>
      <c r="K228" s="484"/>
      <c r="L228" s="484"/>
      <c r="M228" s="484"/>
      <c r="N228" s="484"/>
      <c r="O228" s="1"/>
      <c r="P228" s="14"/>
      <c r="T228" s="53"/>
      <c r="U228" s="6"/>
    </row>
    <row r="229" spans="2:21" ht="12.75">
      <c r="B229" s="13"/>
      <c r="C229" s="1"/>
      <c r="D229" s="482" t="s">
        <v>449</v>
      </c>
      <c r="E229" s="444"/>
      <c r="F229" s="483"/>
      <c r="G229" s="1"/>
      <c r="H229" s="445"/>
      <c r="I229" s="1"/>
      <c r="J229" s="484"/>
      <c r="K229" s="484"/>
      <c r="L229" s="484"/>
      <c r="M229" s="484"/>
      <c r="N229" s="484"/>
      <c r="O229" s="1"/>
      <c r="P229" s="14"/>
      <c r="T229" s="53"/>
      <c r="U229" s="6"/>
    </row>
    <row r="230" spans="2:21" ht="12.75">
      <c r="B230" s="13"/>
      <c r="C230" s="1"/>
      <c r="D230" s="453" t="s">
        <v>66</v>
      </c>
      <c r="E230" s="136"/>
      <c r="F230" s="249"/>
      <c r="G230" s="1"/>
      <c r="H230" s="27"/>
      <c r="I230" s="1"/>
      <c r="J230" s="354">
        <v>0</v>
      </c>
      <c r="K230" s="355">
        <f aca="true" t="shared" si="17" ref="K230:K237">+J230</f>
        <v>0</v>
      </c>
      <c r="L230" s="355">
        <f t="shared" si="15"/>
        <v>0</v>
      </c>
      <c r="M230" s="355">
        <f t="shared" si="15"/>
        <v>0</v>
      </c>
      <c r="N230" s="355">
        <f t="shared" si="15"/>
        <v>0</v>
      </c>
      <c r="O230" s="1"/>
      <c r="P230" s="14"/>
      <c r="T230" s="53"/>
      <c r="U230" s="6"/>
    </row>
    <row r="231" spans="2:21" ht="12.75">
      <c r="B231" s="13"/>
      <c r="C231" s="1"/>
      <c r="D231" s="453" t="s">
        <v>67</v>
      </c>
      <c r="E231" s="136"/>
      <c r="F231" s="249"/>
      <c r="G231" s="1"/>
      <c r="H231" s="27"/>
      <c r="I231" s="1"/>
      <c r="J231" s="354">
        <v>0</v>
      </c>
      <c r="K231" s="355">
        <f t="shared" si="17"/>
        <v>0</v>
      </c>
      <c r="L231" s="355">
        <f t="shared" si="15"/>
        <v>0</v>
      </c>
      <c r="M231" s="355">
        <f t="shared" si="15"/>
        <v>0</v>
      </c>
      <c r="N231" s="355">
        <f t="shared" si="15"/>
        <v>0</v>
      </c>
      <c r="O231" s="1"/>
      <c r="P231" s="14"/>
      <c r="T231" s="53"/>
      <c r="U231" s="6"/>
    </row>
    <row r="232" spans="2:21" ht="12.75">
      <c r="B232" s="13"/>
      <c r="C232" s="1"/>
      <c r="D232" s="453" t="s">
        <v>68</v>
      </c>
      <c r="E232" s="136"/>
      <c r="F232" s="249"/>
      <c r="G232" s="1"/>
      <c r="H232" s="27"/>
      <c r="I232" s="1"/>
      <c r="J232" s="354">
        <v>0</v>
      </c>
      <c r="K232" s="355">
        <f t="shared" si="17"/>
        <v>0</v>
      </c>
      <c r="L232" s="355">
        <f t="shared" si="15"/>
        <v>0</v>
      </c>
      <c r="M232" s="355">
        <f t="shared" si="15"/>
        <v>0</v>
      </c>
      <c r="N232" s="355">
        <f t="shared" si="15"/>
        <v>0</v>
      </c>
      <c r="O232" s="1"/>
      <c r="P232" s="14"/>
      <c r="T232" s="53"/>
      <c r="U232" s="6"/>
    </row>
    <row r="233" spans="2:21" ht="12.75">
      <c r="B233" s="13"/>
      <c r="C233" s="1"/>
      <c r="D233" s="453" t="s">
        <v>69</v>
      </c>
      <c r="E233" s="136"/>
      <c r="F233" s="249"/>
      <c r="G233" s="1"/>
      <c r="H233" s="27"/>
      <c r="I233" s="1"/>
      <c r="J233" s="354">
        <v>0</v>
      </c>
      <c r="K233" s="355">
        <f t="shared" si="17"/>
        <v>0</v>
      </c>
      <c r="L233" s="355">
        <f t="shared" si="15"/>
        <v>0</v>
      </c>
      <c r="M233" s="355">
        <f t="shared" si="15"/>
        <v>0</v>
      </c>
      <c r="N233" s="355">
        <f t="shared" si="15"/>
        <v>0</v>
      </c>
      <c r="O233" s="1"/>
      <c r="P233" s="14"/>
      <c r="T233" s="53"/>
      <c r="U233" s="6"/>
    </row>
    <row r="234" spans="2:21" ht="12.75">
      <c r="B234" s="13"/>
      <c r="C234" s="1"/>
      <c r="D234" s="453" t="s">
        <v>70</v>
      </c>
      <c r="E234" s="136"/>
      <c r="F234" s="249"/>
      <c r="G234" s="1"/>
      <c r="H234" s="27"/>
      <c r="I234" s="1"/>
      <c r="J234" s="354">
        <v>0</v>
      </c>
      <c r="K234" s="355">
        <f t="shared" si="17"/>
        <v>0</v>
      </c>
      <c r="L234" s="355">
        <f t="shared" si="15"/>
        <v>0</v>
      </c>
      <c r="M234" s="355">
        <f t="shared" si="15"/>
        <v>0</v>
      </c>
      <c r="N234" s="355">
        <f t="shared" si="15"/>
        <v>0</v>
      </c>
      <c r="O234" s="1"/>
      <c r="P234" s="14"/>
      <c r="T234" s="53"/>
      <c r="U234" s="6"/>
    </row>
    <row r="235" spans="2:21" ht="12.75">
      <c r="B235" s="13"/>
      <c r="C235" s="1"/>
      <c r="D235" s="453" t="s">
        <v>71</v>
      </c>
      <c r="E235" s="136"/>
      <c r="F235" s="249"/>
      <c r="G235" s="1"/>
      <c r="H235" s="27"/>
      <c r="I235" s="1"/>
      <c r="J235" s="354">
        <v>0</v>
      </c>
      <c r="K235" s="355">
        <f t="shared" si="17"/>
        <v>0</v>
      </c>
      <c r="L235" s="355">
        <f t="shared" si="15"/>
        <v>0</v>
      </c>
      <c r="M235" s="355">
        <f t="shared" si="15"/>
        <v>0</v>
      </c>
      <c r="N235" s="355">
        <f t="shared" si="15"/>
        <v>0</v>
      </c>
      <c r="O235" s="1"/>
      <c r="P235" s="14"/>
      <c r="T235" s="53"/>
      <c r="U235" s="6"/>
    </row>
    <row r="236" spans="2:21" ht="12.75">
      <c r="B236" s="13"/>
      <c r="C236" s="1"/>
      <c r="D236" s="453" t="s">
        <v>72</v>
      </c>
      <c r="E236" s="136"/>
      <c r="F236" s="249"/>
      <c r="G236" s="1"/>
      <c r="H236" s="27"/>
      <c r="I236" s="1"/>
      <c r="J236" s="354">
        <v>0</v>
      </c>
      <c r="K236" s="355">
        <f t="shared" si="17"/>
        <v>0</v>
      </c>
      <c r="L236" s="355">
        <f t="shared" si="15"/>
        <v>0</v>
      </c>
      <c r="M236" s="355">
        <f t="shared" si="15"/>
        <v>0</v>
      </c>
      <c r="N236" s="355">
        <f t="shared" si="15"/>
        <v>0</v>
      </c>
      <c r="O236" s="1"/>
      <c r="P236" s="14"/>
      <c r="T236" s="53"/>
      <c r="U236" s="6"/>
    </row>
    <row r="237" spans="2:21" ht="12.75">
      <c r="B237" s="13"/>
      <c r="C237" s="1"/>
      <c r="D237" s="453" t="s">
        <v>73</v>
      </c>
      <c r="E237" s="136"/>
      <c r="F237" s="249"/>
      <c r="G237" s="1"/>
      <c r="H237" s="27"/>
      <c r="I237" s="1"/>
      <c r="J237" s="354">
        <v>0</v>
      </c>
      <c r="K237" s="355">
        <f t="shared" si="17"/>
        <v>0</v>
      </c>
      <c r="L237" s="355">
        <f t="shared" si="15"/>
        <v>0</v>
      </c>
      <c r="M237" s="355">
        <f t="shared" si="15"/>
        <v>0</v>
      </c>
      <c r="N237" s="355">
        <f t="shared" si="15"/>
        <v>0</v>
      </c>
      <c r="O237" s="1"/>
      <c r="P237" s="14"/>
      <c r="T237" s="53"/>
      <c r="U237" s="6"/>
    </row>
    <row r="238" spans="2:21" ht="12.75">
      <c r="B238" s="13"/>
      <c r="C238" s="1"/>
      <c r="D238" s="453" t="s">
        <v>74</v>
      </c>
      <c r="E238" s="136"/>
      <c r="F238" s="249"/>
      <c r="G238" s="1"/>
      <c r="H238" s="27"/>
      <c r="I238" s="1"/>
      <c r="J238" s="354">
        <v>0</v>
      </c>
      <c r="K238" s="318">
        <f aca="true" t="shared" si="18" ref="K238:K250">J238</f>
        <v>0</v>
      </c>
      <c r="L238" s="318">
        <f aca="true" t="shared" si="19" ref="L238:M250">K238</f>
        <v>0</v>
      </c>
      <c r="M238" s="318">
        <f t="shared" si="19"/>
        <v>0</v>
      </c>
      <c r="N238" s="318">
        <f aca="true" t="shared" si="20" ref="N238:N250">M238</f>
        <v>0</v>
      </c>
      <c r="O238" s="1"/>
      <c r="P238" s="14"/>
      <c r="T238" s="53"/>
      <c r="U238" s="6"/>
    </row>
    <row r="239" spans="2:21" ht="12.75">
      <c r="B239" s="13"/>
      <c r="C239" s="1"/>
      <c r="D239" s="453" t="s">
        <v>75</v>
      </c>
      <c r="E239" s="136"/>
      <c r="F239" s="249"/>
      <c r="G239" s="1"/>
      <c r="H239" s="27"/>
      <c r="I239" s="1"/>
      <c r="J239" s="354">
        <v>0</v>
      </c>
      <c r="K239" s="318">
        <f t="shared" si="18"/>
        <v>0</v>
      </c>
      <c r="L239" s="318">
        <f t="shared" si="19"/>
        <v>0</v>
      </c>
      <c r="M239" s="318">
        <f t="shared" si="19"/>
        <v>0</v>
      </c>
      <c r="N239" s="318">
        <f t="shared" si="20"/>
        <v>0</v>
      </c>
      <c r="O239" s="1"/>
      <c r="P239" s="14"/>
      <c r="T239" s="53"/>
      <c r="U239" s="6"/>
    </row>
    <row r="240" spans="2:21" ht="12.75">
      <c r="B240" s="13"/>
      <c r="C240" s="1"/>
      <c r="D240" s="453" t="s">
        <v>76</v>
      </c>
      <c r="E240" s="136"/>
      <c r="F240" s="249"/>
      <c r="G240" s="1"/>
      <c r="H240" s="27"/>
      <c r="I240" s="1"/>
      <c r="J240" s="354">
        <v>0</v>
      </c>
      <c r="K240" s="318">
        <f t="shared" si="18"/>
        <v>0</v>
      </c>
      <c r="L240" s="318">
        <f aca="true" t="shared" si="21" ref="L240:M243">K240</f>
        <v>0</v>
      </c>
      <c r="M240" s="318">
        <f t="shared" si="21"/>
        <v>0</v>
      </c>
      <c r="N240" s="318">
        <f t="shared" si="20"/>
        <v>0</v>
      </c>
      <c r="O240" s="1"/>
      <c r="P240" s="14"/>
      <c r="T240" s="53"/>
      <c r="U240" s="6"/>
    </row>
    <row r="241" spans="2:21" ht="12.75">
      <c r="B241" s="13"/>
      <c r="C241" s="1"/>
      <c r="D241" s="454" t="s">
        <v>77</v>
      </c>
      <c r="E241" s="136"/>
      <c r="F241" s="249"/>
      <c r="G241" s="1"/>
      <c r="H241" s="27"/>
      <c r="I241" s="1"/>
      <c r="J241" s="354">
        <v>0</v>
      </c>
      <c r="K241" s="318">
        <f t="shared" si="18"/>
        <v>0</v>
      </c>
      <c r="L241" s="318">
        <f t="shared" si="21"/>
        <v>0</v>
      </c>
      <c r="M241" s="318">
        <f t="shared" si="21"/>
        <v>0</v>
      </c>
      <c r="N241" s="318">
        <f t="shared" si="20"/>
        <v>0</v>
      </c>
      <c r="O241" s="1"/>
      <c r="P241" s="14"/>
      <c r="T241" s="53"/>
      <c r="U241" s="6"/>
    </row>
    <row r="242" spans="2:21" ht="12.75">
      <c r="B242" s="13"/>
      <c r="C242" s="1"/>
      <c r="D242" s="454" t="s">
        <v>78</v>
      </c>
      <c r="E242" s="136"/>
      <c r="F242" s="249"/>
      <c r="G242" s="1"/>
      <c r="H242" s="27"/>
      <c r="I242" s="1"/>
      <c r="J242" s="354">
        <v>0</v>
      </c>
      <c r="K242" s="318">
        <f t="shared" si="18"/>
        <v>0</v>
      </c>
      <c r="L242" s="318">
        <f t="shared" si="21"/>
        <v>0</v>
      </c>
      <c r="M242" s="318">
        <f t="shared" si="21"/>
        <v>0</v>
      </c>
      <c r="N242" s="318">
        <f t="shared" si="20"/>
        <v>0</v>
      </c>
      <c r="O242" s="1"/>
      <c r="P242" s="14"/>
      <c r="T242" s="53"/>
      <c r="U242" s="6"/>
    </row>
    <row r="243" spans="2:21" ht="12.75">
      <c r="B243" s="13"/>
      <c r="C243" s="1"/>
      <c r="D243" s="454" t="s">
        <v>79</v>
      </c>
      <c r="E243" s="136"/>
      <c r="F243" s="249"/>
      <c r="G243" s="1"/>
      <c r="H243" s="27"/>
      <c r="I243" s="1"/>
      <c r="J243" s="354">
        <v>0</v>
      </c>
      <c r="K243" s="318">
        <f t="shared" si="18"/>
        <v>0</v>
      </c>
      <c r="L243" s="318">
        <f t="shared" si="21"/>
        <v>0</v>
      </c>
      <c r="M243" s="318">
        <f t="shared" si="21"/>
        <v>0</v>
      </c>
      <c r="N243" s="318">
        <f t="shared" si="20"/>
        <v>0</v>
      </c>
      <c r="O243" s="1"/>
      <c r="P243" s="14"/>
      <c r="T243" s="53"/>
      <c r="U243" s="6"/>
    </row>
    <row r="244" spans="2:21" ht="12.75">
      <c r="B244" s="13"/>
      <c r="C244" s="1"/>
      <c r="D244" s="454" t="s">
        <v>80</v>
      </c>
      <c r="E244" s="136"/>
      <c r="F244" s="249"/>
      <c r="G244" s="1"/>
      <c r="H244" s="27"/>
      <c r="I244" s="1"/>
      <c r="J244" s="354">
        <v>0</v>
      </c>
      <c r="K244" s="318">
        <f t="shared" si="18"/>
        <v>0</v>
      </c>
      <c r="L244" s="318">
        <f t="shared" si="19"/>
        <v>0</v>
      </c>
      <c r="M244" s="318">
        <f t="shared" si="19"/>
        <v>0</v>
      </c>
      <c r="N244" s="318">
        <f t="shared" si="20"/>
        <v>0</v>
      </c>
      <c r="O244" s="1"/>
      <c r="P244" s="14"/>
      <c r="T244" s="53"/>
      <c r="U244" s="6"/>
    </row>
    <row r="245" spans="2:20" ht="12.75">
      <c r="B245" s="13"/>
      <c r="C245" s="1"/>
      <c r="D245" s="454" t="s">
        <v>81</v>
      </c>
      <c r="E245" s="136"/>
      <c r="F245" s="249"/>
      <c r="G245" s="1"/>
      <c r="H245" s="27"/>
      <c r="I245" s="1"/>
      <c r="J245" s="354">
        <v>0</v>
      </c>
      <c r="K245" s="318">
        <f t="shared" si="18"/>
        <v>0</v>
      </c>
      <c r="L245" s="318">
        <f t="shared" si="19"/>
        <v>0</v>
      </c>
      <c r="M245" s="318">
        <f t="shared" si="19"/>
        <v>0</v>
      </c>
      <c r="N245" s="318">
        <f t="shared" si="20"/>
        <v>0</v>
      </c>
      <c r="O245" s="1"/>
      <c r="P245" s="14"/>
      <c r="T245" s="53"/>
    </row>
    <row r="246" spans="2:20" ht="12.75">
      <c r="B246" s="13"/>
      <c r="C246" s="1"/>
      <c r="D246" s="454" t="s">
        <v>82</v>
      </c>
      <c r="E246" s="136"/>
      <c r="F246" s="249"/>
      <c r="G246" s="1"/>
      <c r="H246" s="27"/>
      <c r="I246" s="1"/>
      <c r="J246" s="354">
        <v>0</v>
      </c>
      <c r="K246" s="318">
        <f t="shared" si="18"/>
        <v>0</v>
      </c>
      <c r="L246" s="318">
        <f t="shared" si="19"/>
        <v>0</v>
      </c>
      <c r="M246" s="318">
        <f t="shared" si="19"/>
        <v>0</v>
      </c>
      <c r="N246" s="318">
        <f t="shared" si="20"/>
        <v>0</v>
      </c>
      <c r="O246" s="1"/>
      <c r="P246" s="14"/>
      <c r="T246" s="53"/>
    </row>
    <row r="247" spans="2:20" ht="12.75">
      <c r="B247" s="13"/>
      <c r="C247" s="1"/>
      <c r="D247" s="454" t="s">
        <v>83</v>
      </c>
      <c r="E247" s="136"/>
      <c r="F247" s="249"/>
      <c r="G247" s="1"/>
      <c r="H247" s="27"/>
      <c r="I247" s="1"/>
      <c r="J247" s="354">
        <v>0</v>
      </c>
      <c r="K247" s="318">
        <f t="shared" si="18"/>
        <v>0</v>
      </c>
      <c r="L247" s="318">
        <f t="shared" si="19"/>
        <v>0</v>
      </c>
      <c r="M247" s="318">
        <f t="shared" si="19"/>
        <v>0</v>
      </c>
      <c r="N247" s="318">
        <f t="shared" si="20"/>
        <v>0</v>
      </c>
      <c r="O247" s="1"/>
      <c r="P247" s="14"/>
      <c r="T247" s="53"/>
    </row>
    <row r="248" spans="2:20" ht="12.75">
      <c r="B248" s="13"/>
      <c r="C248" s="1"/>
      <c r="D248" s="454" t="s">
        <v>84</v>
      </c>
      <c r="E248" s="136"/>
      <c r="F248" s="249"/>
      <c r="G248" s="1"/>
      <c r="H248" s="27"/>
      <c r="I248" s="1"/>
      <c r="J248" s="354">
        <v>0</v>
      </c>
      <c r="K248" s="318">
        <f t="shared" si="18"/>
        <v>0</v>
      </c>
      <c r="L248" s="318">
        <f t="shared" si="19"/>
        <v>0</v>
      </c>
      <c r="M248" s="318">
        <f t="shared" si="19"/>
        <v>0</v>
      </c>
      <c r="N248" s="318">
        <f t="shared" si="20"/>
        <v>0</v>
      </c>
      <c r="O248" s="1"/>
      <c r="P248" s="14"/>
      <c r="T248" s="53"/>
    </row>
    <row r="249" spans="2:20" ht="12.75">
      <c r="B249" s="13"/>
      <c r="C249" s="1"/>
      <c r="D249" s="454" t="s">
        <v>85</v>
      </c>
      <c r="E249" s="136"/>
      <c r="F249" s="249"/>
      <c r="G249" s="1"/>
      <c r="H249" s="27"/>
      <c r="I249" s="1"/>
      <c r="J249" s="354">
        <v>0</v>
      </c>
      <c r="K249" s="318">
        <f t="shared" si="18"/>
        <v>0</v>
      </c>
      <c r="L249" s="318">
        <f t="shared" si="19"/>
        <v>0</v>
      </c>
      <c r="M249" s="318">
        <f t="shared" si="19"/>
        <v>0</v>
      </c>
      <c r="N249" s="318">
        <f t="shared" si="20"/>
        <v>0</v>
      </c>
      <c r="O249" s="1"/>
      <c r="P249" s="14"/>
      <c r="T249" s="53"/>
    </row>
    <row r="250" spans="2:20" ht="12.75">
      <c r="B250" s="13"/>
      <c r="C250" s="1"/>
      <c r="D250" s="454" t="s">
        <v>86</v>
      </c>
      <c r="E250" s="136"/>
      <c r="F250" s="249"/>
      <c r="G250" s="1"/>
      <c r="H250" s="27"/>
      <c r="I250" s="1"/>
      <c r="J250" s="354">
        <v>0</v>
      </c>
      <c r="K250" s="318">
        <f t="shared" si="18"/>
        <v>0</v>
      </c>
      <c r="L250" s="318">
        <f t="shared" si="19"/>
        <v>0</v>
      </c>
      <c r="M250" s="318">
        <f t="shared" si="19"/>
        <v>0</v>
      </c>
      <c r="N250" s="318">
        <f t="shared" si="20"/>
        <v>0</v>
      </c>
      <c r="O250" s="1"/>
      <c r="P250" s="14"/>
      <c r="T250" s="53"/>
    </row>
    <row r="251" spans="2:16" ht="12.75">
      <c r="B251" s="13"/>
      <c r="C251" s="1"/>
      <c r="D251" s="245"/>
      <c r="E251" s="1"/>
      <c r="F251" s="1"/>
      <c r="G251" s="1"/>
      <c r="H251" s="25"/>
      <c r="I251" s="1"/>
      <c r="J251" s="158"/>
      <c r="K251" s="158"/>
      <c r="L251" s="158"/>
      <c r="M251" s="158"/>
      <c r="N251" s="158"/>
      <c r="O251" s="1"/>
      <c r="P251" s="14"/>
    </row>
    <row r="252" spans="2:16" ht="12.75">
      <c r="B252" s="13"/>
      <c r="C252" s="1"/>
      <c r="D252" s="449" t="s">
        <v>667</v>
      </c>
      <c r="E252" s="1"/>
      <c r="F252" s="1"/>
      <c r="G252" s="1"/>
      <c r="H252" s="25"/>
      <c r="I252" s="1"/>
      <c r="J252" s="177">
        <f>SUM(J210:J250)</f>
        <v>0</v>
      </c>
      <c r="K252" s="177">
        <f>SUM(K210:K250)</f>
        <v>0</v>
      </c>
      <c r="L252" s="177">
        <f>SUM(L210:L250)</f>
        <v>0</v>
      </c>
      <c r="M252" s="177">
        <f>SUM(M210:M250)</f>
        <v>0</v>
      </c>
      <c r="N252" s="177">
        <f>SUM(N210:N250)</f>
        <v>0</v>
      </c>
      <c r="O252" s="1"/>
      <c r="P252" s="14"/>
    </row>
    <row r="253" spans="2:16" ht="12.75">
      <c r="B253" s="13"/>
      <c r="C253" s="1"/>
      <c r="D253" s="245"/>
      <c r="E253" s="1"/>
      <c r="F253" s="1"/>
      <c r="G253" s="1"/>
      <c r="H253" s="25"/>
      <c r="I253" s="1"/>
      <c r="J253" s="1"/>
      <c r="K253" s="181"/>
      <c r="L253" s="181"/>
      <c r="M253" s="181"/>
      <c r="N253" s="181"/>
      <c r="O253" s="1"/>
      <c r="P253" s="14"/>
    </row>
    <row r="254" spans="2:16" ht="12.75">
      <c r="B254" s="13"/>
      <c r="D254" s="378"/>
      <c r="K254" s="180"/>
      <c r="L254" s="180"/>
      <c r="M254" s="180"/>
      <c r="N254" s="180"/>
      <c r="P254" s="14"/>
    </row>
    <row r="255" spans="2:16" ht="12.75">
      <c r="B255" s="13"/>
      <c r="C255" s="1"/>
      <c r="D255" s="245"/>
      <c r="E255" s="1"/>
      <c r="F255" s="1"/>
      <c r="G255" s="1"/>
      <c r="H255" s="1"/>
      <c r="I255" s="1"/>
      <c r="J255" s="1"/>
      <c r="K255" s="181"/>
      <c r="L255" s="181"/>
      <c r="M255" s="181"/>
      <c r="N255" s="181"/>
      <c r="O255" s="1"/>
      <c r="P255" s="14"/>
    </row>
    <row r="256" spans="2:16" ht="12.75">
      <c r="B256" s="13"/>
      <c r="C256" s="1"/>
      <c r="D256" s="2" t="s">
        <v>286</v>
      </c>
      <c r="E256" s="1"/>
      <c r="F256" s="1"/>
      <c r="G256" s="1"/>
      <c r="H256" s="1"/>
      <c r="I256" s="1"/>
      <c r="J256" s="43">
        <f>J203++J252+J180</f>
        <v>21111</v>
      </c>
      <c r="K256" s="43">
        <f>K203++K252+K180</f>
        <v>21111</v>
      </c>
      <c r="L256" s="43">
        <f>L203++L252+L180</f>
        <v>21111</v>
      </c>
      <c r="M256" s="43">
        <f>M203++M252+M180</f>
        <v>21111</v>
      </c>
      <c r="N256" s="43">
        <f>N203++N252+N180</f>
        <v>21111</v>
      </c>
      <c r="O256" s="1"/>
      <c r="P256" s="14"/>
    </row>
    <row r="257" spans="2:16" ht="12.75">
      <c r="B257" s="13"/>
      <c r="C257" s="1"/>
      <c r="D257" s="1"/>
      <c r="E257" s="1"/>
      <c r="F257" s="1"/>
      <c r="G257" s="1"/>
      <c r="H257" s="1"/>
      <c r="I257" s="1"/>
      <c r="J257" s="1"/>
      <c r="K257" s="181"/>
      <c r="L257" s="181"/>
      <c r="M257" s="181"/>
      <c r="N257" s="181"/>
      <c r="O257" s="1"/>
      <c r="P257" s="14"/>
    </row>
    <row r="258" spans="2:16" ht="12.75">
      <c r="B258" s="13"/>
      <c r="K258" s="180"/>
      <c r="L258" s="180"/>
      <c r="M258" s="180"/>
      <c r="N258" s="180"/>
      <c r="P258" s="14"/>
    </row>
    <row r="259" spans="2:16" ht="12.75">
      <c r="B259" s="13"/>
      <c r="C259" s="1"/>
      <c r="D259" s="1"/>
      <c r="E259" s="1"/>
      <c r="F259" s="1"/>
      <c r="G259" s="1"/>
      <c r="H259" s="1"/>
      <c r="I259" s="1"/>
      <c r="J259" s="1"/>
      <c r="K259" s="181"/>
      <c r="L259" s="181"/>
      <c r="M259" s="181"/>
      <c r="N259" s="181"/>
      <c r="O259" s="1"/>
      <c r="P259" s="14"/>
    </row>
    <row r="260" spans="2:16" ht="12.75">
      <c r="B260" s="13"/>
      <c r="C260" s="3"/>
      <c r="D260" s="3" t="s">
        <v>287</v>
      </c>
      <c r="E260" s="1"/>
      <c r="F260" s="1"/>
      <c r="G260" s="1"/>
      <c r="H260" s="1"/>
      <c r="I260" s="1"/>
      <c r="J260" s="43">
        <f>J159-J256</f>
        <v>472528.7569588301</v>
      </c>
      <c r="K260" s="43">
        <f>K159-K256</f>
        <v>471719.24999999994</v>
      </c>
      <c r="L260" s="43">
        <f>L159-L256</f>
        <v>471719.24999999994</v>
      </c>
      <c r="M260" s="43">
        <f>M159-M256</f>
        <v>471719.24999999994</v>
      </c>
      <c r="N260" s="43">
        <f>N159-N256</f>
        <v>471719.24999999994</v>
      </c>
      <c r="O260" s="1"/>
      <c r="P260" s="14"/>
    </row>
    <row r="261" spans="2:16" ht="12.75">
      <c r="B261" s="13"/>
      <c r="C261" s="1"/>
      <c r="D261" s="1"/>
      <c r="E261" s="1"/>
      <c r="F261" s="1"/>
      <c r="G261" s="1"/>
      <c r="H261" s="1"/>
      <c r="I261" s="1"/>
      <c r="J261" s="1"/>
      <c r="K261" s="25"/>
      <c r="L261" s="25"/>
      <c r="M261" s="25"/>
      <c r="N261" s="25"/>
      <c r="O261" s="1"/>
      <c r="P261" s="14"/>
    </row>
    <row r="262" spans="2:16" ht="12.75">
      <c r="B262" s="13"/>
      <c r="P262" s="14"/>
    </row>
    <row r="263" spans="2:16" ht="13.5" thickBot="1">
      <c r="B263" s="48"/>
      <c r="C263" s="49"/>
      <c r="D263" s="49"/>
      <c r="E263" s="49"/>
      <c r="F263" s="49"/>
      <c r="G263" s="49"/>
      <c r="H263" s="49"/>
      <c r="I263" s="49"/>
      <c r="J263" s="49"/>
      <c r="K263" s="50"/>
      <c r="L263" s="50"/>
      <c r="M263" s="50"/>
      <c r="N263" s="50"/>
      <c r="O263" s="49"/>
      <c r="P263" s="51"/>
    </row>
    <row r="264" ht="12.75"/>
    <row r="265" ht="12.75"/>
    <row r="266" ht="13.5" thickBot="1"/>
    <row r="267" spans="2:16" ht="12.75">
      <c r="B267" s="9"/>
      <c r="C267" s="10"/>
      <c r="D267" s="10"/>
      <c r="E267" s="10"/>
      <c r="F267" s="10"/>
      <c r="G267" s="10"/>
      <c r="H267" s="10"/>
      <c r="I267" s="10"/>
      <c r="J267" s="10"/>
      <c r="K267" s="10"/>
      <c r="L267" s="10"/>
      <c r="M267" s="10"/>
      <c r="N267" s="10"/>
      <c r="O267" s="10"/>
      <c r="P267" s="12"/>
    </row>
    <row r="268" spans="2:16" ht="12.75">
      <c r="B268" s="13"/>
      <c r="K268" s="7"/>
      <c r="L268" s="7"/>
      <c r="M268" s="7"/>
      <c r="N268" s="7"/>
      <c r="P268" s="14"/>
    </row>
    <row r="269" spans="2:16" ht="18">
      <c r="B269" s="221"/>
      <c r="C269" s="17" t="s">
        <v>525</v>
      </c>
      <c r="D269" s="17"/>
      <c r="F269" s="17"/>
      <c r="H269" s="17"/>
      <c r="I269" s="17" t="s">
        <v>526</v>
      </c>
      <c r="K269" s="7"/>
      <c r="L269" s="7"/>
      <c r="M269" s="7"/>
      <c r="N269" s="7"/>
      <c r="P269" s="14"/>
    </row>
    <row r="270" spans="2:16" ht="12.75">
      <c r="B270" s="13"/>
      <c r="K270" s="7"/>
      <c r="L270" s="7"/>
      <c r="M270" s="7"/>
      <c r="N270" s="7"/>
      <c r="P270" s="14"/>
    </row>
    <row r="271" spans="2:16" ht="12.75">
      <c r="B271" s="13"/>
      <c r="E271" s="145"/>
      <c r="F271" s="145"/>
      <c r="G271" s="88"/>
      <c r="H271" s="88"/>
      <c r="I271" s="88"/>
      <c r="J271" s="88"/>
      <c r="K271" s="88"/>
      <c r="L271" s="88"/>
      <c r="M271" s="275"/>
      <c r="N271" s="275"/>
      <c r="O271" s="275"/>
      <c r="P271" s="14"/>
    </row>
    <row r="272" spans="2:16" ht="12.75">
      <c r="B272" s="13"/>
      <c r="D272" s="255"/>
      <c r="E272" s="145"/>
      <c r="F272" s="519"/>
      <c r="G272" s="88"/>
      <c r="H272" s="88"/>
      <c r="I272" s="88"/>
      <c r="J272" s="329" t="str">
        <f>+tabel!C2</f>
        <v>2009/10</v>
      </c>
      <c r="K272" s="329" t="str">
        <f>+tabel!D2</f>
        <v>2010/11</v>
      </c>
      <c r="L272" s="329" t="str">
        <f>+tabel!E2</f>
        <v>2011/12</v>
      </c>
      <c r="M272" s="329" t="str">
        <f>+tabel!F2</f>
        <v>2012/13</v>
      </c>
      <c r="N272" s="329" t="str">
        <f>+tabel!G2</f>
        <v>2013/14</v>
      </c>
      <c r="O272" s="88"/>
      <c r="P272" s="520"/>
    </row>
    <row r="273" spans="2:16" ht="12.75">
      <c r="B273" s="13"/>
      <c r="E273" s="145"/>
      <c r="F273" s="145"/>
      <c r="K273" s="7"/>
      <c r="L273" s="7"/>
      <c r="M273" s="275"/>
      <c r="N273" s="275"/>
      <c r="O273" s="275"/>
      <c r="P273" s="14"/>
    </row>
    <row r="274" spans="2:16" ht="12.75">
      <c r="B274" s="13"/>
      <c r="C274" s="1"/>
      <c r="D274" s="1"/>
      <c r="E274" s="1"/>
      <c r="F274" s="25"/>
      <c r="G274" s="1"/>
      <c r="I274" s="1"/>
      <c r="J274" s="517"/>
      <c r="K274" s="517"/>
      <c r="L274" s="517"/>
      <c r="M274" s="517"/>
      <c r="N274" s="1"/>
      <c r="O274" s="1"/>
      <c r="P274" s="14"/>
    </row>
    <row r="275" spans="2:16" ht="12.75">
      <c r="B275" s="13"/>
      <c r="C275" s="1"/>
      <c r="D275" s="3" t="s">
        <v>527</v>
      </c>
      <c r="E275" s="1"/>
      <c r="F275" s="25"/>
      <c r="G275" s="1"/>
      <c r="I275" s="1"/>
      <c r="J275" s="517"/>
      <c r="K275" s="517"/>
      <c r="L275" s="517"/>
      <c r="M275" s="517"/>
      <c r="N275" s="1"/>
      <c r="O275" s="1"/>
      <c r="P275" s="14"/>
    </row>
    <row r="276" spans="2:16" ht="12.75">
      <c r="B276" s="13"/>
      <c r="C276" s="1"/>
      <c r="D276" s="1"/>
      <c r="E276" s="1"/>
      <c r="F276" s="25"/>
      <c r="G276" s="1"/>
      <c r="I276" s="1"/>
      <c r="J276" s="517"/>
      <c r="K276" s="517"/>
      <c r="L276" s="517"/>
      <c r="M276" s="517"/>
      <c r="N276" s="1"/>
      <c r="O276" s="1"/>
      <c r="P276" s="14"/>
    </row>
    <row r="277" spans="2:16" ht="12.75">
      <c r="B277" s="13"/>
      <c r="C277" s="1"/>
      <c r="D277" s="91" t="s">
        <v>611</v>
      </c>
      <c r="E277" s="1"/>
      <c r="F277" s="25"/>
      <c r="G277" s="1"/>
      <c r="I277" s="1"/>
      <c r="J277" s="164">
        <f>5/12*J120+7/12*K120</f>
        <v>493167.5445661792</v>
      </c>
      <c r="K277" s="164">
        <f>5/12*K120+7/12*L120</f>
        <v>492830.25</v>
      </c>
      <c r="L277" s="164">
        <f>0.416666666666667*L120+0.583333333333333*M120</f>
        <v>492830.25</v>
      </c>
      <c r="M277" s="164">
        <f>0.416666666666667*M120+0.583333333333333*N120</f>
        <v>492830.25</v>
      </c>
      <c r="N277" s="164">
        <f>N120</f>
        <v>492830.24999999994</v>
      </c>
      <c r="O277" s="161"/>
      <c r="P277" s="14"/>
    </row>
    <row r="278" spans="2:16" ht="12.75">
      <c r="B278" s="13"/>
      <c r="C278" s="1"/>
      <c r="D278" s="91" t="s">
        <v>249</v>
      </c>
      <c r="E278" s="1"/>
      <c r="F278" s="25"/>
      <c r="G278" s="1"/>
      <c r="I278" s="1"/>
      <c r="J278" s="164">
        <f>5/12*J132+7/12*K132</f>
        <v>0</v>
      </c>
      <c r="K278" s="164">
        <f>5/12*K132+7/12*L132</f>
        <v>0</v>
      </c>
      <c r="L278" s="164">
        <f>0.416666666666667*L132+0.583333333333333*M132</f>
        <v>0</v>
      </c>
      <c r="M278" s="164">
        <f>0.416666666666667*M132+0.583333333333333*N132</f>
        <v>0</v>
      </c>
      <c r="N278" s="164">
        <f>N132</f>
        <v>0</v>
      </c>
      <c r="O278" s="161"/>
      <c r="P278" s="14"/>
    </row>
    <row r="279" spans="2:16" ht="12.75" hidden="1">
      <c r="B279" s="13"/>
      <c r="C279" s="1"/>
      <c r="D279" s="91" t="s">
        <v>177</v>
      </c>
      <c r="E279" s="1"/>
      <c r="F279" s="25"/>
      <c r="G279" s="1"/>
      <c r="I279" s="1"/>
      <c r="J279" s="521"/>
      <c r="K279" s="521"/>
      <c r="L279" s="521"/>
      <c r="M279" s="521"/>
      <c r="N279" s="521"/>
      <c r="O279" s="517"/>
      <c r="P279" s="14"/>
    </row>
    <row r="280" spans="2:16" ht="12.75">
      <c r="B280" s="13"/>
      <c r="C280" s="1"/>
      <c r="D280" s="91" t="s">
        <v>248</v>
      </c>
      <c r="E280" s="1"/>
      <c r="F280" s="25"/>
      <c r="G280" s="1"/>
      <c r="I280" s="1"/>
      <c r="J280" s="164">
        <f>5/12*J138+7/12*K138</f>
        <v>0</v>
      </c>
      <c r="K280" s="164">
        <f>5/12*K138+7/12*L138</f>
        <v>0</v>
      </c>
      <c r="L280" s="164">
        <f>0.416666666666667*L138+0.583333333333333*M138</f>
        <v>0</v>
      </c>
      <c r="M280" s="164">
        <f>0.416666666666667*M138+0.583333333333333*N138</f>
        <v>0</v>
      </c>
      <c r="N280" s="164">
        <f>N138</f>
        <v>0</v>
      </c>
      <c r="O280" s="161"/>
      <c r="P280" s="14"/>
    </row>
    <row r="281" spans="2:16" ht="12.75">
      <c r="B281" s="13"/>
      <c r="C281" s="1"/>
      <c r="D281" s="91" t="s">
        <v>612</v>
      </c>
      <c r="E281" s="1"/>
      <c r="F281" s="25"/>
      <c r="G281" s="1"/>
      <c r="I281" s="1"/>
      <c r="J281" s="164">
        <f>5/12*J148+7/12*K148-J280</f>
        <v>0</v>
      </c>
      <c r="K281" s="164">
        <f>5/12*K148+7/12*L148-K280</f>
        <v>0</v>
      </c>
      <c r="L281" s="164">
        <f>0.416666666666667*L148+0.583333333333333*M148-L280</f>
        <v>0</v>
      </c>
      <c r="M281" s="164">
        <f>0.416666666666667*M148+0.583333333333333*N148-M280</f>
        <v>0</v>
      </c>
      <c r="N281" s="164">
        <f>N148-N280</f>
        <v>0</v>
      </c>
      <c r="O281" s="161"/>
      <c r="P281" s="14"/>
    </row>
    <row r="282" spans="2:16" ht="12.75">
      <c r="B282" s="13"/>
      <c r="C282" s="1"/>
      <c r="D282" s="91"/>
      <c r="E282" s="1"/>
      <c r="F282" s="25"/>
      <c r="G282" s="1"/>
      <c r="I282" s="1"/>
      <c r="J282" s="517"/>
      <c r="K282" s="517"/>
      <c r="L282" s="517"/>
      <c r="M282" s="517"/>
      <c r="N282" s="1"/>
      <c r="O282" s="1"/>
      <c r="P282" s="14"/>
    </row>
    <row r="283" spans="2:16" ht="12.75">
      <c r="B283" s="13"/>
      <c r="C283" s="1"/>
      <c r="D283" s="2" t="s">
        <v>700</v>
      </c>
      <c r="E283" s="1"/>
      <c r="F283" s="25"/>
      <c r="G283" s="1"/>
      <c r="I283" s="1"/>
      <c r="J283" s="164">
        <f>SUM(J277:J281)</f>
        <v>493167.5445661792</v>
      </c>
      <c r="K283" s="164">
        <f>SUM(K277:K281)</f>
        <v>492830.25</v>
      </c>
      <c r="L283" s="164">
        <f>SUM(L277:L281)</f>
        <v>492830.25</v>
      </c>
      <c r="M283" s="164">
        <f>SUM(M277:M281)</f>
        <v>492830.25</v>
      </c>
      <c r="N283" s="164">
        <f>SUM(N277:N281)</f>
        <v>492830.24999999994</v>
      </c>
      <c r="O283" s="161"/>
      <c r="P283" s="14"/>
    </row>
    <row r="284" spans="2:16" ht="12.75">
      <c r="B284" s="13"/>
      <c r="C284" s="1"/>
      <c r="D284" s="151"/>
      <c r="E284" s="1"/>
      <c r="F284" s="25"/>
      <c r="G284" s="1"/>
      <c r="I284" s="1"/>
      <c r="J284" s="517"/>
      <c r="K284" s="517"/>
      <c r="L284" s="517"/>
      <c r="M284" s="517"/>
      <c r="N284" s="1"/>
      <c r="O284" s="1"/>
      <c r="P284" s="14"/>
    </row>
    <row r="285" spans="2:16" ht="12.75">
      <c r="B285" s="13"/>
      <c r="D285" s="128"/>
      <c r="F285" s="8"/>
      <c r="J285" s="124"/>
      <c r="K285" s="124"/>
      <c r="L285" s="124"/>
      <c r="M285" s="124"/>
      <c r="N285" s="7"/>
      <c r="P285" s="14"/>
    </row>
    <row r="286" spans="2:16" ht="12.75">
      <c r="B286" s="13"/>
      <c r="C286" s="1"/>
      <c r="D286" s="151"/>
      <c r="E286" s="1"/>
      <c r="F286" s="25"/>
      <c r="G286" s="1"/>
      <c r="I286" s="1"/>
      <c r="J286" s="517"/>
      <c r="K286" s="517"/>
      <c r="L286" s="517"/>
      <c r="M286" s="517"/>
      <c r="N286" s="1"/>
      <c r="O286" s="1"/>
      <c r="P286" s="14"/>
    </row>
    <row r="287" spans="2:16" ht="12.75">
      <c r="B287" s="278"/>
      <c r="C287" s="2"/>
      <c r="D287" s="3" t="s">
        <v>9</v>
      </c>
      <c r="E287" s="1"/>
      <c r="F287" s="25"/>
      <c r="G287" s="1"/>
      <c r="I287" s="1"/>
      <c r="J287" s="517"/>
      <c r="K287" s="517"/>
      <c r="L287" s="517"/>
      <c r="M287" s="517"/>
      <c r="N287" s="1"/>
      <c r="O287" s="1"/>
      <c r="P287" s="14"/>
    </row>
    <row r="288" spans="2:16" ht="12.75">
      <c r="B288" s="278"/>
      <c r="C288" s="2"/>
      <c r="D288" s="94"/>
      <c r="E288" s="1"/>
      <c r="F288" s="25"/>
      <c r="G288" s="1"/>
      <c r="I288" s="1"/>
      <c r="J288" s="517"/>
      <c r="K288" s="517"/>
      <c r="L288" s="517"/>
      <c r="M288" s="517"/>
      <c r="N288" s="1"/>
      <c r="O288" s="1"/>
      <c r="P288" s="14"/>
    </row>
    <row r="289" spans="2:16" ht="12.75">
      <c r="B289" s="13"/>
      <c r="C289" s="1"/>
      <c r="D289" s="1" t="s">
        <v>616</v>
      </c>
      <c r="E289" s="1"/>
      <c r="F289" s="25"/>
      <c r="G289" s="1"/>
      <c r="I289" s="1"/>
      <c r="J289" s="164">
        <f>0.416666666666667*J180+0.583333333333333*K180</f>
        <v>11111</v>
      </c>
      <c r="K289" s="164">
        <f>0.416666666666667*K180+0.583333333333333*L180</f>
        <v>11111</v>
      </c>
      <c r="L289" s="164">
        <f>0.416666666666667*L180+0.583333333333333*M180</f>
        <v>11111</v>
      </c>
      <c r="M289" s="164">
        <f>0.416666666666667*M180+0.583333333333333*N180</f>
        <v>11111</v>
      </c>
      <c r="N289" s="164">
        <f>N180</f>
        <v>11111</v>
      </c>
      <c r="O289" s="161"/>
      <c r="P289" s="14"/>
    </row>
    <row r="290" spans="2:16" ht="12.75">
      <c r="B290" s="13"/>
      <c r="C290" s="1"/>
      <c r="D290" s="1" t="s">
        <v>617</v>
      </c>
      <c r="E290" s="1"/>
      <c r="F290" s="25"/>
      <c r="G290" s="1"/>
      <c r="I290" s="1"/>
      <c r="J290" s="164">
        <f>0.416666666666667*J203+0.583333333333333*K203</f>
        <v>10000</v>
      </c>
      <c r="K290" s="164">
        <f>0.416666666666667*K203+0.583333333333333*L203</f>
        <v>10000</v>
      </c>
      <c r="L290" s="164">
        <f>0.416666666666667*L203+0.583333333333333*M203</f>
        <v>10000</v>
      </c>
      <c r="M290" s="164">
        <f>0.416666666666667*M203+0.583333333333333*N203</f>
        <v>10000</v>
      </c>
      <c r="N290" s="164">
        <f>N203</f>
        <v>10000</v>
      </c>
      <c r="O290" s="161"/>
      <c r="P290" s="14"/>
    </row>
    <row r="291" spans="2:16" ht="12.75">
      <c r="B291" s="13"/>
      <c r="C291" s="1"/>
      <c r="D291" s="1" t="s">
        <v>528</v>
      </c>
      <c r="E291" s="1"/>
      <c r="F291" s="25"/>
      <c r="G291" s="1"/>
      <c r="I291" s="1"/>
      <c r="J291" s="164">
        <f>0.416666666666667*J252+0.583333333333333*K252</f>
        <v>0</v>
      </c>
      <c r="K291" s="164">
        <f>0.416666666666667*K252+0.583333333333333*L252</f>
        <v>0</v>
      </c>
      <c r="L291" s="164">
        <f>0.416666666666667*L252+0.583333333333333*M252</f>
        <v>0</v>
      </c>
      <c r="M291" s="164">
        <f>0.416666666666667*M252+0.583333333333333*N252</f>
        <v>0</v>
      </c>
      <c r="N291" s="164">
        <f>N252</f>
        <v>0</v>
      </c>
      <c r="O291" s="161"/>
      <c r="P291" s="14"/>
    </row>
    <row r="292" spans="2:16" ht="12.75">
      <c r="B292" s="13"/>
      <c r="C292" s="1"/>
      <c r="D292" s="1"/>
      <c r="E292" s="1"/>
      <c r="F292" s="25"/>
      <c r="G292" s="1"/>
      <c r="I292" s="1"/>
      <c r="J292" s="517"/>
      <c r="K292" s="517"/>
      <c r="L292" s="517"/>
      <c r="M292" s="517"/>
      <c r="N292" s="517"/>
      <c r="O292" s="1"/>
      <c r="P292" s="14"/>
    </row>
    <row r="293" spans="2:16" ht="12.75">
      <c r="B293" s="13"/>
      <c r="C293" s="1"/>
      <c r="D293" s="2" t="s">
        <v>700</v>
      </c>
      <c r="E293" s="1"/>
      <c r="F293" s="25"/>
      <c r="G293" s="1"/>
      <c r="I293" s="1"/>
      <c r="J293" s="164">
        <f>SUM(J289:J291)</f>
        <v>21111</v>
      </c>
      <c r="K293" s="164">
        <f>SUM(K289:K291)</f>
        <v>21111</v>
      </c>
      <c r="L293" s="164">
        <f>SUM(L289:L291)</f>
        <v>21111</v>
      </c>
      <c r="M293" s="164">
        <f>SUM(M289:M291)</f>
        <v>21111</v>
      </c>
      <c r="N293" s="164">
        <f>SUM(N289:N291)</f>
        <v>21111</v>
      </c>
      <c r="O293" s="161"/>
      <c r="P293" s="14"/>
    </row>
    <row r="294" spans="2:16" ht="12.75">
      <c r="B294" s="13"/>
      <c r="C294" s="1"/>
      <c r="D294" s="151"/>
      <c r="E294" s="1"/>
      <c r="F294" s="25"/>
      <c r="G294" s="1"/>
      <c r="I294" s="1"/>
      <c r="J294" s="517"/>
      <c r="K294" s="517"/>
      <c r="L294" s="517"/>
      <c r="M294" s="517"/>
      <c r="N294" s="517"/>
      <c r="O294" s="1"/>
      <c r="P294" s="14"/>
    </row>
    <row r="295" spans="2:16" ht="12.75">
      <c r="B295" s="13"/>
      <c r="D295" s="128"/>
      <c r="F295" s="8"/>
      <c r="J295" s="124"/>
      <c r="K295" s="124"/>
      <c r="L295" s="124"/>
      <c r="M295" s="124"/>
      <c r="N295" s="124"/>
      <c r="P295" s="14"/>
    </row>
    <row r="296" spans="2:16" ht="12.75">
      <c r="B296" s="13"/>
      <c r="C296" s="1"/>
      <c r="D296" s="151"/>
      <c r="E296" s="1"/>
      <c r="F296" s="25"/>
      <c r="G296" s="1"/>
      <c r="I296" s="1"/>
      <c r="J296" s="517"/>
      <c r="K296" s="517"/>
      <c r="L296" s="517"/>
      <c r="M296" s="517"/>
      <c r="N296" s="517"/>
      <c r="O296" s="1"/>
      <c r="P296" s="14"/>
    </row>
    <row r="297" spans="2:16" ht="12.75">
      <c r="B297" s="37"/>
      <c r="C297" s="3"/>
      <c r="D297" s="2" t="s">
        <v>179</v>
      </c>
      <c r="E297" s="1"/>
      <c r="F297" s="25"/>
      <c r="G297" s="1"/>
      <c r="I297" s="1"/>
      <c r="J297" s="164">
        <f>+J283-J293</f>
        <v>472056.5445661792</v>
      </c>
      <c r="K297" s="164">
        <f>+K283-K293</f>
        <v>471719.25</v>
      </c>
      <c r="L297" s="164">
        <f>+L283-L293</f>
        <v>471719.25</v>
      </c>
      <c r="M297" s="164">
        <f>+M283-M293</f>
        <v>471719.25</v>
      </c>
      <c r="N297" s="164">
        <f>+N283-N293</f>
        <v>471719.24999999994</v>
      </c>
      <c r="O297" s="161"/>
      <c r="P297" s="14"/>
    </row>
    <row r="298" spans="2:16" ht="12.75">
      <c r="B298" s="13"/>
      <c r="C298" s="1"/>
      <c r="D298" s="150"/>
      <c r="E298" s="1"/>
      <c r="F298" s="25"/>
      <c r="G298" s="1"/>
      <c r="I298" s="1"/>
      <c r="J298" s="517"/>
      <c r="K298" s="517"/>
      <c r="L298" s="517"/>
      <c r="M298" s="517"/>
      <c r="N298" s="517"/>
      <c r="O298" s="1"/>
      <c r="P298" s="14"/>
    </row>
    <row r="299" spans="2:16" ht="12.75">
      <c r="B299" s="13"/>
      <c r="D299" s="125"/>
      <c r="F299" s="8"/>
      <c r="J299" s="124"/>
      <c r="K299" s="124"/>
      <c r="L299" s="124"/>
      <c r="M299" s="124"/>
      <c r="N299" s="124"/>
      <c r="P299" s="14"/>
    </row>
    <row r="300" spans="2:16" ht="12.75">
      <c r="B300" s="13"/>
      <c r="D300" s="125"/>
      <c r="F300" s="8"/>
      <c r="J300" s="124"/>
      <c r="K300" s="124"/>
      <c r="L300" s="124"/>
      <c r="M300" s="124"/>
      <c r="N300" s="124"/>
      <c r="P300" s="14"/>
    </row>
    <row r="301" spans="2:16" ht="12.75">
      <c r="B301" s="13"/>
      <c r="C301" s="1"/>
      <c r="D301" s="1"/>
      <c r="E301" s="1"/>
      <c r="F301" s="25"/>
      <c r="G301" s="1"/>
      <c r="I301" s="1"/>
      <c r="J301" s="517"/>
      <c r="K301" s="517"/>
      <c r="L301" s="517"/>
      <c r="M301" s="517"/>
      <c r="N301" s="517"/>
      <c r="O301" s="1"/>
      <c r="P301" s="14"/>
    </row>
    <row r="302" spans="2:16" ht="12.75">
      <c r="B302" s="13"/>
      <c r="C302" s="1"/>
      <c r="D302" s="3" t="s">
        <v>331</v>
      </c>
      <c r="E302" s="1"/>
      <c r="F302" s="25"/>
      <c r="G302" s="1"/>
      <c r="I302" s="1"/>
      <c r="J302" s="517"/>
      <c r="K302" s="517"/>
      <c r="L302" s="517"/>
      <c r="M302" s="517"/>
      <c r="N302" s="517"/>
      <c r="O302" s="1"/>
      <c r="P302" s="14"/>
    </row>
    <row r="303" spans="2:16" ht="12.75">
      <c r="B303" s="13"/>
      <c r="C303" s="1"/>
      <c r="D303" s="1"/>
      <c r="E303" s="1"/>
      <c r="F303" s="25"/>
      <c r="G303" s="1"/>
      <c r="I303" s="1"/>
      <c r="J303" s="517"/>
      <c r="K303" s="517"/>
      <c r="L303" s="517"/>
      <c r="M303" s="517"/>
      <c r="N303" s="517"/>
      <c r="O303" s="1"/>
      <c r="P303" s="14"/>
    </row>
    <row r="304" spans="2:16" ht="12.75">
      <c r="B304" s="13"/>
      <c r="C304" s="1"/>
      <c r="D304" s="1" t="s">
        <v>395</v>
      </c>
      <c r="E304" s="1"/>
      <c r="F304" s="25"/>
      <c r="G304" s="1"/>
      <c r="I304" s="1"/>
      <c r="J304" s="164">
        <f>0.416666666666667*J117+0.583333333333333*K117</f>
        <v>0</v>
      </c>
      <c r="K304" s="164">
        <f>0.416666666666667*K117+0.583333333333333*L117</f>
        <v>0</v>
      </c>
      <c r="L304" s="164">
        <f>0.416666666666667*L117+0.583333333333333*M117</f>
        <v>0</v>
      </c>
      <c r="M304" s="164">
        <f>0.416666666666667*M117+0.583333333333333*N117</f>
        <v>0</v>
      </c>
      <c r="N304" s="164">
        <f>N117</f>
        <v>0</v>
      </c>
      <c r="O304" s="161"/>
      <c r="P304" s="14"/>
    </row>
    <row r="305" spans="2:16" ht="12.75">
      <c r="B305" s="13"/>
      <c r="C305" s="1"/>
      <c r="D305" s="1"/>
      <c r="E305" s="1"/>
      <c r="F305" s="25"/>
      <c r="G305" s="1"/>
      <c r="I305" s="1"/>
      <c r="J305" s="517"/>
      <c r="K305" s="517"/>
      <c r="L305" s="517"/>
      <c r="M305" s="517"/>
      <c r="N305" s="1"/>
      <c r="O305" s="1"/>
      <c r="P305" s="14"/>
    </row>
    <row r="306" spans="2:16" ht="12.75">
      <c r="B306" s="13"/>
      <c r="D306" s="122"/>
      <c r="F306" s="8"/>
      <c r="J306" s="124"/>
      <c r="K306" s="124"/>
      <c r="L306" s="124"/>
      <c r="M306" s="124"/>
      <c r="N306" s="7"/>
      <c r="P306" s="14"/>
    </row>
    <row r="307" spans="2:16" ht="13.5" thickBot="1">
      <c r="B307" s="48"/>
      <c r="C307" s="49"/>
      <c r="D307" s="169"/>
      <c r="E307" s="49"/>
      <c r="F307" s="50"/>
      <c r="G307" s="49"/>
      <c r="H307" s="49"/>
      <c r="I307" s="49"/>
      <c r="J307" s="522"/>
      <c r="K307" s="522"/>
      <c r="L307" s="522"/>
      <c r="M307" s="522"/>
      <c r="N307" s="49"/>
      <c r="O307" s="49"/>
      <c r="P307" s="51"/>
    </row>
  </sheetData>
  <sheetProtection password="DE55" sheet="1" objects="1" scenarios="1"/>
  <dataValidations count="1">
    <dataValidation type="list" allowBlank="1" showInputMessage="1" showErrorMessage="1" sqref="H44:H49 H53:H58 H23:H28">
      <formula1>"ja,nee"</formula1>
    </dataValidation>
  </dataValidations>
  <printOptions/>
  <pageMargins left="0.75" right="0.75" top="1" bottom="1" header="0.5" footer="0.5"/>
  <pageSetup horizontalDpi="600" verticalDpi="600" orientation="portrait" paperSize="9" scale="53" r:id="rId4"/>
  <headerFooter alignWithMargins="0">
    <oddHeader>&amp;L&amp;"Arial,Vet"&amp;F&amp;R&amp;"Arial,Vet"&amp;A</oddHeader>
    <oddFooter>&amp;L&amp;"Arial,Vet"keizer / goedhart&amp;C&amp;"Arial,Vet"&amp;D&amp;R&amp;"Arial,Vet"pagina &amp;P</oddFooter>
  </headerFooter>
  <rowBreaks count="3" manualBreakCount="3">
    <brk id="93" min="1" max="15" man="1"/>
    <brk id="162" min="1" max="15" man="1"/>
    <brk id="266" min="1" max="1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VOS/ABB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Meerjarenbegroting FPE (V)SO</dc:title>
  <dc:subject/>
  <dc:creator>Keizer/Goedhart</dc:creator>
  <cp:keywords/>
  <dc:description/>
  <cp:lastModifiedBy>Bé Keizer</cp:lastModifiedBy>
  <cp:lastPrinted>2009-09-29T08:45:40Z</cp:lastPrinted>
  <dcterms:created xsi:type="dcterms:W3CDTF">2006-02-24T20:41:28Z</dcterms:created>
  <dcterms:modified xsi:type="dcterms:W3CDTF">2009-09-29T19:56:01Z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